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9035" windowHeight="7935" firstSheet="11" activeTab="16"/>
  </bookViews>
  <sheets>
    <sheet name="0.Mérleg" sheetId="3" state="hidden" r:id="rId1"/>
    <sheet name="1A. Fő bev" sheetId="4" r:id="rId2"/>
    <sheet name="1B. Fő kiad" sheetId="14" r:id="rId3"/>
    <sheet name="1C Bev kiad fel" sheetId="25" r:id="rId4"/>
    <sheet name="2A Önk bev" sheetId="1" r:id="rId5"/>
    <sheet name="2B Önk kiad" sheetId="13" r:id="rId6"/>
    <sheet name="4_1 Önk kiad fel" sheetId="16" state="hidden" r:id="rId7"/>
    <sheet name="2C Önk bev kiad fel" sheetId="20" r:id="rId8"/>
    <sheet name="2D Céltartalék" sheetId="18" r:id="rId9"/>
    <sheet name="3A PH" sheetId="5" r:id="rId10"/>
    <sheet name="3B PH fel" sheetId="26" r:id="rId11"/>
    <sheet name="4A. VG bev kiad" sheetId="23" r:id="rId12"/>
    <sheet name="4B VG fel" sheetId="24" r:id="rId13"/>
    <sheet name="5A Walla" sheetId="7" r:id="rId14"/>
    <sheet name="5B Nyitnikék" sheetId="27" r:id="rId15"/>
    <sheet name="5C Bóbita" sheetId="28" r:id="rId16"/>
    <sheet name="5D MMMH" sheetId="29" r:id="rId17"/>
    <sheet name="5E Könyvtár" sheetId="30" r:id="rId18"/>
    <sheet name="5F Segítő Kéz" sheetId="31" r:id="rId19"/>
    <sheet name="5G GSZNR fel" sheetId="32" r:id="rId20"/>
    <sheet name="6. létszámkeret" sheetId="33" r:id="rId21"/>
    <sheet name="7. beruházás" sheetId="34" r:id="rId22"/>
    <sheet name="8. felújítás" sheetId="35" r:id="rId23"/>
    <sheet name="9. hitelállomány" sheetId="36" r:id="rId24"/>
    <sheet name="10. stab tv" sheetId="37" r:id="rId25"/>
    <sheet name="11. címrend" sheetId="19" r:id="rId26"/>
    <sheet name="12. Uniós tám" sheetId="49" r:id="rId27"/>
    <sheet name="Állami tám" sheetId="48" state="hidden" r:id="rId28"/>
    <sheet name="SKSZ" sheetId="47" state="hidden" r:id="rId29"/>
    <sheet name="ph" sheetId="46" state="hidden" r:id="rId30"/>
    <sheet name="ÖK kiad" sheetId="21" state="hidden" r:id="rId31"/>
    <sheet name="Volf" sheetId="45" state="hidden" r:id="rId32"/>
    <sheet name="MMMH" sheetId="41" state="hidden" r:id="rId33"/>
    <sheet name="MMMH reszletes" sheetId="42" state="hidden" r:id="rId34"/>
    <sheet name="MMMH dologi" sheetId="43" state="hidden" r:id="rId35"/>
    <sheet name="MMMH bevetel" sheetId="44" state="hidden" r:id="rId36"/>
    <sheet name="Bóbita" sheetId="40" state="hidden" r:id="rId37"/>
    <sheet name="Nyitnikék" sheetId="39" state="hidden" r:id="rId38"/>
    <sheet name="Walla" sheetId="38" state="hidden" r:id="rId39"/>
  </sheets>
  <externalReferences>
    <externalReference r:id="rId40"/>
    <externalReference r:id="rId41"/>
  </externalReferences>
  <definedNames>
    <definedName name="_1999._Évi_felhalmozási_és_felújítási_kiadások">"$#HIV!.$A$29:$E$29"</definedName>
    <definedName name="_xlnm._FilterDatabase" localSheetId="7" hidden="1">'2C Önk bev kiad fel'!$A$1:$T$126</definedName>
    <definedName name="_xlnm._FilterDatabase" localSheetId="10" hidden="1">'3B PH fel'!$A$1:$T$47</definedName>
    <definedName name="_xlnm._FilterDatabase" localSheetId="12" hidden="1">'4B VG fel'!$A$1:$R$82</definedName>
    <definedName name="_xlnm._FilterDatabase" localSheetId="37" hidden="1">Nyitnikék!$B$1:$D$153</definedName>
    <definedName name="_xlnm._FilterDatabase" localSheetId="28" hidden="1">SKSZ!$B$1:$D$153</definedName>
    <definedName name="_xlnm._FilterDatabase" localSheetId="31" hidden="1">Volf!$B$1:$D$153</definedName>
    <definedName name="_xlnm._FilterDatabase" localSheetId="38" hidden="1">Walla!$A$1:$C$153</definedName>
    <definedName name="Excel_BuiltIn_Print_Area_1">"$#HIV!.$A$2:$C$155"</definedName>
    <definedName name="Excel_BuiltIn_Print_Area_10">"$#HIV!.$B$1:$G$95"</definedName>
    <definedName name="Excel_BuiltIn_Print_Area_11">"$#HIV!.$B$2:$H$40"</definedName>
    <definedName name="Excel_BuiltIn_Print_Area_12">"$#HIV!.$B$1:$E$25"</definedName>
    <definedName name="Excel_BuiltIn_Print_Area_13">"$#HIV!.$A$7:$E$53"</definedName>
    <definedName name="Excel_BuiltIn_Print_Area_14">"$#HIV!.$A$1:$M$59"</definedName>
    <definedName name="Excel_BuiltIn_Print_Area_15">"$#HIV!.$E$1:$F$98"</definedName>
    <definedName name="Excel_BuiltIn_Print_Area_16">"$#HIV!.$A$1:$D$139"</definedName>
    <definedName name="Excel_BuiltIn_Print_Area_2">"$#HIV!.$D$2:$H$55"</definedName>
    <definedName name="Excel_BuiltIn_Print_Area_3">"$#HIV!.$A$1:$F$131"</definedName>
    <definedName name="Excel_BuiltIn_Print_Area_4">"$#HIV!.$A$1:$F$115"</definedName>
    <definedName name="Excel_BuiltIn_Print_Area_5">"$#HIV!.$A$2:$B$22"</definedName>
    <definedName name="Excel_BuiltIn_Print_Area_6">"$#HIV!.$A$2:$C$143"</definedName>
    <definedName name="Excel_BuiltIn_Print_Area_7">"$#HIV!.$A$2:$C$143"</definedName>
    <definedName name="Excel_BuiltIn_Print_Area_8">"$#HIV!.$A$1:$I$144"</definedName>
    <definedName name="Excel_BuiltIn_Print_Area_9">"$#HIV!.$A$1:$H$98"</definedName>
    <definedName name="Excel_BuiltIn_Print_Titles_1">"$#HIV!.$A$2:$IQ$2"</definedName>
    <definedName name="Excel_BuiltIn_Print_Titles_10">"$#HIV!.$A$1:$IT$2"</definedName>
    <definedName name="Excel_BuiltIn_Print_Titles_14">"$#HIV!.$A$61:$IU$61"</definedName>
    <definedName name="Excel_BuiltIn_Print_Titles_19">"$#HIV!.$A$1:$IV$1"</definedName>
    <definedName name="Excel_BuiltIn_Print_Titles_2">"$Összesítő.$#HIV!$1:$#HIV!$31999"</definedName>
    <definedName name="Excel_BuiltIn_Print_Titles_21">"$#HIV!.$A$1:$IV$2"</definedName>
    <definedName name="Excel_BuiltIn_Print_Titles_4">"$#HIV!.$A$2:$IV$4"</definedName>
    <definedName name="Excel_BuiltIn_Print_Titles_6">"$#HIV!.$A$2:$II$3"</definedName>
    <definedName name="Excel_BuiltIn_Print_Titles_7">"$#HIV!.$A$2:$IR$3"</definedName>
    <definedName name="Excel_BuiltIn_Print_Titles_8">"$#HIV!.$A$2:$IS$3"</definedName>
    <definedName name="Excel_BuiltIn_Print_Titles_9">"$#HIV!.$A$1:$IT$2"</definedName>
    <definedName name="_xlnm.Print_Titles" localSheetId="1">'1A. Fő bev'!$1:$2</definedName>
    <definedName name="_xlnm.Print_Titles" localSheetId="2">'1B. Fő kiad'!$1:$2</definedName>
    <definedName name="_xlnm.Print_Titles" localSheetId="3">'1C Bev kiad fel'!$B:$B,'1C Bev kiad fel'!$1:$5</definedName>
    <definedName name="_xlnm.Print_Titles" localSheetId="4">'2A Önk bev'!$1:$3</definedName>
    <definedName name="_xlnm.Print_Titles" localSheetId="5">'2B Önk kiad'!$1:$3</definedName>
    <definedName name="_xlnm.Print_Titles" localSheetId="7">'2C Önk bev kiad fel'!$A:$B,'2C Önk bev kiad fel'!$1:$5</definedName>
    <definedName name="_xlnm.Print_Titles" localSheetId="9">'3A PH'!$1:$3</definedName>
    <definedName name="_xlnm.Print_Titles" localSheetId="10">'3B PH fel'!$A:$B,'3B PH fel'!$1:$6</definedName>
    <definedName name="_xlnm.Print_Titles" localSheetId="11">'4A. VG bev kiad'!$1:$3</definedName>
    <definedName name="_xlnm.Print_Titles" localSheetId="12">'4B VG fel'!$A:$B,'4B VG fel'!$1:$5</definedName>
    <definedName name="_xlnm.Print_Titles" localSheetId="13">'5A Walla'!$1:$4</definedName>
    <definedName name="_xlnm.Print_Titles" localSheetId="14">'5B Nyitnikék'!$1:$4</definedName>
    <definedName name="_xlnm.Print_Titles" localSheetId="15">'5C Bóbita'!$1:$4</definedName>
    <definedName name="_xlnm.Print_Titles" localSheetId="16">'5D MMMH'!$1:$4</definedName>
    <definedName name="_xlnm.Print_Titles" localSheetId="17">'5E Könyvtár'!$1:$4</definedName>
    <definedName name="_xlnm.Print_Titles" localSheetId="18">'5F Segítő Kéz'!$1:$4</definedName>
    <definedName name="_xlnm.Print_Titles" localSheetId="19">'5G GSZNR fel'!$A:$B,'5G GSZNR fel'!$1:$5</definedName>
    <definedName name="_xlnm.Print_Titles" localSheetId="21">'7. beruházás'!$1:$4</definedName>
    <definedName name="_xlnm.Print_Titles" localSheetId="23">'9. hitelállomány'!$A:$A</definedName>
    <definedName name="_xlnm.Print_Titles" localSheetId="27">'Állami tám'!$A$6:$IV$6</definedName>
    <definedName name="_xlnm.Print_Titles" localSheetId="37">Nyitnikék!$A:$C,Nyitnikék!$1:$1</definedName>
    <definedName name="_xlnm.Print_Titles" localSheetId="30">'ÖK kiad'!$1:$1</definedName>
    <definedName name="_xlnm.Print_Titles" localSheetId="28">SKSZ!$A:$C,SKSZ!$1:$1</definedName>
    <definedName name="_xlnm.Print_Titles" localSheetId="31">Volf!$A:$C,Volf!$1:$1</definedName>
    <definedName name="_xlnm.Print_Titles" localSheetId="38">Walla!$A:$B,Walla!$1:$1</definedName>
    <definedName name="_xlnm.Print_Area" localSheetId="0">'0.Mérleg'!$A$1:$F$23</definedName>
    <definedName name="_xlnm.Print_Area" localSheetId="25">'11. címrend'!$A$1:$C$13</definedName>
    <definedName name="_xlnm.Print_Area" localSheetId="2">'1B. Fő kiad'!$A$1:$D$32</definedName>
    <definedName name="_xlnm.Print_Area" localSheetId="3">'1C Bev kiad fel'!$A$1:$T$95</definedName>
    <definedName name="_xlnm.Print_Area" localSheetId="4">'2A Önk bev'!$A$1:$D$96</definedName>
    <definedName name="_xlnm.Print_Area" localSheetId="5">'2B Önk kiad'!$A$1:$D$39</definedName>
    <definedName name="_xlnm.Print_Area" localSheetId="7">'2C Önk bev kiad fel'!$A$1:$T$126</definedName>
    <definedName name="_xlnm.Print_Area" localSheetId="8">'2D Céltartalék'!$A$1:$D$21</definedName>
    <definedName name="_xlnm.Print_Area" localSheetId="9">'3A PH'!$A$1:$D$46</definedName>
    <definedName name="_xlnm.Print_Area" localSheetId="10">'3B PH fel'!$A$1:$T$47</definedName>
    <definedName name="_xlnm.Print_Area" localSheetId="11">'4A. VG bev kiad'!$A$1:$D$46</definedName>
    <definedName name="_xlnm.Print_Area" localSheetId="12">'4B VG fel'!$A$1:$R$82</definedName>
    <definedName name="_xlnm.Print_Area" localSheetId="13">'5A Walla'!$A$1:$D$46</definedName>
    <definedName name="_xlnm.Print_Area" localSheetId="14">'5B Nyitnikék'!$A$1:$D$46</definedName>
    <definedName name="_xlnm.Print_Area" localSheetId="15">'5C Bóbita'!$A$1:$D$46</definedName>
    <definedName name="_xlnm.Print_Area" localSheetId="16">'5D MMMH'!$A$1:$D$46</definedName>
    <definedName name="_xlnm.Print_Area" localSheetId="17">'5E Könyvtár'!$A$1:$D$46</definedName>
    <definedName name="_xlnm.Print_Area" localSheetId="18">'5F Segítő Kéz'!$A$1:$D$46</definedName>
    <definedName name="_xlnm.Print_Area" localSheetId="19">'5G GSZNR fel'!$A$1:$R$101</definedName>
    <definedName name="_xlnm.Print_Area" localSheetId="20">'6. létszámkeret'!$A$1:$M$18</definedName>
    <definedName name="_xlnm.Print_Area" localSheetId="21">'7. beruházás'!$A$1:$D$56</definedName>
    <definedName name="_xlnm.Print_Area" localSheetId="22">'8. felújítás'!$A$1:$D$19</definedName>
    <definedName name="_xlnm.Print_Area" localSheetId="23">'9. hitelállomány'!$A$3:$G$18</definedName>
    <definedName name="_xlnm.Print_Area" localSheetId="37">Nyitnikék!$A:$G</definedName>
    <definedName name="Print_Titles_1">Bóbita!$A:$B,Bóbita!$1:$1</definedName>
  </definedNames>
  <calcPr calcId="125725"/>
</workbook>
</file>

<file path=xl/calcChain.xml><?xml version="1.0" encoding="utf-8"?>
<calcChain xmlns="http://schemas.openxmlformats.org/spreadsheetml/2006/main">
  <c r="D54" i="4"/>
  <c r="L16" i="25"/>
  <c r="T46"/>
  <c r="T45"/>
  <c r="P81"/>
  <c r="P38"/>
  <c r="P34"/>
  <c r="P32"/>
  <c r="P30"/>
  <c r="P90"/>
  <c r="P16"/>
  <c r="P24"/>
  <c r="P23"/>
  <c r="P19"/>
  <c r="J46"/>
  <c r="J45"/>
  <c r="R16"/>
  <c r="H125" i="20"/>
  <c r="H29"/>
  <c r="D5" i="18"/>
  <c r="P86" i="32"/>
  <c r="D33" i="29"/>
  <c r="D41"/>
  <c r="D41" i="28"/>
  <c r="D41" i="27"/>
  <c r="P8" i="32"/>
  <c r="D34" i="23"/>
  <c r="P20" i="24"/>
  <c r="R7" i="26"/>
  <c r="Q94" i="25"/>
  <c r="R94"/>
  <c r="Q91"/>
  <c r="R91"/>
  <c r="Q41"/>
  <c r="R41"/>
  <c r="Q5"/>
  <c r="Q6"/>
  <c r="R6"/>
  <c r="R5" s="1"/>
  <c r="J122" i="20"/>
  <c r="J120"/>
  <c r="J117"/>
  <c r="J113"/>
  <c r="J111"/>
  <c r="J109"/>
  <c r="J107"/>
  <c r="J105"/>
  <c r="J103"/>
  <c r="J101"/>
  <c r="J99"/>
  <c r="J97"/>
  <c r="J95"/>
  <c r="J92"/>
  <c r="J89"/>
  <c r="J87"/>
  <c r="J85"/>
  <c r="J83"/>
  <c r="J81"/>
  <c r="J79"/>
  <c r="J77"/>
  <c r="J75"/>
  <c r="J73"/>
  <c r="J71"/>
  <c r="J69"/>
  <c r="J67"/>
  <c r="J65"/>
  <c r="J63"/>
  <c r="J61"/>
  <c r="J59"/>
  <c r="J57"/>
  <c r="J55"/>
  <c r="J53"/>
  <c r="J51"/>
  <c r="J49"/>
  <c r="J47"/>
  <c r="J45"/>
  <c r="J43"/>
  <c r="J40"/>
  <c r="J38"/>
  <c r="J36"/>
  <c r="J33"/>
  <c r="J31"/>
  <c r="J25"/>
  <c r="J23"/>
  <c r="J21"/>
  <c r="J18"/>
  <c r="J16"/>
  <c r="J14"/>
  <c r="J12"/>
  <c r="J10"/>
  <c r="J7"/>
  <c r="Q35"/>
  <c r="R35"/>
  <c r="R5" s="1"/>
  <c r="Q6"/>
  <c r="Q5" s="1"/>
  <c r="R6"/>
  <c r="D58" i="1" l="1"/>
  <c r="D11"/>
  <c r="D13" i="18"/>
  <c r="D20"/>
  <c r="D19"/>
  <c r="D7" i="26"/>
  <c r="J9"/>
  <c r="J8"/>
  <c r="D38" i="5"/>
  <c r="D37"/>
  <c r="D14" i="13"/>
  <c r="D10" i="18"/>
  <c r="D39" i="5"/>
  <c r="J19" i="26"/>
  <c r="J18"/>
  <c r="J17"/>
  <c r="D8" i="4" l="1"/>
  <c r="L12" i="25"/>
  <c r="N16" i="26"/>
  <c r="D9" i="5"/>
  <c r="D16" i="34"/>
  <c r="D34"/>
  <c r="D43" i="5"/>
  <c r="J20" i="26"/>
  <c r="J16" s="1"/>
  <c r="H90" i="32"/>
  <c r="D43" i="31"/>
  <c r="D53" i="34"/>
  <c r="R101" i="32"/>
  <c r="J101" s="1"/>
  <c r="R18"/>
  <c r="J18" s="1"/>
  <c r="H65"/>
  <c r="H64"/>
  <c r="D38" i="30"/>
  <c r="D37"/>
  <c r="N16" i="25"/>
  <c r="N27" i="20"/>
  <c r="N85" i="25"/>
  <c r="N8"/>
  <c r="L18"/>
  <c r="L35"/>
  <c r="L33"/>
  <c r="L20"/>
  <c r="L95"/>
  <c r="D43" i="7"/>
  <c r="D39" i="34"/>
  <c r="O74" i="32"/>
  <c r="O47"/>
  <c r="O33"/>
  <c r="O6"/>
  <c r="O5" s="1"/>
  <c r="O7"/>
  <c r="P7"/>
  <c r="O34"/>
  <c r="P34"/>
  <c r="P33" s="1"/>
  <c r="D33" i="28" s="1"/>
  <c r="O48" i="32"/>
  <c r="P48"/>
  <c r="P47" s="1"/>
  <c r="O62"/>
  <c r="O61" s="1"/>
  <c r="P62"/>
  <c r="P61" s="1"/>
  <c r="O75"/>
  <c r="P75"/>
  <c r="P74" s="1"/>
  <c r="D33" i="31" s="1"/>
  <c r="O20" i="32"/>
  <c r="O19" s="1"/>
  <c r="P20"/>
  <c r="P19" s="1"/>
  <c r="D33" i="27" s="1"/>
  <c r="H12" i="32"/>
  <c r="J80" i="24"/>
  <c r="J77"/>
  <c r="J74"/>
  <c r="J68"/>
  <c r="J63"/>
  <c r="J58"/>
  <c r="J53"/>
  <c r="J50"/>
  <c r="J47"/>
  <c r="J42"/>
  <c r="J39"/>
  <c r="J36"/>
  <c r="J31"/>
  <c r="J26"/>
  <c r="J23"/>
  <c r="J17"/>
  <c r="J12"/>
  <c r="D35" i="34"/>
  <c r="P80" i="24"/>
  <c r="H81"/>
  <c r="P17"/>
  <c r="H18"/>
  <c r="P42"/>
  <c r="H45"/>
  <c r="R77"/>
  <c r="R74"/>
  <c r="R68"/>
  <c r="R63"/>
  <c r="R58"/>
  <c r="R53"/>
  <c r="R50"/>
  <c r="R47"/>
  <c r="R39"/>
  <c r="R36"/>
  <c r="R31"/>
  <c r="R26"/>
  <c r="R23"/>
  <c r="R12"/>
  <c r="R7"/>
  <c r="R20"/>
  <c r="J20" s="1"/>
  <c r="H21"/>
  <c r="J10" i="26"/>
  <c r="Q43"/>
  <c r="R43"/>
  <c r="Q28"/>
  <c r="R28"/>
  <c r="Q6"/>
  <c r="Q5" s="1"/>
  <c r="R6"/>
  <c r="D90" i="1"/>
  <c r="O5" i="24"/>
  <c r="O6"/>
  <c r="P6"/>
  <c r="O67"/>
  <c r="P67"/>
  <c r="J7"/>
  <c r="H44"/>
  <c r="H43"/>
  <c r="D37" i="23" s="1"/>
  <c r="D8"/>
  <c r="D30" i="4"/>
  <c r="D21" i="23"/>
  <c r="D40"/>
  <c r="D38"/>
  <c r="H68" i="24"/>
  <c r="H71"/>
  <c r="H70"/>
  <c r="H73"/>
  <c r="H69"/>
  <c r="P6" i="32" l="1"/>
  <c r="D33" i="7" s="1"/>
  <c r="R5" i="26"/>
  <c r="D33" i="5" s="1"/>
  <c r="D33" i="30"/>
  <c r="P5" i="24"/>
  <c r="D33" i="23" s="1"/>
  <c r="P5" i="32" l="1"/>
  <c r="D43" i="23"/>
  <c r="H60" i="24"/>
  <c r="H59"/>
  <c r="H55"/>
  <c r="H54"/>
  <c r="H14"/>
  <c r="H13"/>
  <c r="H9"/>
  <c r="H8"/>
  <c r="H118" i="20"/>
  <c r="H94" i="32"/>
  <c r="D39" i="31"/>
  <c r="H116" i="20"/>
  <c r="H98"/>
  <c r="D5" i="34"/>
  <c r="H115" i="20"/>
  <c r="D6" i="13" s="1"/>
  <c r="H114" i="20"/>
  <c r="D5" i="13" s="1"/>
  <c r="H78" i="20"/>
  <c r="H79" i="32"/>
  <c r="H78" i="24"/>
  <c r="D9" i="18"/>
  <c r="D8"/>
  <c r="H28" i="20"/>
  <c r="D7" i="18"/>
  <c r="H119" i="20"/>
  <c r="D12" i="35"/>
  <c r="H107" i="20"/>
  <c r="H101"/>
  <c r="H113"/>
  <c r="D12" i="34"/>
  <c r="S90" i="25"/>
  <c r="I90" s="1"/>
  <c r="H110" i="20"/>
  <c r="H86"/>
  <c r="H11"/>
  <c r="D17" i="35"/>
  <c r="D16" s="1"/>
  <c r="D44" i="23"/>
  <c r="K67" i="24"/>
  <c r="L67"/>
  <c r="M67"/>
  <c r="N67"/>
  <c r="H80"/>
  <c r="G80"/>
  <c r="Q80" s="1"/>
  <c r="I80" s="1"/>
  <c r="H58" i="32"/>
  <c r="D39" i="29"/>
  <c r="R80" i="24" l="1"/>
  <c r="H90" i="25"/>
  <c r="D18" i="4"/>
  <c r="D6" i="18"/>
  <c r="D38" i="1"/>
  <c r="D31"/>
  <c r="N124" i="20"/>
  <c r="D55" i="1"/>
  <c r="J90" i="25" l="1"/>
  <c r="T90"/>
  <c r="D50" i="34"/>
  <c r="H71" i="32"/>
  <c r="D39" i="30"/>
  <c r="H54" i="32"/>
  <c r="D43" i="29"/>
  <c r="L124" i="20"/>
  <c r="C13" i="36"/>
  <c r="D13" i="1"/>
  <c r="D38" i="31" l="1"/>
  <c r="D37"/>
  <c r="H93" i="32"/>
  <c r="H92"/>
  <c r="H83"/>
  <c r="H82"/>
  <c r="H78"/>
  <c r="H77"/>
  <c r="D38" i="29"/>
  <c r="D37"/>
  <c r="H57" i="32"/>
  <c r="H56"/>
  <c r="H37"/>
  <c r="H36"/>
  <c r="D38" i="28"/>
  <c r="D37"/>
  <c r="D38" i="27"/>
  <c r="D37"/>
  <c r="H23" i="32"/>
  <c r="H22"/>
  <c r="H10"/>
  <c r="H9"/>
  <c r="D38" i="7"/>
  <c r="D37"/>
  <c r="J31" i="26"/>
  <c r="J30"/>
  <c r="J14"/>
  <c r="J13"/>
  <c r="H21" i="32" l="1"/>
  <c r="L33" i="20"/>
  <c r="D9" i="1"/>
  <c r="P91" i="25" l="1"/>
  <c r="P94"/>
  <c r="N9"/>
  <c r="N13"/>
  <c r="N25"/>
  <c r="N29"/>
  <c r="N31"/>
  <c r="N32"/>
  <c r="N34"/>
  <c r="N38"/>
  <c r="N40"/>
  <c r="N43"/>
  <c r="N91"/>
  <c r="N94"/>
  <c r="L10"/>
  <c r="L82"/>
  <c r="L91"/>
  <c r="L94"/>
  <c r="H74"/>
  <c r="T74" s="1"/>
  <c r="J74" s="1"/>
  <c r="H77"/>
  <c r="T77" s="1"/>
  <c r="J77" s="1"/>
  <c r="F6"/>
  <c r="F5" s="1"/>
  <c r="F41"/>
  <c r="D10"/>
  <c r="D16"/>
  <c r="D19"/>
  <c r="D20"/>
  <c r="D21"/>
  <c r="D22"/>
  <c r="D26"/>
  <c r="D27"/>
  <c r="D28"/>
  <c r="D31"/>
  <c r="D35"/>
  <c r="D37"/>
  <c r="D38"/>
  <c r="D39"/>
  <c r="D40"/>
  <c r="D82"/>
  <c r="D83"/>
  <c r="D9" i="14"/>
  <c r="D17"/>
  <c r="D18"/>
  <c r="D19"/>
  <c r="D20"/>
  <c r="D21"/>
  <c r="D26"/>
  <c r="D27"/>
  <c r="D28"/>
  <c r="D30"/>
  <c r="D31"/>
  <c r="D6" i="4"/>
  <c r="D7"/>
  <c r="D10"/>
  <c r="D13"/>
  <c r="D17"/>
  <c r="D16" s="1"/>
  <c r="D20"/>
  <c r="D21"/>
  <c r="D22"/>
  <c r="D23"/>
  <c r="D24"/>
  <c r="D25"/>
  <c r="D26"/>
  <c r="D27"/>
  <c r="D29"/>
  <c r="D33"/>
  <c r="D34"/>
  <c r="D35"/>
  <c r="D37"/>
  <c r="D38"/>
  <c r="D39"/>
  <c r="D40"/>
  <c r="D42"/>
  <c r="D43"/>
  <c r="D48"/>
  <c r="D49"/>
  <c r="D50"/>
  <c r="D51"/>
  <c r="D55"/>
  <c r="D56"/>
  <c r="D57" s="1"/>
  <c r="D60"/>
  <c r="D61"/>
  <c r="D21" i="37"/>
  <c r="M7" i="33"/>
  <c r="M9" s="1"/>
  <c r="M18" s="1"/>
  <c r="M17"/>
  <c r="K7"/>
  <c r="K9" s="1"/>
  <c r="K18" s="1"/>
  <c r="K17"/>
  <c r="G11"/>
  <c r="G12"/>
  <c r="G13"/>
  <c r="G14"/>
  <c r="G15"/>
  <c r="G16"/>
  <c r="R32" i="32"/>
  <c r="J32" s="1"/>
  <c r="R46"/>
  <c r="R60"/>
  <c r="J60" s="1"/>
  <c r="R73"/>
  <c r="J73" s="1"/>
  <c r="N20"/>
  <c r="N7"/>
  <c r="N6" s="1"/>
  <c r="N34"/>
  <c r="N33" s="1"/>
  <c r="N48"/>
  <c r="N62"/>
  <c r="N76"/>
  <c r="L6"/>
  <c r="L19"/>
  <c r="L33"/>
  <c r="L47"/>
  <c r="L61"/>
  <c r="L75"/>
  <c r="L74" s="1"/>
  <c r="J46"/>
  <c r="H8"/>
  <c r="R8" s="1"/>
  <c r="J8" s="1"/>
  <c r="H13"/>
  <c r="R13" s="1"/>
  <c r="J13" s="1"/>
  <c r="H28"/>
  <c r="H29"/>
  <c r="H31"/>
  <c r="H40"/>
  <c r="H45"/>
  <c r="H41" s="1"/>
  <c r="H55"/>
  <c r="H63"/>
  <c r="H69"/>
  <c r="H70"/>
  <c r="H72"/>
  <c r="H76"/>
  <c r="H85"/>
  <c r="H81" s="1"/>
  <c r="R81" s="1"/>
  <c r="J81" s="1"/>
  <c r="H87"/>
  <c r="H88"/>
  <c r="H91"/>
  <c r="H97"/>
  <c r="H98"/>
  <c r="H100"/>
  <c r="F6"/>
  <c r="F19"/>
  <c r="F33"/>
  <c r="F47"/>
  <c r="F61"/>
  <c r="F75"/>
  <c r="F74" s="1"/>
  <c r="D8"/>
  <c r="D7" s="1"/>
  <c r="D6" s="1"/>
  <c r="D21"/>
  <c r="D20" s="1"/>
  <c r="D19" s="1"/>
  <c r="D35"/>
  <c r="D34" s="1"/>
  <c r="D33" s="1"/>
  <c r="D49"/>
  <c r="D32" i="25" s="1"/>
  <c r="D55" i="32"/>
  <c r="D63"/>
  <c r="D34" i="25" s="1"/>
  <c r="D76" i="32"/>
  <c r="D75" s="1"/>
  <c r="D74" s="1"/>
  <c r="D5" i="31"/>
  <c r="D8"/>
  <c r="D13"/>
  <c r="D10"/>
  <c r="D7" s="1"/>
  <c r="D20"/>
  <c r="D23"/>
  <c r="D22" s="1"/>
  <c r="D25"/>
  <c r="D28"/>
  <c r="D36"/>
  <c r="D44"/>
  <c r="D42" s="1"/>
  <c r="D8" i="30"/>
  <c r="D13"/>
  <c r="D10" s="1"/>
  <c r="D20"/>
  <c r="D23"/>
  <c r="D25"/>
  <c r="D22" s="1"/>
  <c r="D28"/>
  <c r="D36"/>
  <c r="D42"/>
  <c r="D8" i="29"/>
  <c r="D10"/>
  <c r="D13"/>
  <c r="D20"/>
  <c r="D23"/>
  <c r="D22" s="1"/>
  <c r="D25"/>
  <c r="D28"/>
  <c r="D36"/>
  <c r="D42"/>
  <c r="D8" i="28"/>
  <c r="D13"/>
  <c r="D10" s="1"/>
  <c r="D20"/>
  <c r="D23"/>
  <c r="D25"/>
  <c r="D22" s="1"/>
  <c r="D28"/>
  <c r="D36"/>
  <c r="D42"/>
  <c r="D8" i="27"/>
  <c r="D13"/>
  <c r="D10" s="1"/>
  <c r="D20"/>
  <c r="D23"/>
  <c r="D25"/>
  <c r="D22" s="1"/>
  <c r="D28"/>
  <c r="D36"/>
  <c r="D42"/>
  <c r="D8" i="7"/>
  <c r="D13"/>
  <c r="D10" s="1"/>
  <c r="D20"/>
  <c r="D23"/>
  <c r="D25"/>
  <c r="D22" s="1"/>
  <c r="D28"/>
  <c r="D36"/>
  <c r="D42"/>
  <c r="N6" i="24"/>
  <c r="N5" s="1"/>
  <c r="L6"/>
  <c r="L5" s="1"/>
  <c r="D39" i="23"/>
  <c r="D5" i="14"/>
  <c r="H7" i="24"/>
  <c r="H12"/>
  <c r="H22" i="25" s="1"/>
  <c r="T22" s="1"/>
  <c r="J22" s="1"/>
  <c r="H17" i="24"/>
  <c r="H20"/>
  <c r="H24" i="25" s="1"/>
  <c r="H23" i="24"/>
  <c r="H25" i="25" s="1"/>
  <c r="T25" s="1"/>
  <c r="H26" i="24"/>
  <c r="H31"/>
  <c r="H27" i="25" s="1"/>
  <c r="T27" s="1"/>
  <c r="J27" s="1"/>
  <c r="H36" i="24"/>
  <c r="H39"/>
  <c r="H42"/>
  <c r="H47"/>
  <c r="H50"/>
  <c r="H53"/>
  <c r="H56"/>
  <c r="H58"/>
  <c r="H63"/>
  <c r="H29" i="25" s="1"/>
  <c r="T29" s="1"/>
  <c r="H85"/>
  <c r="T85" s="1"/>
  <c r="J85" s="1"/>
  <c r="H74" i="24"/>
  <c r="H86" i="25" s="1"/>
  <c r="T86" s="1"/>
  <c r="J86" s="1"/>
  <c r="H77" i="24"/>
  <c r="F6"/>
  <c r="F5" s="1"/>
  <c r="D5" i="23" s="1"/>
  <c r="D6" i="24"/>
  <c r="D5" s="1"/>
  <c r="D4" i="23" s="1"/>
  <c r="G8" i="33" s="1"/>
  <c r="D7" i="23"/>
  <c r="D9"/>
  <c r="D12"/>
  <c r="D20"/>
  <c r="D23"/>
  <c r="D22" s="1"/>
  <c r="D25"/>
  <c r="D28"/>
  <c r="D32"/>
  <c r="D31" s="1"/>
  <c r="D42"/>
  <c r="P6" i="26"/>
  <c r="P28"/>
  <c r="P43"/>
  <c r="N6"/>
  <c r="N28"/>
  <c r="N43"/>
  <c r="J7"/>
  <c r="J15"/>
  <c r="J12" s="1"/>
  <c r="T12" s="1"/>
  <c r="L12" s="1"/>
  <c r="T16"/>
  <c r="L16" s="1"/>
  <c r="J24"/>
  <c r="J21" s="1"/>
  <c r="T21" s="1"/>
  <c r="L21" s="1"/>
  <c r="J25"/>
  <c r="J29"/>
  <c r="J33"/>
  <c r="J37"/>
  <c r="J40"/>
  <c r="T40" s="1"/>
  <c r="L40" s="1"/>
  <c r="J44"/>
  <c r="J46"/>
  <c r="H93" i="25" s="1"/>
  <c r="T93" s="1"/>
  <c r="J93" s="1"/>
  <c r="H6" i="26"/>
  <c r="H5" s="1"/>
  <c r="F6"/>
  <c r="F28"/>
  <c r="F43"/>
  <c r="D6"/>
  <c r="D28"/>
  <c r="D43"/>
  <c r="D8" i="5"/>
  <c r="D7" s="1"/>
  <c r="D10"/>
  <c r="D13"/>
  <c r="D20"/>
  <c r="D23"/>
  <c r="D22" s="1"/>
  <c r="D25"/>
  <c r="D28"/>
  <c r="D36"/>
  <c r="D42"/>
  <c r="D83" i="1"/>
  <c r="D88"/>
  <c r="D93"/>
  <c r="D57"/>
  <c r="D61"/>
  <c r="D63"/>
  <c r="D70"/>
  <c r="D74"/>
  <c r="D69" s="1"/>
  <c r="D53"/>
  <c r="D44"/>
  <c r="D41"/>
  <c r="D39"/>
  <c r="D34"/>
  <c r="D28"/>
  <c r="D27" s="1"/>
  <c r="D30"/>
  <c r="D15" i="4" s="1"/>
  <c r="D24" i="1"/>
  <c r="D6"/>
  <c r="D5" s="1"/>
  <c r="D16"/>
  <c r="D18"/>
  <c r="N35" i="20"/>
  <c r="L35"/>
  <c r="T101"/>
  <c r="T107"/>
  <c r="H43"/>
  <c r="T43" s="1"/>
  <c r="P6"/>
  <c r="N6"/>
  <c r="N5" s="1"/>
  <c r="D36" i="13"/>
  <c r="D33"/>
  <c r="D18"/>
  <c r="D33" i="34"/>
  <c r="D51"/>
  <c r="D48"/>
  <c r="D44"/>
  <c r="D12" i="13"/>
  <c r="D11" i="14" s="1"/>
  <c r="D11" i="13"/>
  <c r="D10" i="14" s="1"/>
  <c r="D8" i="13"/>
  <c r="D7" i="14" s="1"/>
  <c r="D7" i="13"/>
  <c r="H122" i="20"/>
  <c r="H89" i="25" s="1"/>
  <c r="H120" i="20"/>
  <c r="T120" s="1"/>
  <c r="H117"/>
  <c r="H81" i="25" s="1"/>
  <c r="T81" s="1"/>
  <c r="H80"/>
  <c r="T80" s="1"/>
  <c r="J80" s="1"/>
  <c r="H111" i="20"/>
  <c r="T111" s="1"/>
  <c r="H109"/>
  <c r="H78" i="25" s="1"/>
  <c r="T78" s="1"/>
  <c r="J78" s="1"/>
  <c r="H105" i="20"/>
  <c r="H76" i="25" s="1"/>
  <c r="T76" s="1"/>
  <c r="J76" s="1"/>
  <c r="H103" i="20"/>
  <c r="T103" s="1"/>
  <c r="H99"/>
  <c r="T99" s="1"/>
  <c r="H97"/>
  <c r="H72" i="25" s="1"/>
  <c r="T72" s="1"/>
  <c r="J72" s="1"/>
  <c r="H95" i="20"/>
  <c r="T95" s="1"/>
  <c r="H92"/>
  <c r="H70" i="25" s="1"/>
  <c r="T70" s="1"/>
  <c r="J70" s="1"/>
  <c r="H89" i="20"/>
  <c r="T89" s="1"/>
  <c r="H87"/>
  <c r="H68" i="25" s="1"/>
  <c r="T68" s="1"/>
  <c r="J68" s="1"/>
  <c r="H85" i="20"/>
  <c r="T85" s="1"/>
  <c r="H83"/>
  <c r="H66" i="25" s="1"/>
  <c r="T66" s="1"/>
  <c r="J66" s="1"/>
  <c r="H81" i="20"/>
  <c r="T81" s="1"/>
  <c r="H79"/>
  <c r="H64" i="25" s="1"/>
  <c r="T64" s="1"/>
  <c r="J64" s="1"/>
  <c r="H77" i="20"/>
  <c r="H63" i="25" s="1"/>
  <c r="T63" s="1"/>
  <c r="J63" s="1"/>
  <c r="H75" i="20"/>
  <c r="T75" s="1"/>
  <c r="H73"/>
  <c r="H61" i="25" s="1"/>
  <c r="T61" s="1"/>
  <c r="J61" s="1"/>
  <c r="H71" i="20"/>
  <c r="T71" s="1"/>
  <c r="H69"/>
  <c r="H59" i="25" s="1"/>
  <c r="T59" s="1"/>
  <c r="J59" s="1"/>
  <c r="H67" i="20"/>
  <c r="T67" s="1"/>
  <c r="H65"/>
  <c r="H57" i="25" s="1"/>
  <c r="T57" s="1"/>
  <c r="J57" s="1"/>
  <c r="H63" i="20"/>
  <c r="T63" s="1"/>
  <c r="H61"/>
  <c r="H55" i="25" s="1"/>
  <c r="T55" s="1"/>
  <c r="J55" s="1"/>
  <c r="H59" i="20"/>
  <c r="T59" s="1"/>
  <c r="H57"/>
  <c r="H53" i="25" s="1"/>
  <c r="T53" s="1"/>
  <c r="J53" s="1"/>
  <c r="H55" i="20"/>
  <c r="T55" s="1"/>
  <c r="H53"/>
  <c r="T53" s="1"/>
  <c r="H51"/>
  <c r="T51" s="1"/>
  <c r="H49"/>
  <c r="T49" s="1"/>
  <c r="H47"/>
  <c r="T47" s="1"/>
  <c r="H45"/>
  <c r="T45" s="1"/>
  <c r="H40"/>
  <c r="T40" s="1"/>
  <c r="H38"/>
  <c r="H36"/>
  <c r="T36" s="1"/>
  <c r="H33"/>
  <c r="T33" s="1"/>
  <c r="H31"/>
  <c r="T31" s="1"/>
  <c r="H27"/>
  <c r="H16" i="25" s="1"/>
  <c r="T16" s="1"/>
  <c r="H25" i="20"/>
  <c r="T25" s="1"/>
  <c r="H23"/>
  <c r="T23" s="1"/>
  <c r="H21"/>
  <c r="T21" s="1"/>
  <c r="H18"/>
  <c r="T18" s="1"/>
  <c r="H16"/>
  <c r="T16" s="1"/>
  <c r="H14"/>
  <c r="T14" s="1"/>
  <c r="H12"/>
  <c r="T12" s="1"/>
  <c r="H10"/>
  <c r="T10" s="1"/>
  <c r="H7"/>
  <c r="T7" s="1"/>
  <c r="F12" i="36"/>
  <c r="F18"/>
  <c r="G13"/>
  <c r="G7"/>
  <c r="F7"/>
  <c r="F13"/>
  <c r="E12"/>
  <c r="E15"/>
  <c r="E17"/>
  <c r="E18"/>
  <c r="C12"/>
  <c r="G12" s="1"/>
  <c r="C17"/>
  <c r="C15" s="1"/>
  <c r="C18"/>
  <c r="G14"/>
  <c r="G15"/>
  <c r="G16"/>
  <c r="G17"/>
  <c r="D5" i="35"/>
  <c r="D19" s="1"/>
  <c r="D16" i="13"/>
  <c r="D4" i="18"/>
  <c r="D15" i="13" s="1"/>
  <c r="J24" i="25" l="1"/>
  <c r="T24"/>
  <c r="J25"/>
  <c r="D6" i="37"/>
  <c r="J29" i="25"/>
  <c r="J89"/>
  <c r="T89"/>
  <c r="L41"/>
  <c r="N41"/>
  <c r="D13" i="13"/>
  <c r="D12" i="14" s="1"/>
  <c r="D59" i="4"/>
  <c r="J13" i="25"/>
  <c r="H35" i="32"/>
  <c r="R35" s="1"/>
  <c r="J35" s="1"/>
  <c r="N75"/>
  <c r="D82" i="1"/>
  <c r="D81" s="1"/>
  <c r="D52" i="4"/>
  <c r="D7" i="37"/>
  <c r="D4"/>
  <c r="H39" i="25"/>
  <c r="T39" s="1"/>
  <c r="J39" s="1"/>
  <c r="R91" i="32"/>
  <c r="J91" s="1"/>
  <c r="H36" i="25"/>
  <c r="T36" s="1"/>
  <c r="J36" s="1"/>
  <c r="R76" i="32"/>
  <c r="J76" s="1"/>
  <c r="H34" i="25"/>
  <c r="R63" i="32"/>
  <c r="J63" s="1"/>
  <c r="R41"/>
  <c r="J41" s="1"/>
  <c r="H33" i="25"/>
  <c r="T33" s="1"/>
  <c r="J33" s="1"/>
  <c r="R55" i="32"/>
  <c r="J55" s="1"/>
  <c r="R21"/>
  <c r="J21" s="1"/>
  <c r="H83" i="25"/>
  <c r="T83" s="1"/>
  <c r="J83" s="1"/>
  <c r="T33" i="26"/>
  <c r="L33" s="1"/>
  <c r="H20" i="25"/>
  <c r="T20" s="1"/>
  <c r="J20" s="1"/>
  <c r="T25" i="26"/>
  <c r="L25" s="1"/>
  <c r="H19" i="25"/>
  <c r="T7" i="26"/>
  <c r="L7" s="1"/>
  <c r="L6" s="1"/>
  <c r="H92" i="25"/>
  <c r="T92" s="1"/>
  <c r="J92" s="1"/>
  <c r="T44" i="26"/>
  <c r="L44" s="1"/>
  <c r="H84" i="25"/>
  <c r="T84" s="1"/>
  <c r="J84" s="1"/>
  <c r="T37" i="26"/>
  <c r="L37" s="1"/>
  <c r="H82" i="25"/>
  <c r="T82" s="1"/>
  <c r="J82" s="1"/>
  <c r="T29" i="26"/>
  <c r="L29" s="1"/>
  <c r="D36" i="25"/>
  <c r="R17" i="24"/>
  <c r="R42"/>
  <c r="D41" i="25"/>
  <c r="D62" i="32"/>
  <c r="D61" s="1"/>
  <c r="H68"/>
  <c r="G17" i="33"/>
  <c r="D6" i="23"/>
  <c r="D35" s="1"/>
  <c r="D6" i="14"/>
  <c r="H67" i="24"/>
  <c r="H28" i="25"/>
  <c r="T28" s="1"/>
  <c r="J28" s="1"/>
  <c r="H26"/>
  <c r="T26" s="1"/>
  <c r="J26" s="1"/>
  <c r="H23"/>
  <c r="H21"/>
  <c r="T21" s="1"/>
  <c r="J21" s="1"/>
  <c r="H87"/>
  <c r="T87" s="1"/>
  <c r="J87" s="1"/>
  <c r="D19" i="13"/>
  <c r="D15" i="14" s="1"/>
  <c r="D32" i="34"/>
  <c r="D56" s="1"/>
  <c r="D14" i="14" s="1"/>
  <c r="H35" i="20"/>
  <c r="T122"/>
  <c r="T113"/>
  <c r="T109"/>
  <c r="T105"/>
  <c r="T97"/>
  <c r="T92"/>
  <c r="T87"/>
  <c r="T83"/>
  <c r="T79"/>
  <c r="H88" i="25"/>
  <c r="T88" s="1"/>
  <c r="J88" s="1"/>
  <c r="H17"/>
  <c r="T17" s="1"/>
  <c r="J17" s="1"/>
  <c r="H79"/>
  <c r="T79" s="1"/>
  <c r="J79" s="1"/>
  <c r="H75"/>
  <c r="T75" s="1"/>
  <c r="J75" s="1"/>
  <c r="H73"/>
  <c r="T73" s="1"/>
  <c r="J73" s="1"/>
  <c r="H71"/>
  <c r="T71" s="1"/>
  <c r="J71" s="1"/>
  <c r="H69"/>
  <c r="T69" s="1"/>
  <c r="J69" s="1"/>
  <c r="H67"/>
  <c r="T67" s="1"/>
  <c r="J67" s="1"/>
  <c r="H65"/>
  <c r="T65" s="1"/>
  <c r="J65" s="1"/>
  <c r="H62"/>
  <c r="T62" s="1"/>
  <c r="J62" s="1"/>
  <c r="H60"/>
  <c r="T60" s="1"/>
  <c r="J60" s="1"/>
  <c r="H58"/>
  <c r="T58" s="1"/>
  <c r="J58" s="1"/>
  <c r="H56"/>
  <c r="T56" s="1"/>
  <c r="J56" s="1"/>
  <c r="H54"/>
  <c r="T54" s="1"/>
  <c r="J54" s="1"/>
  <c r="H52"/>
  <c r="T52" s="1"/>
  <c r="J52" s="1"/>
  <c r="H50"/>
  <c r="T50" s="1"/>
  <c r="J50" s="1"/>
  <c r="H48"/>
  <c r="T48" s="1"/>
  <c r="J48" s="1"/>
  <c r="H44"/>
  <c r="T44" s="1"/>
  <c r="J44" s="1"/>
  <c r="H42"/>
  <c r="T42" s="1"/>
  <c r="J42" s="1"/>
  <c r="H18"/>
  <c r="T18" s="1"/>
  <c r="J18" s="1"/>
  <c r="H14"/>
  <c r="T14" s="1"/>
  <c r="J14" s="1"/>
  <c r="H11"/>
  <c r="T11" s="1"/>
  <c r="J11" s="1"/>
  <c r="H8"/>
  <c r="T8" s="1"/>
  <c r="J8" s="1"/>
  <c r="T57" i="20"/>
  <c r="T61"/>
  <c r="T65"/>
  <c r="T69"/>
  <c r="T73"/>
  <c r="H51" i="25"/>
  <c r="T51" s="1"/>
  <c r="J51" s="1"/>
  <c r="H49"/>
  <c r="T49" s="1"/>
  <c r="J49" s="1"/>
  <c r="H47"/>
  <c r="T47" s="1"/>
  <c r="J47" s="1"/>
  <c r="H43"/>
  <c r="T43" s="1"/>
  <c r="J43" s="1"/>
  <c r="H15"/>
  <c r="T15" s="1"/>
  <c r="J15" s="1"/>
  <c r="H13"/>
  <c r="T13" s="1"/>
  <c r="H9"/>
  <c r="T9" s="1"/>
  <c r="J9" s="1"/>
  <c r="H7"/>
  <c r="T7" s="1"/>
  <c r="J7" s="1"/>
  <c r="D23" i="1"/>
  <c r="D4" s="1"/>
  <c r="H126" i="20"/>
  <c r="T77"/>
  <c r="R6" i="24"/>
  <c r="F5" i="26"/>
  <c r="N5"/>
  <c r="T46"/>
  <c r="L46" s="1"/>
  <c r="D5"/>
  <c r="D4" i="5" s="1"/>
  <c r="G7" i="33" s="1"/>
  <c r="G9" s="1"/>
  <c r="P5" i="26"/>
  <c r="H10" i="25"/>
  <c r="T10" s="1"/>
  <c r="J10" s="1"/>
  <c r="H12"/>
  <c r="T12" s="1"/>
  <c r="J12" s="1"/>
  <c r="H37"/>
  <c r="T37" s="1"/>
  <c r="J37" s="1"/>
  <c r="H30"/>
  <c r="D36" i="23"/>
  <c r="D46" s="1"/>
  <c r="D48" i="32"/>
  <c r="D47" s="1"/>
  <c r="D5" s="1"/>
  <c r="H96"/>
  <c r="R96" s="1"/>
  <c r="J96" s="1"/>
  <c r="H86"/>
  <c r="R86" s="1"/>
  <c r="J86" s="1"/>
  <c r="D47" i="4"/>
  <c r="D41"/>
  <c r="D32"/>
  <c r="D28"/>
  <c r="D29" i="14"/>
  <c r="D30" i="25"/>
  <c r="L6"/>
  <c r="L5" s="1"/>
  <c r="H27" i="32"/>
  <c r="R27" s="1"/>
  <c r="J27" s="1"/>
  <c r="D36" i="4"/>
  <c r="D19"/>
  <c r="D9"/>
  <c r="D16" i="14"/>
  <c r="D4"/>
  <c r="D33" i="25"/>
  <c r="N6"/>
  <c r="N5" s="1"/>
  <c r="D5" i="4"/>
  <c r="D4" s="1"/>
  <c r="J16" i="25"/>
  <c r="D8" i="14"/>
  <c r="D14" i="37"/>
  <c r="D13" s="1"/>
  <c r="D29" s="1"/>
  <c r="H95" i="25"/>
  <c r="D30" i="13"/>
  <c r="D29" s="1"/>
  <c r="D25" i="14" s="1"/>
  <c r="D24" s="1"/>
  <c r="D11" i="37"/>
  <c r="D12" s="1"/>
  <c r="N19" i="32"/>
  <c r="N61"/>
  <c r="N47"/>
  <c r="L5"/>
  <c r="H34"/>
  <c r="R34" s="1"/>
  <c r="J34" s="1"/>
  <c r="H7"/>
  <c r="R7" s="1"/>
  <c r="J7" s="1"/>
  <c r="H62"/>
  <c r="R62" s="1"/>
  <c r="J62" s="1"/>
  <c r="F5"/>
  <c r="D46" i="31"/>
  <c r="D30"/>
  <c r="D34" s="1"/>
  <c r="D32" s="1"/>
  <c r="D31" s="1"/>
  <c r="D35" s="1"/>
  <c r="D46" i="30"/>
  <c r="D7"/>
  <c r="D30" s="1"/>
  <c r="D34" s="1"/>
  <c r="D32" s="1"/>
  <c r="D31" s="1"/>
  <c r="D35" s="1"/>
  <c r="D7" i="29"/>
  <c r="D34"/>
  <c r="D32" s="1"/>
  <c r="D31" s="1"/>
  <c r="D35" s="1"/>
  <c r="D46"/>
  <c r="D30"/>
  <c r="D46" i="28"/>
  <c r="D7"/>
  <c r="D30" s="1"/>
  <c r="D46" i="27"/>
  <c r="D7"/>
  <c r="D34" s="1"/>
  <c r="D46" i="7"/>
  <c r="D7"/>
  <c r="D34" s="1"/>
  <c r="D32" s="1"/>
  <c r="D31" s="1"/>
  <c r="D35" s="1"/>
  <c r="H6" i="24"/>
  <c r="H5" s="1"/>
  <c r="D30" i="23"/>
  <c r="T43" i="26"/>
  <c r="L43"/>
  <c r="J43"/>
  <c r="J28"/>
  <c r="J6"/>
  <c r="D46" i="5"/>
  <c r="D30"/>
  <c r="D34" s="1"/>
  <c r="D32" s="1"/>
  <c r="D31" s="1"/>
  <c r="D35" s="1"/>
  <c r="D56" i="1"/>
  <c r="T38" i="20"/>
  <c r="D9" i="13"/>
  <c r="D4" s="1"/>
  <c r="H6" i="20"/>
  <c r="J124" i="41"/>
  <c r="J105"/>
  <c r="C76" i="32"/>
  <c r="C5" i="31"/>
  <c r="C5" i="18"/>
  <c r="E2" i="47"/>
  <c r="J34" i="25" l="1"/>
  <c r="T34"/>
  <c r="D53" i="4"/>
  <c r="D46"/>
  <c r="H94" i="25"/>
  <c r="T95"/>
  <c r="J95" s="1"/>
  <c r="T30"/>
  <c r="J30" s="1"/>
  <c r="J23"/>
  <c r="T23"/>
  <c r="T19"/>
  <c r="J19" s="1"/>
  <c r="H91"/>
  <c r="G18" i="33"/>
  <c r="D45" i="4"/>
  <c r="D32" i="27"/>
  <c r="D31" s="1"/>
  <c r="D35" s="1"/>
  <c r="N74" i="32"/>
  <c r="H20"/>
  <c r="R20" s="1"/>
  <c r="J20" s="1"/>
  <c r="H35" i="25"/>
  <c r="T35" s="1"/>
  <c r="J35" s="1"/>
  <c r="R68" i="32"/>
  <c r="J68" s="1"/>
  <c r="N5"/>
  <c r="H75"/>
  <c r="J6" i="24"/>
  <c r="D6" i="25"/>
  <c r="D5" s="1"/>
  <c r="D13" i="14"/>
  <c r="D17" i="13"/>
  <c r="R67" i="24"/>
  <c r="J67"/>
  <c r="J5" s="1"/>
  <c r="R5"/>
  <c r="D26" i="13"/>
  <c r="H41" i="25"/>
  <c r="D3" i="14"/>
  <c r="D22" s="1"/>
  <c r="D31" i="4"/>
  <c r="D30" i="37"/>
  <c r="H124" i="20"/>
  <c r="T124" s="1"/>
  <c r="J124" s="1"/>
  <c r="P35"/>
  <c r="P5" s="1"/>
  <c r="T117"/>
  <c r="J35" s="1"/>
  <c r="D96" i="1"/>
  <c r="D80"/>
  <c r="H6" i="32"/>
  <c r="D3" i="4"/>
  <c r="H61" i="32"/>
  <c r="H31" i="25"/>
  <c r="T31" s="1"/>
  <c r="J31" s="1"/>
  <c r="T28" i="26"/>
  <c r="L28"/>
  <c r="L5" s="1"/>
  <c r="H38" i="25"/>
  <c r="D23" i="14"/>
  <c r="T6" i="26"/>
  <c r="H33" i="32"/>
  <c r="T91" i="25"/>
  <c r="J91"/>
  <c r="H40"/>
  <c r="T40" s="1"/>
  <c r="J40" s="1"/>
  <c r="P6"/>
  <c r="D28" i="13"/>
  <c r="D27" s="1"/>
  <c r="D34" i="28"/>
  <c r="D32" s="1"/>
  <c r="D31" s="1"/>
  <c r="D35" s="1"/>
  <c r="D30" i="27"/>
  <c r="D30" i="7"/>
  <c r="J5" i="26"/>
  <c r="O124" i="20"/>
  <c r="D44" i="4" l="1"/>
  <c r="J38" i="25"/>
  <c r="T38"/>
  <c r="C129" i="20"/>
  <c r="C130" s="1"/>
  <c r="T94" i="25"/>
  <c r="H19" i="32"/>
  <c r="H74"/>
  <c r="R75"/>
  <c r="J75" s="1"/>
  <c r="D39" i="13"/>
  <c r="R74" i="32"/>
  <c r="P41" i="25"/>
  <c r="P5" s="1"/>
  <c r="H5" i="20"/>
  <c r="T35"/>
  <c r="J94" i="25"/>
  <c r="D32" i="14"/>
  <c r="D62" i="4"/>
  <c r="J6" i="32"/>
  <c r="R6"/>
  <c r="T5" i="26"/>
  <c r="R33" i="32"/>
  <c r="J33"/>
  <c r="J74"/>
  <c r="R19"/>
  <c r="J19"/>
  <c r="R61"/>
  <c r="J61"/>
  <c r="AV46" i="21"/>
  <c r="C12" i="18"/>
  <c r="T41" i="25" l="1"/>
  <c r="J81"/>
  <c r="J41" s="1"/>
  <c r="H169" i="41"/>
  <c r="J165"/>
  <c r="K82" i="25" l="1"/>
  <c r="K41" s="1"/>
  <c r="I32" i="26"/>
  <c r="I31"/>
  <c r="I30"/>
  <c r="E46" i="21" l="1"/>
  <c r="C34" i="23"/>
  <c r="G21" i="24"/>
  <c r="K35" i="20"/>
  <c r="M35"/>
  <c r="G123"/>
  <c r="G122" s="1"/>
  <c r="G89" i="25" s="1"/>
  <c r="S89" s="1"/>
  <c r="I89" s="1"/>
  <c r="BF46" i="21"/>
  <c r="BF16"/>
  <c r="BF19"/>
  <c r="BF25"/>
  <c r="BF26"/>
  <c r="BF35"/>
  <c r="BF48"/>
  <c r="BF56"/>
  <c r="BF61"/>
  <c r="BF70"/>
  <c r="BF88"/>
  <c r="BB50"/>
  <c r="C28" i="1"/>
  <c r="S122" i="20" l="1"/>
  <c r="I122" s="1"/>
  <c r="BF89" i="21"/>
  <c r="C4" i="18" l="1"/>
  <c r="C10" l="1"/>
  <c r="AS46" i="21"/>
  <c r="M28" i="26"/>
  <c r="O28"/>
  <c r="G121" i="20"/>
  <c r="G120" s="1"/>
  <c r="E60" i="21"/>
  <c r="E59"/>
  <c r="E58"/>
  <c r="E57"/>
  <c r="E54"/>
  <c r="E53"/>
  <c r="E52"/>
  <c r="E51"/>
  <c r="E50"/>
  <c r="E49"/>
  <c r="E47"/>
  <c r="E45"/>
  <c r="E44"/>
  <c r="E43"/>
  <c r="E42"/>
  <c r="E41"/>
  <c r="E40"/>
  <c r="E39"/>
  <c r="E38"/>
  <c r="E37"/>
  <c r="E36"/>
  <c r="E34"/>
  <c r="E33"/>
  <c r="E32"/>
  <c r="E31"/>
  <c r="E30"/>
  <c r="E29"/>
  <c r="E28"/>
  <c r="E27"/>
  <c r="E24"/>
  <c r="E23"/>
  <c r="E22"/>
  <c r="E20"/>
  <c r="E18"/>
  <c r="E17"/>
  <c r="E15"/>
  <c r="E14"/>
  <c r="E13"/>
  <c r="E12"/>
  <c r="E11"/>
  <c r="E10"/>
  <c r="E9"/>
  <c r="E7"/>
  <c r="E6"/>
  <c r="E3"/>
  <c r="E4"/>
  <c r="E2"/>
  <c r="BE89"/>
  <c r="BE88"/>
  <c r="BE70"/>
  <c r="BE61"/>
  <c r="BE56"/>
  <c r="BE48"/>
  <c r="BE35"/>
  <c r="BE26"/>
  <c r="BE25"/>
  <c r="BE19"/>
  <c r="BE16"/>
  <c r="I42" i="26"/>
  <c r="I40" s="1"/>
  <c r="S40" s="1"/>
  <c r="K40" s="1"/>
  <c r="I41"/>
  <c r="E59" i="46"/>
  <c r="E8"/>
  <c r="E7"/>
  <c r="W68"/>
  <c r="W67"/>
  <c r="W58"/>
  <c r="W57"/>
  <c r="W6"/>
  <c r="W42"/>
  <c r="C21" i="1"/>
  <c r="I4" i="49"/>
  <c r="I7"/>
  <c r="C7"/>
  <c r="D7"/>
  <c r="E7"/>
  <c r="F7"/>
  <c r="G7"/>
  <c r="H7"/>
  <c r="B7"/>
  <c r="C13" i="18"/>
  <c r="E147" i="39"/>
  <c r="E145"/>
  <c r="BC57" i="21"/>
  <c r="C5" i="35"/>
  <c r="C19" s="1"/>
  <c r="C39" i="34"/>
  <c r="C43" i="7"/>
  <c r="E145" i="38"/>
  <c r="AG15" i="21"/>
  <c r="Q24"/>
  <c r="S120" i="20" l="1"/>
  <c r="I120" s="1"/>
  <c r="G88" i="25"/>
  <c r="S88" s="1"/>
  <c r="I88" s="1"/>
  <c r="AN46" i="21"/>
  <c r="K33" i="25"/>
  <c r="E41"/>
  <c r="U20" i="21"/>
  <c r="U15"/>
  <c r="Q47"/>
  <c r="I39" i="26"/>
  <c r="I38"/>
  <c r="E55" i="46"/>
  <c r="E56"/>
  <c r="U68"/>
  <c r="U67"/>
  <c r="U58"/>
  <c r="U57"/>
  <c r="U49"/>
  <c r="K20" i="25"/>
  <c r="C18" i="1"/>
  <c r="C16" s="1"/>
  <c r="G5" i="26"/>
  <c r="G6"/>
  <c r="C6"/>
  <c r="E6"/>
  <c r="C20" i="25"/>
  <c r="M6" i="26"/>
  <c r="O6"/>
  <c r="I27"/>
  <c r="I26"/>
  <c r="E9" i="46"/>
  <c r="E10"/>
  <c r="E11"/>
  <c r="E12"/>
  <c r="E60"/>
  <c r="E61"/>
  <c r="E62"/>
  <c r="E63"/>
  <c r="E64"/>
  <c r="E65"/>
  <c r="E66"/>
  <c r="I42"/>
  <c r="I67"/>
  <c r="I58"/>
  <c r="I6"/>
  <c r="L17" i="33"/>
  <c r="J17"/>
  <c r="L7"/>
  <c r="L9" s="1"/>
  <c r="J7"/>
  <c r="J9" s="1"/>
  <c r="J18" s="1"/>
  <c r="M96" i="32"/>
  <c r="M40" i="25" s="1"/>
  <c r="M86" i="32"/>
  <c r="M38" i="25" s="1"/>
  <c r="G99" i="32"/>
  <c r="G89"/>
  <c r="M43" i="25"/>
  <c r="M41" s="1"/>
  <c r="M16"/>
  <c r="M9"/>
  <c r="M8"/>
  <c r="K36"/>
  <c r="K39"/>
  <c r="K37"/>
  <c r="K38"/>
  <c r="K18"/>
  <c r="K30"/>
  <c r="K10"/>
  <c r="S46"/>
  <c r="I46" s="1"/>
  <c r="S45"/>
  <c r="I45" s="1"/>
  <c r="C83"/>
  <c r="C82"/>
  <c r="K91"/>
  <c r="M91"/>
  <c r="O91"/>
  <c r="K94"/>
  <c r="M94"/>
  <c r="O94"/>
  <c r="C11" i="1"/>
  <c r="C10"/>
  <c r="C9"/>
  <c r="C8"/>
  <c r="C7"/>
  <c r="L27" i="20" s="1"/>
  <c r="F6" i="1"/>
  <c r="G85" i="48"/>
  <c r="G76"/>
  <c r="G73"/>
  <c r="G72" s="1"/>
  <c r="G67"/>
  <c r="G64"/>
  <c r="G61"/>
  <c r="G60" s="1"/>
  <c r="G79" s="1"/>
  <c r="G59"/>
  <c r="G49"/>
  <c r="G46"/>
  <c r="G43"/>
  <c r="G50" s="1"/>
  <c r="G25"/>
  <c r="G22"/>
  <c r="G18"/>
  <c r="G14"/>
  <c r="G21" s="1"/>
  <c r="G28" s="1"/>
  <c r="G7"/>
  <c r="G13" s="1"/>
  <c r="C40" i="25"/>
  <c r="C39"/>
  <c r="C38"/>
  <c r="C37"/>
  <c r="C36"/>
  <c r="C35"/>
  <c r="M29"/>
  <c r="C31"/>
  <c r="C10"/>
  <c r="C21"/>
  <c r="C22"/>
  <c r="C26"/>
  <c r="C27"/>
  <c r="C28"/>
  <c r="C16"/>
  <c r="E6"/>
  <c r="M13"/>
  <c r="M25"/>
  <c r="C19"/>
  <c r="K124" i="20" l="1"/>
  <c r="K16" i="25"/>
  <c r="K6" s="1"/>
  <c r="L18" i="33"/>
  <c r="E5" i="25"/>
  <c r="C41"/>
  <c r="I37" i="26"/>
  <c r="S37" s="1"/>
  <c r="K37" s="1"/>
  <c r="I25"/>
  <c r="S25" s="1"/>
  <c r="K25" s="1"/>
  <c r="K27" i="20"/>
  <c r="G80" i="48"/>
  <c r="C3" i="18"/>
  <c r="C37" i="7"/>
  <c r="C16" i="31"/>
  <c r="L6" i="20" l="1"/>
  <c r="L5" s="1"/>
  <c r="T27"/>
  <c r="G84" i="25"/>
  <c r="S84" s="1"/>
  <c r="I84" s="1"/>
  <c r="K5"/>
  <c r="G20"/>
  <c r="S20" s="1"/>
  <c r="I20" s="1"/>
  <c r="C36" i="34"/>
  <c r="C35" s="1"/>
  <c r="C49" i="4"/>
  <c r="C27" i="1"/>
  <c r="C75" i="32"/>
  <c r="C74" s="1"/>
  <c r="E75"/>
  <c r="E74" s="1"/>
  <c r="K75"/>
  <c r="K74" s="1"/>
  <c r="G100"/>
  <c r="G98"/>
  <c r="G97"/>
  <c r="G95"/>
  <c r="G94"/>
  <c r="G90"/>
  <c r="G88"/>
  <c r="G87"/>
  <c r="G85"/>
  <c r="G84"/>
  <c r="G80"/>
  <c r="G79"/>
  <c r="Q101"/>
  <c r="I101" s="1"/>
  <c r="M76"/>
  <c r="M63"/>
  <c r="M34" i="25" s="1"/>
  <c r="G72" i="32"/>
  <c r="G71"/>
  <c r="G70"/>
  <c r="G69"/>
  <c r="G67"/>
  <c r="C52" i="34" s="1"/>
  <c r="C51" s="1"/>
  <c r="G66" i="32"/>
  <c r="G65"/>
  <c r="G64"/>
  <c r="C63"/>
  <c r="M7"/>
  <c r="Q73"/>
  <c r="I73" s="1"/>
  <c r="K61"/>
  <c r="E61"/>
  <c r="C55"/>
  <c r="C33" i="25" s="1"/>
  <c r="C49" i="32"/>
  <c r="C32" i="25" s="1"/>
  <c r="Q60" i="32"/>
  <c r="I60"/>
  <c r="M55"/>
  <c r="K47"/>
  <c r="E47"/>
  <c r="G45"/>
  <c r="G44"/>
  <c r="G43"/>
  <c r="G42"/>
  <c r="G40"/>
  <c r="C47" i="34" s="1"/>
  <c r="C46" s="1"/>
  <c r="G38" i="32"/>
  <c r="G37"/>
  <c r="G36"/>
  <c r="M41"/>
  <c r="M34" s="1"/>
  <c r="M33" s="1"/>
  <c r="C35"/>
  <c r="C34" s="1"/>
  <c r="C33" s="1"/>
  <c r="Q46"/>
  <c r="I46" s="1"/>
  <c r="K33"/>
  <c r="E33"/>
  <c r="K19"/>
  <c r="E19"/>
  <c r="Q32"/>
  <c r="I32" s="1"/>
  <c r="M27"/>
  <c r="G31"/>
  <c r="G30"/>
  <c r="G29"/>
  <c r="G28"/>
  <c r="G24"/>
  <c r="G23"/>
  <c r="G22"/>
  <c r="C21"/>
  <c r="C20" s="1"/>
  <c r="C19" s="1"/>
  <c r="E6"/>
  <c r="E5" s="1"/>
  <c r="K6"/>
  <c r="M6"/>
  <c r="Q18"/>
  <c r="I18" s="1"/>
  <c r="C8"/>
  <c r="G17"/>
  <c r="G16"/>
  <c r="G15"/>
  <c r="G14"/>
  <c r="G11"/>
  <c r="G10"/>
  <c r="G9"/>
  <c r="F16" i="33"/>
  <c r="F15"/>
  <c r="F14"/>
  <c r="F13"/>
  <c r="F12"/>
  <c r="F11"/>
  <c r="G29" i="46"/>
  <c r="G47"/>
  <c r="G150"/>
  <c r="C39" i="4"/>
  <c r="C37"/>
  <c r="C35"/>
  <c r="C30"/>
  <c r="C25"/>
  <c r="C20"/>
  <c r="I15" i="21"/>
  <c r="I20"/>
  <c r="I9"/>
  <c r="M62" i="32" l="1"/>
  <c r="M61" s="1"/>
  <c r="T6" i="20"/>
  <c r="T5" s="1"/>
  <c r="J27"/>
  <c r="J6" s="1"/>
  <c r="J5" s="1"/>
  <c r="G86" i="32"/>
  <c r="G38" i="25" s="1"/>
  <c r="S38" s="1"/>
  <c r="G96" i="32"/>
  <c r="G40" i="25" s="1"/>
  <c r="S40" s="1"/>
  <c r="I40" s="1"/>
  <c r="K5" i="32"/>
  <c r="C54" i="34"/>
  <c r="C53" s="1"/>
  <c r="C7" i="32"/>
  <c r="C6" s="1"/>
  <c r="C30" i="25"/>
  <c r="M20" i="32"/>
  <c r="M19" s="1"/>
  <c r="M31" i="25"/>
  <c r="C62" i="32"/>
  <c r="C61" s="1"/>
  <c r="C34" i="25"/>
  <c r="Q86" i="32"/>
  <c r="I86" s="1"/>
  <c r="M75"/>
  <c r="M74" s="1"/>
  <c r="G68"/>
  <c r="G63"/>
  <c r="G41"/>
  <c r="Q41" s="1"/>
  <c r="I41" s="1"/>
  <c r="C48"/>
  <c r="C47" s="1"/>
  <c r="G27"/>
  <c r="Q27" s="1"/>
  <c r="I27" s="1"/>
  <c r="G35"/>
  <c r="Q35" s="1"/>
  <c r="I35" s="1"/>
  <c r="BB51" i="21"/>
  <c r="BC58"/>
  <c r="C8" i="34"/>
  <c r="BB55" i="21"/>
  <c r="E55" s="1"/>
  <c r="G49"/>
  <c r="G55" s="1"/>
  <c r="BB60"/>
  <c r="Q96" i="32" l="1"/>
  <c r="I96" s="1"/>
  <c r="C5"/>
  <c r="G62"/>
  <c r="G61" s="1"/>
  <c r="Q63"/>
  <c r="I63" s="1"/>
  <c r="G34" i="25"/>
  <c r="S34" s="1"/>
  <c r="I34" s="1"/>
  <c r="Q68" i="32"/>
  <c r="I68" s="1"/>
  <c r="G35" i="25"/>
  <c r="S35" s="1"/>
  <c r="I35" s="1"/>
  <c r="C6"/>
  <c r="C5" s="1"/>
  <c r="I38"/>
  <c r="G34" i="32"/>
  <c r="G33" s="1"/>
  <c r="Q62"/>
  <c r="BC60" i="21"/>
  <c r="F122" i="39"/>
  <c r="E122"/>
  <c r="F122" i="47"/>
  <c r="G122"/>
  <c r="H122"/>
  <c r="I122"/>
  <c r="J122"/>
  <c r="K122"/>
  <c r="L122"/>
  <c r="M122"/>
  <c r="C20" i="13"/>
  <c r="C14"/>
  <c r="C15" i="31"/>
  <c r="C23" i="4" s="1"/>
  <c r="K173" i="47"/>
  <c r="I171"/>
  <c r="I174" s="1"/>
  <c r="J166"/>
  <c r="J171" s="1"/>
  <c r="J174" s="1"/>
  <c r="I166"/>
  <c r="K166" s="1"/>
  <c r="K159"/>
  <c r="Q34" i="32" l="1"/>
  <c r="I34" s="1"/>
  <c r="I33" s="1"/>
  <c r="Q61"/>
  <c r="I62"/>
  <c r="I61" s="1"/>
  <c r="K171" i="47"/>
  <c r="K174" s="1"/>
  <c r="Q33" i="32" l="1"/>
  <c r="F147" i="47"/>
  <c r="G147"/>
  <c r="H147"/>
  <c r="I147"/>
  <c r="J147"/>
  <c r="K147"/>
  <c r="L147"/>
  <c r="M147"/>
  <c r="E147"/>
  <c r="F61"/>
  <c r="G61"/>
  <c r="H61"/>
  <c r="I61"/>
  <c r="J61"/>
  <c r="K61"/>
  <c r="L61"/>
  <c r="M61"/>
  <c r="F56"/>
  <c r="G56"/>
  <c r="H56"/>
  <c r="I56"/>
  <c r="J56"/>
  <c r="K56"/>
  <c r="L56"/>
  <c r="M56"/>
  <c r="G55"/>
  <c r="H55"/>
  <c r="J55"/>
  <c r="K55"/>
  <c r="L55"/>
  <c r="M55"/>
  <c r="C44" i="31"/>
  <c r="M153" i="47" l="1"/>
  <c r="L153"/>
  <c r="K153"/>
  <c r="J153"/>
  <c r="I153"/>
  <c r="H153"/>
  <c r="G153"/>
  <c r="F153"/>
  <c r="E153"/>
  <c r="D152"/>
  <c r="D151"/>
  <c r="D150"/>
  <c r="D149"/>
  <c r="D153" s="1"/>
  <c r="M148"/>
  <c r="M154" s="1"/>
  <c r="L148"/>
  <c r="L154" s="1"/>
  <c r="K148"/>
  <c r="K154" s="1"/>
  <c r="J148"/>
  <c r="J154" s="1"/>
  <c r="I148"/>
  <c r="I154" s="1"/>
  <c r="H148"/>
  <c r="H154" s="1"/>
  <c r="G148"/>
  <c r="G154" s="1"/>
  <c r="F148"/>
  <c r="F154" s="1"/>
  <c r="D147"/>
  <c r="D146"/>
  <c r="D145"/>
  <c r="D144"/>
  <c r="M140"/>
  <c r="L140"/>
  <c r="K140"/>
  <c r="J140"/>
  <c r="I140"/>
  <c r="H140"/>
  <c r="G140"/>
  <c r="F140"/>
  <c r="E140"/>
  <c r="D139"/>
  <c r="D138"/>
  <c r="D137"/>
  <c r="D136"/>
  <c r="D140" s="1"/>
  <c r="M135"/>
  <c r="L135"/>
  <c r="K135"/>
  <c r="J135"/>
  <c r="I135"/>
  <c r="H135"/>
  <c r="G135"/>
  <c r="F135"/>
  <c r="E135"/>
  <c r="D134"/>
  <c r="D133"/>
  <c r="D135" s="1"/>
  <c r="M132"/>
  <c r="L132"/>
  <c r="K132"/>
  <c r="J132"/>
  <c r="I132"/>
  <c r="H132"/>
  <c r="G132"/>
  <c r="F132"/>
  <c r="E132"/>
  <c r="D131"/>
  <c r="D130"/>
  <c r="D129"/>
  <c r="D128"/>
  <c r="D132" s="1"/>
  <c r="M127"/>
  <c r="L127"/>
  <c r="K127"/>
  <c r="J127"/>
  <c r="I127"/>
  <c r="H127"/>
  <c r="G127"/>
  <c r="F127"/>
  <c r="E127"/>
  <c r="D126"/>
  <c r="D125"/>
  <c r="D127" s="1"/>
  <c r="D124"/>
  <c r="D121"/>
  <c r="L120"/>
  <c r="J120"/>
  <c r="H120"/>
  <c r="F120"/>
  <c r="D119"/>
  <c r="M118"/>
  <c r="M120" s="1"/>
  <c r="L118"/>
  <c r="K118"/>
  <c r="K120" s="1"/>
  <c r="J118"/>
  <c r="I118"/>
  <c r="I120" s="1"/>
  <c r="H118"/>
  <c r="G118"/>
  <c r="G120" s="1"/>
  <c r="F118"/>
  <c r="E118"/>
  <c r="E120" s="1"/>
  <c r="D117"/>
  <c r="D116"/>
  <c r="D118" s="1"/>
  <c r="M114"/>
  <c r="L114"/>
  <c r="K114"/>
  <c r="J114"/>
  <c r="I114"/>
  <c r="H114"/>
  <c r="G114"/>
  <c r="F114"/>
  <c r="E114"/>
  <c r="D113"/>
  <c r="D112"/>
  <c r="D111"/>
  <c r="D110"/>
  <c r="M109"/>
  <c r="L109"/>
  <c r="K109"/>
  <c r="J109"/>
  <c r="I109"/>
  <c r="H109"/>
  <c r="G109"/>
  <c r="F109"/>
  <c r="E109"/>
  <c r="D108"/>
  <c r="D107"/>
  <c r="D106"/>
  <c r="D109" s="1"/>
  <c r="M105"/>
  <c r="L105"/>
  <c r="K105"/>
  <c r="J105"/>
  <c r="I105"/>
  <c r="H105"/>
  <c r="G105"/>
  <c r="F105"/>
  <c r="E105"/>
  <c r="D104"/>
  <c r="D103"/>
  <c r="D105" s="1"/>
  <c r="D102"/>
  <c r="M101"/>
  <c r="L101"/>
  <c r="K101"/>
  <c r="J101"/>
  <c r="I101"/>
  <c r="H101"/>
  <c r="G101"/>
  <c r="F101"/>
  <c r="E101"/>
  <c r="D100"/>
  <c r="D99"/>
  <c r="D98"/>
  <c r="M97"/>
  <c r="M123" s="1"/>
  <c r="M141" s="1"/>
  <c r="L97"/>
  <c r="L123" s="1"/>
  <c r="L141" s="1"/>
  <c r="K97"/>
  <c r="K123" s="1"/>
  <c r="K141" s="1"/>
  <c r="J97"/>
  <c r="J123" s="1"/>
  <c r="J141" s="1"/>
  <c r="I97"/>
  <c r="I123" s="1"/>
  <c r="I141" s="1"/>
  <c r="H97"/>
  <c r="H123" s="1"/>
  <c r="H141" s="1"/>
  <c r="G97"/>
  <c r="G123" s="1"/>
  <c r="G141" s="1"/>
  <c r="F97"/>
  <c r="E97"/>
  <c r="D96"/>
  <c r="D95"/>
  <c r="D94"/>
  <c r="D93"/>
  <c r="M91"/>
  <c r="L91"/>
  <c r="K91"/>
  <c r="J91"/>
  <c r="I91"/>
  <c r="H91"/>
  <c r="G91"/>
  <c r="F91"/>
  <c r="E91"/>
  <c r="D90"/>
  <c r="D89"/>
  <c r="D91" s="1"/>
  <c r="M88"/>
  <c r="M92" s="1"/>
  <c r="L88"/>
  <c r="L92" s="1"/>
  <c r="K88"/>
  <c r="K92" s="1"/>
  <c r="J88"/>
  <c r="J92" s="1"/>
  <c r="I88"/>
  <c r="H88"/>
  <c r="H92" s="1"/>
  <c r="G88"/>
  <c r="G92" s="1"/>
  <c r="F88"/>
  <c r="F92" s="1"/>
  <c r="E88"/>
  <c r="D87"/>
  <c r="D86"/>
  <c r="D85"/>
  <c r="D84"/>
  <c r="D83"/>
  <c r="D82"/>
  <c r="D88" s="1"/>
  <c r="M80"/>
  <c r="L80"/>
  <c r="K80"/>
  <c r="J80"/>
  <c r="I80"/>
  <c r="H80"/>
  <c r="G80"/>
  <c r="F80"/>
  <c r="E80"/>
  <c r="D79"/>
  <c r="D78"/>
  <c r="D80" s="1"/>
  <c r="M77"/>
  <c r="L77"/>
  <c r="K77"/>
  <c r="J77"/>
  <c r="I77"/>
  <c r="H77"/>
  <c r="G77"/>
  <c r="F77"/>
  <c r="E77"/>
  <c r="D76"/>
  <c r="D75"/>
  <c r="D74"/>
  <c r="D73"/>
  <c r="D72"/>
  <c r="D71"/>
  <c r="M70"/>
  <c r="M81" s="1"/>
  <c r="L70"/>
  <c r="L81" s="1"/>
  <c r="K70"/>
  <c r="J70"/>
  <c r="I70"/>
  <c r="I81" s="1"/>
  <c r="H70"/>
  <c r="H81" s="1"/>
  <c r="G70"/>
  <c r="G81" s="1"/>
  <c r="F70"/>
  <c r="F81" s="1"/>
  <c r="E70"/>
  <c r="E81" s="1"/>
  <c r="D69"/>
  <c r="D68"/>
  <c r="D67"/>
  <c r="D66"/>
  <c r="D65"/>
  <c r="D64"/>
  <c r="M63"/>
  <c r="L63"/>
  <c r="K63"/>
  <c r="J63"/>
  <c r="H63"/>
  <c r="G63"/>
  <c r="D62"/>
  <c r="E61"/>
  <c r="D61" s="1"/>
  <c r="D60"/>
  <c r="D59"/>
  <c r="D58"/>
  <c r="D57"/>
  <c r="E56"/>
  <c r="D56" s="1"/>
  <c r="M52"/>
  <c r="L52"/>
  <c r="K52"/>
  <c r="J52"/>
  <c r="I52"/>
  <c r="H52"/>
  <c r="G52"/>
  <c r="F52"/>
  <c r="E52"/>
  <c r="D51"/>
  <c r="D50"/>
  <c r="D49"/>
  <c r="D48"/>
  <c r="D47"/>
  <c r="D46"/>
  <c r="D45"/>
  <c r="M44"/>
  <c r="L44"/>
  <c r="K44"/>
  <c r="J44"/>
  <c r="I44"/>
  <c r="H44"/>
  <c r="G44"/>
  <c r="F44"/>
  <c r="E44"/>
  <c r="D43"/>
  <c r="D42"/>
  <c r="D44" s="1"/>
  <c r="M41"/>
  <c r="M53" s="1"/>
  <c r="L41"/>
  <c r="L53" s="1"/>
  <c r="K41"/>
  <c r="K53" s="1"/>
  <c r="J41"/>
  <c r="J53" s="1"/>
  <c r="I41"/>
  <c r="H41"/>
  <c r="H53" s="1"/>
  <c r="G41"/>
  <c r="G53" s="1"/>
  <c r="F41"/>
  <c r="F53" s="1"/>
  <c r="E41"/>
  <c r="D40"/>
  <c r="D39"/>
  <c r="D41" s="1"/>
  <c r="M37"/>
  <c r="L37"/>
  <c r="K37"/>
  <c r="J37"/>
  <c r="I37"/>
  <c r="H37"/>
  <c r="G37"/>
  <c r="F37"/>
  <c r="E37"/>
  <c r="D36"/>
  <c r="D35"/>
  <c r="D34"/>
  <c r="D33"/>
  <c r="D32"/>
  <c r="D31"/>
  <c r="D37" s="1"/>
  <c r="D30"/>
  <c r="M29"/>
  <c r="L29"/>
  <c r="K29"/>
  <c r="J29"/>
  <c r="I29"/>
  <c r="H29"/>
  <c r="G29"/>
  <c r="F29"/>
  <c r="E29"/>
  <c r="D28"/>
  <c r="D27"/>
  <c r="D29" s="1"/>
  <c r="D26"/>
  <c r="D25"/>
  <c r="D24"/>
  <c r="M23"/>
  <c r="L23"/>
  <c r="K23"/>
  <c r="J23"/>
  <c r="I23"/>
  <c r="H23"/>
  <c r="G23"/>
  <c r="F23"/>
  <c r="E23"/>
  <c r="D22"/>
  <c r="D21"/>
  <c r="D20"/>
  <c r="D19"/>
  <c r="D18"/>
  <c r="D17"/>
  <c r="D16"/>
  <c r="D15"/>
  <c r="D14"/>
  <c r="M13"/>
  <c r="L13"/>
  <c r="K13"/>
  <c r="J13"/>
  <c r="I13"/>
  <c r="H13"/>
  <c r="G13"/>
  <c r="F13"/>
  <c r="E13"/>
  <c r="D12"/>
  <c r="D11"/>
  <c r="D10"/>
  <c r="D9"/>
  <c r="M8"/>
  <c r="M38" s="1"/>
  <c r="M54" s="1"/>
  <c r="L8"/>
  <c r="L38" s="1"/>
  <c r="L54" s="1"/>
  <c r="K8"/>
  <c r="K38" s="1"/>
  <c r="K54" s="1"/>
  <c r="J8"/>
  <c r="J38" s="1"/>
  <c r="J54" s="1"/>
  <c r="I8"/>
  <c r="H8"/>
  <c r="H38" s="1"/>
  <c r="H54" s="1"/>
  <c r="G8"/>
  <c r="G38" s="1"/>
  <c r="G54" s="1"/>
  <c r="F8"/>
  <c r="E8"/>
  <c r="D7"/>
  <c r="D6"/>
  <c r="D5"/>
  <c r="D4"/>
  <c r="D3"/>
  <c r="D2"/>
  <c r="E55" l="1"/>
  <c r="I92"/>
  <c r="K81"/>
  <c r="I53"/>
  <c r="D52"/>
  <c r="D53" s="1"/>
  <c r="I38"/>
  <c r="I54" s="1"/>
  <c r="G92" i="32" s="1"/>
  <c r="I55" i="47"/>
  <c r="I63" s="1"/>
  <c r="G93" i="32" s="1"/>
  <c r="J81" i="47"/>
  <c r="F123"/>
  <c r="F141" s="1"/>
  <c r="D70"/>
  <c r="D23"/>
  <c r="D13"/>
  <c r="F38"/>
  <c r="F54" s="1"/>
  <c r="G82" i="32" s="1"/>
  <c r="F55" i="47"/>
  <c r="F63" s="1"/>
  <c r="G83" i="32" s="1"/>
  <c r="D120" i="47"/>
  <c r="D114"/>
  <c r="D101"/>
  <c r="D97"/>
  <c r="E92"/>
  <c r="D77"/>
  <c r="E53"/>
  <c r="E38"/>
  <c r="D8"/>
  <c r="D92"/>
  <c r="D148"/>
  <c r="E115"/>
  <c r="G115"/>
  <c r="G142" s="1"/>
  <c r="G143" s="1"/>
  <c r="G155" s="1"/>
  <c r="I115"/>
  <c r="I142" s="1"/>
  <c r="K115"/>
  <c r="K142" s="1"/>
  <c r="K143" s="1"/>
  <c r="K155" s="1"/>
  <c r="M115"/>
  <c r="M142" s="1"/>
  <c r="M143" s="1"/>
  <c r="M155" s="1"/>
  <c r="E148"/>
  <c r="E154" s="1"/>
  <c r="F115"/>
  <c r="F142" s="1"/>
  <c r="H115"/>
  <c r="H142" s="1"/>
  <c r="H143" s="1"/>
  <c r="H155" s="1"/>
  <c r="J115"/>
  <c r="J142" s="1"/>
  <c r="J143" s="1"/>
  <c r="J155" s="1"/>
  <c r="L115"/>
  <c r="L142" s="1"/>
  <c r="L143" s="1"/>
  <c r="L155" s="1"/>
  <c r="G91" i="32" l="1"/>
  <c r="G81"/>
  <c r="E54" i="47"/>
  <c r="G77" i="32" s="1"/>
  <c r="D38" i="47"/>
  <c r="I143"/>
  <c r="I155" s="1"/>
  <c r="D115"/>
  <c r="D81"/>
  <c r="F143"/>
  <c r="F155" s="1"/>
  <c r="D154"/>
  <c r="C43" i="31"/>
  <c r="E122" i="47"/>
  <c r="E123" s="1"/>
  <c r="E141" s="1"/>
  <c r="D122"/>
  <c r="D123" s="1"/>
  <c r="D141" s="1"/>
  <c r="E142"/>
  <c r="E63"/>
  <c r="D55"/>
  <c r="D63" s="1"/>
  <c r="C38" i="31" s="1"/>
  <c r="D54" i="47"/>
  <c r="Q91" i="32" l="1"/>
  <c r="I91" s="1"/>
  <c r="G39" i="25"/>
  <c r="S39" s="1"/>
  <c r="I39" s="1"/>
  <c r="G37"/>
  <c r="S37" s="1"/>
  <c r="I37" s="1"/>
  <c r="Q81" i="32"/>
  <c r="I81" s="1"/>
  <c r="E143" i="47"/>
  <c r="E155" s="1"/>
  <c r="G78" i="32"/>
  <c r="G76" s="1"/>
  <c r="D142" i="47"/>
  <c r="C39" i="31" s="1"/>
  <c r="C37"/>
  <c r="C11" i="5"/>
  <c r="C17" i="4" s="1"/>
  <c r="E195" i="46"/>
  <c r="O196"/>
  <c r="P196"/>
  <c r="O197"/>
  <c r="P197"/>
  <c r="O198"/>
  <c r="P198"/>
  <c r="O199"/>
  <c r="P199"/>
  <c r="O200"/>
  <c r="P200"/>
  <c r="O201"/>
  <c r="P201"/>
  <c r="O202"/>
  <c r="P202"/>
  <c r="O194"/>
  <c r="P194"/>
  <c r="D194"/>
  <c r="I24" i="26"/>
  <c r="I23"/>
  <c r="I22"/>
  <c r="O65" i="46"/>
  <c r="O61"/>
  <c r="O6"/>
  <c r="O42" s="1"/>
  <c r="O15"/>
  <c r="O20"/>
  <c r="O31"/>
  <c r="O35"/>
  <c r="O43"/>
  <c r="O46"/>
  <c r="O49"/>
  <c r="I45" i="26"/>
  <c r="I44" s="1"/>
  <c r="G92" i="25" s="1"/>
  <c r="C40" i="5"/>
  <c r="Y186" i="46"/>
  <c r="Y184"/>
  <c r="E184" s="1"/>
  <c r="Y183"/>
  <c r="F187"/>
  <c r="G187"/>
  <c r="H187"/>
  <c r="K187"/>
  <c r="L187"/>
  <c r="M187"/>
  <c r="N187"/>
  <c r="Q187"/>
  <c r="R187"/>
  <c r="S187"/>
  <c r="T187"/>
  <c r="Z187"/>
  <c r="E180"/>
  <c r="E181"/>
  <c r="E182"/>
  <c r="E183"/>
  <c r="E185"/>
  <c r="E186"/>
  <c r="E179"/>
  <c r="Z203"/>
  <c r="Y203"/>
  <c r="Z202"/>
  <c r="Y202"/>
  <c r="Z201"/>
  <c r="Y201"/>
  <c r="Z200"/>
  <c r="Y200"/>
  <c r="Z199"/>
  <c r="Y199"/>
  <c r="Z198"/>
  <c r="Y198"/>
  <c r="Z197"/>
  <c r="Y197"/>
  <c r="Z196"/>
  <c r="Z194" s="1"/>
  <c r="Z204" s="1"/>
  <c r="Y196"/>
  <c r="Y194" s="1"/>
  <c r="Y204" s="1"/>
  <c r="Z175"/>
  <c r="Y175"/>
  <c r="Z174"/>
  <c r="Y174"/>
  <c r="Z173"/>
  <c r="Y173"/>
  <c r="Z172"/>
  <c r="Y172"/>
  <c r="Z171"/>
  <c r="Z176" s="1"/>
  <c r="Y171"/>
  <c r="Y176" s="1"/>
  <c r="Z169"/>
  <c r="Y169"/>
  <c r="Z168"/>
  <c r="Y168"/>
  <c r="Z167"/>
  <c r="Y167"/>
  <c r="Z166"/>
  <c r="Y166"/>
  <c r="Z165"/>
  <c r="Y165"/>
  <c r="Z164"/>
  <c r="Y164"/>
  <c r="Z163"/>
  <c r="Y163"/>
  <c r="Z162"/>
  <c r="Z170" s="1"/>
  <c r="Z177" s="1"/>
  <c r="Z178" s="1"/>
  <c r="Y162"/>
  <c r="Y170" s="1"/>
  <c r="Y177" s="1"/>
  <c r="Y146"/>
  <c r="Y143"/>
  <c r="Y138"/>
  <c r="Y134"/>
  <c r="Y126"/>
  <c r="Y130" s="1"/>
  <c r="Y120"/>
  <c r="Y116"/>
  <c r="Y113"/>
  <c r="Y109"/>
  <c r="Y103"/>
  <c r="Y125" s="1"/>
  <c r="Y99"/>
  <c r="Y92"/>
  <c r="Y102" s="1"/>
  <c r="Y88"/>
  <c r="Y81"/>
  <c r="Y74"/>
  <c r="Y65"/>
  <c r="Y61"/>
  <c r="Y49"/>
  <c r="Y46"/>
  <c r="Y43"/>
  <c r="Y57" s="1"/>
  <c r="Y35"/>
  <c r="Y31"/>
  <c r="Y20"/>
  <c r="Y15"/>
  <c r="Y6"/>
  <c r="G133"/>
  <c r="G122"/>
  <c r="G119"/>
  <c r="G124"/>
  <c r="G112"/>
  <c r="I18" i="26"/>
  <c r="I17"/>
  <c r="C43"/>
  <c r="E43"/>
  <c r="C28"/>
  <c r="E28"/>
  <c r="C5"/>
  <c r="C4" i="5" s="1"/>
  <c r="F7" i="33" s="1"/>
  <c r="E5" i="26"/>
  <c r="M43"/>
  <c r="O43"/>
  <c r="M5"/>
  <c r="O5"/>
  <c r="I46"/>
  <c r="T203" i="46"/>
  <c r="S203"/>
  <c r="R203"/>
  <c r="Q203"/>
  <c r="N203"/>
  <c r="M203"/>
  <c r="L203"/>
  <c r="K203"/>
  <c r="H203"/>
  <c r="G203"/>
  <c r="F203"/>
  <c r="E203"/>
  <c r="T202"/>
  <c r="S202"/>
  <c r="R202"/>
  <c r="Q202"/>
  <c r="N202"/>
  <c r="M202"/>
  <c r="L202"/>
  <c r="K202"/>
  <c r="E202" s="1"/>
  <c r="H202"/>
  <c r="F202" s="1"/>
  <c r="T201"/>
  <c r="S201"/>
  <c r="R201"/>
  <c r="Q201"/>
  <c r="N201"/>
  <c r="M201"/>
  <c r="L201"/>
  <c r="H201"/>
  <c r="G201"/>
  <c r="E201" s="1"/>
  <c r="T200"/>
  <c r="S200"/>
  <c r="R200"/>
  <c r="Q200"/>
  <c r="N200"/>
  <c r="M200"/>
  <c r="E200" s="1"/>
  <c r="L200"/>
  <c r="H200"/>
  <c r="T199"/>
  <c r="S199"/>
  <c r="R199"/>
  <c r="Q199"/>
  <c r="N199"/>
  <c r="M199"/>
  <c r="L199"/>
  <c r="H199"/>
  <c r="G199"/>
  <c r="T198"/>
  <c r="S198"/>
  <c r="R198"/>
  <c r="Q198"/>
  <c r="N198"/>
  <c r="M198"/>
  <c r="L198"/>
  <c r="H198"/>
  <c r="G198"/>
  <c r="E198" s="1"/>
  <c r="T197"/>
  <c r="S197"/>
  <c r="R197"/>
  <c r="Q197"/>
  <c r="N197"/>
  <c r="M197"/>
  <c r="L197"/>
  <c r="K197"/>
  <c r="E197" s="1"/>
  <c r="H197"/>
  <c r="F197"/>
  <c r="T196"/>
  <c r="T194" s="1"/>
  <c r="S196"/>
  <c r="S194" s="1"/>
  <c r="S204" s="1"/>
  <c r="R196"/>
  <c r="R194" s="1"/>
  <c r="Q196"/>
  <c r="Q194" s="1"/>
  <c r="Q204" s="1"/>
  <c r="N196"/>
  <c r="N194" s="1"/>
  <c r="M196"/>
  <c r="M194" s="1"/>
  <c r="M204" s="1"/>
  <c r="L196"/>
  <c r="L194" s="1"/>
  <c r="K196"/>
  <c r="K194" s="1"/>
  <c r="K204" s="1"/>
  <c r="H196"/>
  <c r="H194" s="1"/>
  <c r="G196"/>
  <c r="G194" s="1"/>
  <c r="G204" s="1"/>
  <c r="F196"/>
  <c r="D204"/>
  <c r="D176"/>
  <c r="T175"/>
  <c r="S175"/>
  <c r="R175"/>
  <c r="Q175"/>
  <c r="N175"/>
  <c r="M175"/>
  <c r="L175"/>
  <c r="K175"/>
  <c r="H175"/>
  <c r="G175"/>
  <c r="F175"/>
  <c r="T174"/>
  <c r="S174"/>
  <c r="R174"/>
  <c r="Q174"/>
  <c r="N174"/>
  <c r="M174"/>
  <c r="L174"/>
  <c r="K174"/>
  <c r="H174"/>
  <c r="G174"/>
  <c r="F174"/>
  <c r="E174"/>
  <c r="T173"/>
  <c r="S173"/>
  <c r="R173"/>
  <c r="Q173"/>
  <c r="N173"/>
  <c r="M173"/>
  <c r="L173"/>
  <c r="K173"/>
  <c r="H173"/>
  <c r="G173"/>
  <c r="F173"/>
  <c r="E173"/>
  <c r="T172"/>
  <c r="S172"/>
  <c r="R172"/>
  <c r="Q172"/>
  <c r="N172"/>
  <c r="M172"/>
  <c r="L172"/>
  <c r="K172"/>
  <c r="H172"/>
  <c r="G172"/>
  <c r="F172"/>
  <c r="T171"/>
  <c r="T176" s="1"/>
  <c r="S171"/>
  <c r="R171"/>
  <c r="R176" s="1"/>
  <c r="Q171"/>
  <c r="N171"/>
  <c r="N176" s="1"/>
  <c r="M171"/>
  <c r="L171"/>
  <c r="L176" s="1"/>
  <c r="K171"/>
  <c r="H171"/>
  <c r="H176" s="1"/>
  <c r="G171"/>
  <c r="F171"/>
  <c r="F176" s="1"/>
  <c r="E171"/>
  <c r="D170"/>
  <c r="D177" s="1"/>
  <c r="T169"/>
  <c r="S169"/>
  <c r="R169"/>
  <c r="Q169"/>
  <c r="N169"/>
  <c r="M169"/>
  <c r="L169"/>
  <c r="H169"/>
  <c r="T168"/>
  <c r="S168"/>
  <c r="R168"/>
  <c r="Q168"/>
  <c r="N168"/>
  <c r="M168"/>
  <c r="L168"/>
  <c r="K168"/>
  <c r="H168"/>
  <c r="F168" s="1"/>
  <c r="G168"/>
  <c r="E168" s="1"/>
  <c r="T167"/>
  <c r="S167"/>
  <c r="R167"/>
  <c r="Q167"/>
  <c r="N167"/>
  <c r="M167"/>
  <c r="L167"/>
  <c r="K167"/>
  <c r="H167"/>
  <c r="F167" s="1"/>
  <c r="G167"/>
  <c r="E167" s="1"/>
  <c r="T166"/>
  <c r="S166"/>
  <c r="R166"/>
  <c r="Q166"/>
  <c r="N166"/>
  <c r="M166"/>
  <c r="L166"/>
  <c r="K166"/>
  <c r="H166"/>
  <c r="F166" s="1"/>
  <c r="G166"/>
  <c r="E166" s="1"/>
  <c r="T165"/>
  <c r="S165"/>
  <c r="R165"/>
  <c r="Q165"/>
  <c r="N165"/>
  <c r="M165"/>
  <c r="E165" s="1"/>
  <c r="L165"/>
  <c r="H165"/>
  <c r="T164"/>
  <c r="S164"/>
  <c r="R164"/>
  <c r="Q164"/>
  <c r="N164"/>
  <c r="M164"/>
  <c r="L164"/>
  <c r="K164"/>
  <c r="E164" s="1"/>
  <c r="H164"/>
  <c r="F164" s="1"/>
  <c r="T163"/>
  <c r="S163"/>
  <c r="R163"/>
  <c r="Q163"/>
  <c r="N163"/>
  <c r="M163"/>
  <c r="L163"/>
  <c r="K163"/>
  <c r="H163"/>
  <c r="G163"/>
  <c r="F163"/>
  <c r="E163"/>
  <c r="T162"/>
  <c r="S162"/>
  <c r="R162"/>
  <c r="Q162"/>
  <c r="N162"/>
  <c r="M162"/>
  <c r="L162"/>
  <c r="F162" s="1"/>
  <c r="H162"/>
  <c r="G162"/>
  <c r="M150"/>
  <c r="K150"/>
  <c r="F150"/>
  <c r="M149"/>
  <c r="K149"/>
  <c r="F149"/>
  <c r="M148"/>
  <c r="K148"/>
  <c r="F148"/>
  <c r="M147"/>
  <c r="K147"/>
  <c r="F147"/>
  <c r="S146"/>
  <c r="Q146"/>
  <c r="G146"/>
  <c r="F146"/>
  <c r="D146"/>
  <c r="M145"/>
  <c r="K145"/>
  <c r="F145"/>
  <c r="M144"/>
  <c r="K144"/>
  <c r="F144"/>
  <c r="S143"/>
  <c r="Q143"/>
  <c r="G143"/>
  <c r="F143"/>
  <c r="D143"/>
  <c r="M142"/>
  <c r="K142"/>
  <c r="F142"/>
  <c r="M141"/>
  <c r="K141"/>
  <c r="F141"/>
  <c r="M140"/>
  <c r="K140"/>
  <c r="F140"/>
  <c r="M139"/>
  <c r="K139"/>
  <c r="F139"/>
  <c r="S138"/>
  <c r="Q138"/>
  <c r="G138"/>
  <c r="F138"/>
  <c r="D138"/>
  <c r="M137"/>
  <c r="K137"/>
  <c r="F137"/>
  <c r="M136"/>
  <c r="K136"/>
  <c r="F136"/>
  <c r="M135"/>
  <c r="K135"/>
  <c r="F135"/>
  <c r="S134"/>
  <c r="Q134"/>
  <c r="G134"/>
  <c r="F134"/>
  <c r="D134"/>
  <c r="F133"/>
  <c r="F132"/>
  <c r="E132"/>
  <c r="G131"/>
  <c r="G151" s="1"/>
  <c r="F131"/>
  <c r="F151" s="1"/>
  <c r="D131"/>
  <c r="D151" s="1"/>
  <c r="M129"/>
  <c r="K129"/>
  <c r="F129"/>
  <c r="M128"/>
  <c r="K128"/>
  <c r="K126" s="1"/>
  <c r="F128"/>
  <c r="M127"/>
  <c r="F127"/>
  <c r="E127"/>
  <c r="S126"/>
  <c r="S130" s="1"/>
  <c r="Q126"/>
  <c r="Q130" s="1"/>
  <c r="G126"/>
  <c r="G130" s="1"/>
  <c r="F126"/>
  <c r="F130" s="1"/>
  <c r="D126"/>
  <c r="D130" s="1"/>
  <c r="M124"/>
  <c r="F124"/>
  <c r="E124"/>
  <c r="M123"/>
  <c r="F123"/>
  <c r="E123"/>
  <c r="M122"/>
  <c r="E122" s="1"/>
  <c r="F122"/>
  <c r="M121"/>
  <c r="K121"/>
  <c r="K120" s="1"/>
  <c r="F121"/>
  <c r="S120"/>
  <c r="Q120"/>
  <c r="G120"/>
  <c r="F120"/>
  <c r="D120"/>
  <c r="K119"/>
  <c r="F119"/>
  <c r="E119"/>
  <c r="K118"/>
  <c r="F118"/>
  <c r="E118"/>
  <c r="M117"/>
  <c r="M116" s="1"/>
  <c r="K117"/>
  <c r="F117"/>
  <c r="S116"/>
  <c r="Q116"/>
  <c r="G116"/>
  <c r="F116"/>
  <c r="D116"/>
  <c r="M115"/>
  <c r="E115" s="1"/>
  <c r="F115"/>
  <c r="S113"/>
  <c r="M114"/>
  <c r="F114"/>
  <c r="E114"/>
  <c r="Q113"/>
  <c r="K113"/>
  <c r="G113"/>
  <c r="F113"/>
  <c r="D113"/>
  <c r="M112"/>
  <c r="E112" s="1"/>
  <c r="F112"/>
  <c r="M111"/>
  <c r="K111"/>
  <c r="F111"/>
  <c r="M110"/>
  <c r="K110"/>
  <c r="F110"/>
  <c r="F109" s="1"/>
  <c r="S109"/>
  <c r="Q109"/>
  <c r="G109"/>
  <c r="D109"/>
  <c r="M108"/>
  <c r="K108"/>
  <c r="F108"/>
  <c r="M107"/>
  <c r="F107"/>
  <c r="E107"/>
  <c r="M106"/>
  <c r="K106"/>
  <c r="K103" s="1"/>
  <c r="F106"/>
  <c r="M105"/>
  <c r="E105" s="1"/>
  <c r="F105"/>
  <c r="S103"/>
  <c r="S125" s="1"/>
  <c r="M104"/>
  <c r="F104"/>
  <c r="E104"/>
  <c r="Q103"/>
  <c r="Q125" s="1"/>
  <c r="G103"/>
  <c r="F103"/>
  <c r="F125" s="1"/>
  <c r="D103"/>
  <c r="D125" s="1"/>
  <c r="M101"/>
  <c r="K101"/>
  <c r="K99" s="1"/>
  <c r="F101"/>
  <c r="M100"/>
  <c r="E100" s="1"/>
  <c r="F100"/>
  <c r="F99" s="1"/>
  <c r="S99"/>
  <c r="G99"/>
  <c r="D99"/>
  <c r="M98"/>
  <c r="K98"/>
  <c r="F98"/>
  <c r="M97"/>
  <c r="F97"/>
  <c r="E97"/>
  <c r="M96"/>
  <c r="K96"/>
  <c r="F96"/>
  <c r="M95"/>
  <c r="K95"/>
  <c r="F95"/>
  <c r="M94"/>
  <c r="E94" s="1"/>
  <c r="F94"/>
  <c r="M93"/>
  <c r="K93"/>
  <c r="F93"/>
  <c r="F92" s="1"/>
  <c r="S92"/>
  <c r="S102" s="1"/>
  <c r="G92"/>
  <c r="G102" s="1"/>
  <c r="D92"/>
  <c r="D102" s="1"/>
  <c r="M90"/>
  <c r="K90"/>
  <c r="F90"/>
  <c r="M89"/>
  <c r="K89"/>
  <c r="F89"/>
  <c r="S88"/>
  <c r="Q88"/>
  <c r="G88"/>
  <c r="F88"/>
  <c r="D88"/>
  <c r="M87"/>
  <c r="F87"/>
  <c r="E87"/>
  <c r="M86"/>
  <c r="E86" s="1"/>
  <c r="F86"/>
  <c r="M85"/>
  <c r="K85"/>
  <c r="F85"/>
  <c r="M84"/>
  <c r="K84"/>
  <c r="F84"/>
  <c r="M83"/>
  <c r="F83"/>
  <c r="E83"/>
  <c r="M82"/>
  <c r="K82"/>
  <c r="F82"/>
  <c r="S81"/>
  <c r="Q81"/>
  <c r="G81"/>
  <c r="F81"/>
  <c r="D81"/>
  <c r="M80"/>
  <c r="K80"/>
  <c r="F80"/>
  <c r="M79"/>
  <c r="K79"/>
  <c r="F79"/>
  <c r="M78"/>
  <c r="K78"/>
  <c r="F78"/>
  <c r="M77"/>
  <c r="K77"/>
  <c r="F77"/>
  <c r="M76"/>
  <c r="K76"/>
  <c r="F76"/>
  <c r="Q75"/>
  <c r="M75"/>
  <c r="F75"/>
  <c r="S74"/>
  <c r="S91" s="1"/>
  <c r="S133" s="1"/>
  <c r="S131" s="1"/>
  <c r="S151" s="1"/>
  <c r="G74"/>
  <c r="G91" s="1"/>
  <c r="F74"/>
  <c r="F91" s="1"/>
  <c r="D74"/>
  <c r="D91" s="1"/>
  <c r="D152" s="1"/>
  <c r="D67"/>
  <c r="F66"/>
  <c r="S65"/>
  <c r="Q65"/>
  <c r="K65"/>
  <c r="F65"/>
  <c r="F64"/>
  <c r="F63"/>
  <c r="F62"/>
  <c r="S61"/>
  <c r="Q61"/>
  <c r="K61"/>
  <c r="F61"/>
  <c r="F60"/>
  <c r="F59"/>
  <c r="F67" s="1"/>
  <c r="F56"/>
  <c r="F55"/>
  <c r="F54"/>
  <c r="E54"/>
  <c r="S53"/>
  <c r="F53"/>
  <c r="E53"/>
  <c r="F52"/>
  <c r="E52"/>
  <c r="F51"/>
  <c r="E51"/>
  <c r="F50"/>
  <c r="E50"/>
  <c r="S49"/>
  <c r="Q49"/>
  <c r="M49"/>
  <c r="K49"/>
  <c r="G49"/>
  <c r="F49"/>
  <c r="E49"/>
  <c r="D49"/>
  <c r="F48"/>
  <c r="E48"/>
  <c r="F47"/>
  <c r="E47"/>
  <c r="S46"/>
  <c r="Q46"/>
  <c r="M46"/>
  <c r="K46"/>
  <c r="G46"/>
  <c r="F46"/>
  <c r="E46"/>
  <c r="D46"/>
  <c r="F45"/>
  <c r="E45"/>
  <c r="F44"/>
  <c r="E44"/>
  <c r="S43"/>
  <c r="S57" s="1"/>
  <c r="Q43"/>
  <c r="Q57" s="1"/>
  <c r="M43"/>
  <c r="M57" s="1"/>
  <c r="K43"/>
  <c r="K57" s="1"/>
  <c r="G43"/>
  <c r="G57" s="1"/>
  <c r="F43"/>
  <c r="F57" s="1"/>
  <c r="E43"/>
  <c r="E57" s="1"/>
  <c r="D43"/>
  <c r="D57" s="1"/>
  <c r="K41"/>
  <c r="F41"/>
  <c r="E41"/>
  <c r="F40"/>
  <c r="E40"/>
  <c r="F39"/>
  <c r="E39"/>
  <c r="F38"/>
  <c r="E38"/>
  <c r="F37"/>
  <c r="E37"/>
  <c r="F36"/>
  <c r="E36"/>
  <c r="S35"/>
  <c r="Q35"/>
  <c r="M35"/>
  <c r="K35"/>
  <c r="G35"/>
  <c r="F35"/>
  <c r="E35"/>
  <c r="D35"/>
  <c r="F34"/>
  <c r="E34"/>
  <c r="F33"/>
  <c r="E33"/>
  <c r="F32"/>
  <c r="E32"/>
  <c r="S31"/>
  <c r="Q31"/>
  <c r="M31"/>
  <c r="K31"/>
  <c r="G31"/>
  <c r="F31"/>
  <c r="E31"/>
  <c r="D31"/>
  <c r="F30"/>
  <c r="E30"/>
  <c r="F29"/>
  <c r="E29"/>
  <c r="F28"/>
  <c r="E28"/>
  <c r="G27"/>
  <c r="G65" s="1"/>
  <c r="F27"/>
  <c r="E27"/>
  <c r="F26"/>
  <c r="E26"/>
  <c r="F25"/>
  <c r="E25"/>
  <c r="F24"/>
  <c r="E24"/>
  <c r="F23"/>
  <c r="E23"/>
  <c r="F22"/>
  <c r="E22"/>
  <c r="F21"/>
  <c r="E21"/>
  <c r="S20"/>
  <c r="Q20"/>
  <c r="M20"/>
  <c r="K20"/>
  <c r="G20"/>
  <c r="F20"/>
  <c r="E20"/>
  <c r="D20"/>
  <c r="F19"/>
  <c r="E19"/>
  <c r="F18"/>
  <c r="E18"/>
  <c r="F17"/>
  <c r="E17"/>
  <c r="F16"/>
  <c r="E16"/>
  <c r="S15"/>
  <c r="Q15"/>
  <c r="M15"/>
  <c r="K15"/>
  <c r="G15"/>
  <c r="F15"/>
  <c r="E15"/>
  <c r="D15"/>
  <c r="F14"/>
  <c r="E14"/>
  <c r="F13"/>
  <c r="E13"/>
  <c r="F12"/>
  <c r="F11"/>
  <c r="K10"/>
  <c r="G10"/>
  <c r="F10"/>
  <c r="F9"/>
  <c r="F8"/>
  <c r="F7"/>
  <c r="S6"/>
  <c r="S59" s="1"/>
  <c r="S67" s="1"/>
  <c r="Q6"/>
  <c r="Q59" s="1"/>
  <c r="Q67" s="1"/>
  <c r="M6"/>
  <c r="M59" s="1"/>
  <c r="M67" s="1"/>
  <c r="K6"/>
  <c r="K59" s="1"/>
  <c r="K67" s="1"/>
  <c r="I14" i="26" s="1"/>
  <c r="G6" i="46"/>
  <c r="G59" s="1"/>
  <c r="F6"/>
  <c r="F42" s="1"/>
  <c r="F58" s="1"/>
  <c r="E6"/>
  <c r="E42" s="1"/>
  <c r="E58" s="1"/>
  <c r="C37" i="5" s="1"/>
  <c r="D6" i="46"/>
  <c r="D42" s="1"/>
  <c r="D58" s="1"/>
  <c r="S46" i="26" l="1"/>
  <c r="K46" s="1"/>
  <c r="G93" i="25"/>
  <c r="S93" s="1"/>
  <c r="I93" s="1"/>
  <c r="Q76" i="32"/>
  <c r="G75"/>
  <c r="G74" s="1"/>
  <c r="G36" i="25"/>
  <c r="S36" s="1"/>
  <c r="I36" s="1"/>
  <c r="M92" i="46"/>
  <c r="I21" i="26"/>
  <c r="S21" s="1"/>
  <c r="K21" s="1"/>
  <c r="K109" i="46"/>
  <c r="M138"/>
  <c r="E147"/>
  <c r="K146"/>
  <c r="E149"/>
  <c r="H170"/>
  <c r="H177" s="1"/>
  <c r="H178" s="1"/>
  <c r="M170"/>
  <c r="Q170"/>
  <c r="S170"/>
  <c r="K170"/>
  <c r="G176"/>
  <c r="K176"/>
  <c r="M176"/>
  <c r="Q176"/>
  <c r="S176"/>
  <c r="E199"/>
  <c r="E76"/>
  <c r="E78"/>
  <c r="M81"/>
  <c r="E84"/>
  <c r="M88"/>
  <c r="E93"/>
  <c r="E101"/>
  <c r="M103"/>
  <c r="E106"/>
  <c r="E196"/>
  <c r="E194" s="1"/>
  <c r="S92" i="25"/>
  <c r="C6" i="37"/>
  <c r="C16" i="4"/>
  <c r="D143" i="47"/>
  <c r="D155" s="1"/>
  <c r="M143" i="46"/>
  <c r="O57"/>
  <c r="O58"/>
  <c r="O67"/>
  <c r="E75"/>
  <c r="K130"/>
  <c r="K138"/>
  <c r="E140"/>
  <c r="K143"/>
  <c r="E145"/>
  <c r="E148"/>
  <c r="F199"/>
  <c r="E77"/>
  <c r="E79"/>
  <c r="E150"/>
  <c r="E146" s="1"/>
  <c r="E175"/>
  <c r="H204"/>
  <c r="E172"/>
  <c r="E176" s="1"/>
  <c r="L204"/>
  <c r="N204"/>
  <c r="R204"/>
  <c r="T204"/>
  <c r="I43" i="26"/>
  <c r="S44"/>
  <c r="E187" i="46"/>
  <c r="Y187"/>
  <c r="Y178" s="1"/>
  <c r="E121"/>
  <c r="E120" s="1"/>
  <c r="Q74"/>
  <c r="M74"/>
  <c r="M91" s="1"/>
  <c r="K74"/>
  <c r="K81"/>
  <c r="E110"/>
  <c r="M113"/>
  <c r="K116"/>
  <c r="M126"/>
  <c r="M130" s="1"/>
  <c r="M146"/>
  <c r="E162"/>
  <c r="L170"/>
  <c r="L177" s="1"/>
  <c r="L178" s="1"/>
  <c r="N170"/>
  <c r="N177" s="1"/>
  <c r="N178" s="1"/>
  <c r="R170"/>
  <c r="R177" s="1"/>
  <c r="R178" s="1"/>
  <c r="T170"/>
  <c r="T177" s="1"/>
  <c r="T178" s="1"/>
  <c r="E128"/>
  <c r="E135"/>
  <c r="K134"/>
  <c r="E139"/>
  <c r="E126"/>
  <c r="E129"/>
  <c r="E85"/>
  <c r="E137"/>
  <c r="E141"/>
  <c r="E96"/>
  <c r="E80"/>
  <c r="E82"/>
  <c r="E95"/>
  <c r="M120"/>
  <c r="F200"/>
  <c r="Y91"/>
  <c r="Y59"/>
  <c r="Y67" s="1"/>
  <c r="Y133"/>
  <c r="Y131" s="1"/>
  <c r="Y151" s="1"/>
  <c r="Y152" s="1"/>
  <c r="Y42"/>
  <c r="Y58" s="1"/>
  <c r="K125"/>
  <c r="F165"/>
  <c r="F169"/>
  <c r="F198"/>
  <c r="K88"/>
  <c r="K91" s="1"/>
  <c r="E90"/>
  <c r="K92"/>
  <c r="K102" s="1"/>
  <c r="M99"/>
  <c r="M102" s="1"/>
  <c r="M109"/>
  <c r="E117"/>
  <c r="M134"/>
  <c r="E136"/>
  <c r="E144"/>
  <c r="E143" s="1"/>
  <c r="E204"/>
  <c r="F201"/>
  <c r="E108"/>
  <c r="E111"/>
  <c r="E109" s="1"/>
  <c r="E89"/>
  <c r="E98"/>
  <c r="E142"/>
  <c r="G169"/>
  <c r="E169" s="1"/>
  <c r="E170" s="1"/>
  <c r="E116"/>
  <c r="G125"/>
  <c r="G152" s="1"/>
  <c r="I10" i="26" s="1"/>
  <c r="Q91" i="46"/>
  <c r="E99"/>
  <c r="S152"/>
  <c r="E81"/>
  <c r="F102"/>
  <c r="F152" s="1"/>
  <c r="E103"/>
  <c r="E113"/>
  <c r="D178"/>
  <c r="D68"/>
  <c r="F68"/>
  <c r="G42"/>
  <c r="G58" s="1"/>
  <c r="I8" i="26" s="1"/>
  <c r="M42" i="46"/>
  <c r="M58" s="1"/>
  <c r="S42"/>
  <c r="S58" s="1"/>
  <c r="K42"/>
  <c r="K58" s="1"/>
  <c r="I13" i="26" s="1"/>
  <c r="Q42" i="46"/>
  <c r="Q58" s="1"/>
  <c r="G61"/>
  <c r="Q92"/>
  <c r="Q99"/>
  <c r="BB5" i="21"/>
  <c r="BC5"/>
  <c r="BB8"/>
  <c r="BC8"/>
  <c r="BB16"/>
  <c r="BC16"/>
  <c r="BB19"/>
  <c r="BC19"/>
  <c r="BB21"/>
  <c r="BC21"/>
  <c r="BB25"/>
  <c r="BC25"/>
  <c r="BB26"/>
  <c r="BC26"/>
  <c r="BB35"/>
  <c r="BC35"/>
  <c r="BB48"/>
  <c r="BC48"/>
  <c r="BB56"/>
  <c r="G118" i="20" s="1"/>
  <c r="BC56" i="21"/>
  <c r="BB61"/>
  <c r="BC61"/>
  <c r="G119" i="20" s="1"/>
  <c r="BB70" i="21"/>
  <c r="BC70"/>
  <c r="BB88"/>
  <c r="BC88"/>
  <c r="BB89"/>
  <c r="BC89"/>
  <c r="BA5"/>
  <c r="BA8"/>
  <c r="BA16"/>
  <c r="BA19"/>
  <c r="BA21"/>
  <c r="BA25" s="1"/>
  <c r="BA26" s="1"/>
  <c r="G116" i="20" s="1"/>
  <c r="BA35" i="21"/>
  <c r="BA48"/>
  <c r="BA56"/>
  <c r="BA61"/>
  <c r="BA70"/>
  <c r="BA88"/>
  <c r="AZ5"/>
  <c r="AZ8"/>
  <c r="AZ16"/>
  <c r="AZ19"/>
  <c r="AZ21"/>
  <c r="AZ25" s="1"/>
  <c r="AZ26" s="1"/>
  <c r="AZ35"/>
  <c r="G112" i="20" s="1"/>
  <c r="AZ48" i="21"/>
  <c r="AZ56"/>
  <c r="AZ61"/>
  <c r="AZ70"/>
  <c r="AZ88"/>
  <c r="G110" i="20"/>
  <c r="AY5" i="21"/>
  <c r="AY8"/>
  <c r="AY16"/>
  <c r="AY19"/>
  <c r="AY35"/>
  <c r="AY48"/>
  <c r="AY56"/>
  <c r="AY61"/>
  <c r="AY70"/>
  <c r="AY88"/>
  <c r="G108" i="20"/>
  <c r="AX5" i="21"/>
  <c r="AX8"/>
  <c r="AX21" s="1"/>
  <c r="AX25" s="1"/>
  <c r="AX26" s="1"/>
  <c r="AX16"/>
  <c r="AX19"/>
  <c r="AX35"/>
  <c r="AX48"/>
  <c r="AX56"/>
  <c r="AX61"/>
  <c r="AX70"/>
  <c r="AX88"/>
  <c r="G106" i="20"/>
  <c r="AW5" i="21"/>
  <c r="AW8"/>
  <c r="AW21" s="1"/>
  <c r="AW25" s="1"/>
  <c r="AW16"/>
  <c r="AW19"/>
  <c r="AW35"/>
  <c r="AW48"/>
  <c r="AW56"/>
  <c r="AW61"/>
  <c r="AW70"/>
  <c r="AW88"/>
  <c r="G104" i="20"/>
  <c r="AV5" i="21"/>
  <c r="AV8"/>
  <c r="AV16"/>
  <c r="AV19"/>
  <c r="AV21"/>
  <c r="AV25" s="1"/>
  <c r="AV26" s="1"/>
  <c r="AV35"/>
  <c r="AV48"/>
  <c r="AV56"/>
  <c r="AV61"/>
  <c r="AV70"/>
  <c r="AV88"/>
  <c r="G102" i="20"/>
  <c r="AU5" i="21"/>
  <c r="AU8"/>
  <c r="AU16"/>
  <c r="AU19"/>
  <c r="AU21"/>
  <c r="AU25" s="1"/>
  <c r="AU26" s="1"/>
  <c r="AU35"/>
  <c r="AU48"/>
  <c r="AU56"/>
  <c r="AU61"/>
  <c r="AU70"/>
  <c r="AU88"/>
  <c r="G100" i="20"/>
  <c r="AT5" i="21"/>
  <c r="AT8"/>
  <c r="AT16"/>
  <c r="AT19"/>
  <c r="AT35"/>
  <c r="AT48"/>
  <c r="AT56"/>
  <c r="AT61"/>
  <c r="AT70"/>
  <c r="AT88"/>
  <c r="G98" i="20"/>
  <c r="AS5" i="21"/>
  <c r="AS8"/>
  <c r="AS21" s="1"/>
  <c r="AS25" s="1"/>
  <c r="AS16"/>
  <c r="AS19"/>
  <c r="AS35"/>
  <c r="AS48"/>
  <c r="AS56"/>
  <c r="AS61"/>
  <c r="AS70"/>
  <c r="AS88"/>
  <c r="G96" i="20"/>
  <c r="AR88" i="21"/>
  <c r="AR70"/>
  <c r="AR61"/>
  <c r="AR56"/>
  <c r="AR48"/>
  <c r="AR35"/>
  <c r="AR5"/>
  <c r="AR26" s="1"/>
  <c r="AR89" s="1"/>
  <c r="AR8"/>
  <c r="AR16"/>
  <c r="AR19"/>
  <c r="AR21"/>
  <c r="AR25" s="1"/>
  <c r="G94" i="20"/>
  <c r="G93"/>
  <c r="AQ5" i="21"/>
  <c r="AQ8"/>
  <c r="AQ21" s="1"/>
  <c r="AQ25" s="1"/>
  <c r="AQ16"/>
  <c r="AQ19"/>
  <c r="AQ35"/>
  <c r="AQ48"/>
  <c r="AQ56"/>
  <c r="AQ61"/>
  <c r="AQ70"/>
  <c r="AQ88"/>
  <c r="G90" i="20"/>
  <c r="AP5" i="21"/>
  <c r="AP8"/>
  <c r="AP16"/>
  <c r="AP19"/>
  <c r="AP35"/>
  <c r="AP48"/>
  <c r="AP56"/>
  <c r="AP61"/>
  <c r="AP70"/>
  <c r="AP88"/>
  <c r="AN88"/>
  <c r="AO88"/>
  <c r="AN70"/>
  <c r="AO70"/>
  <c r="AN61"/>
  <c r="AO61"/>
  <c r="AN56"/>
  <c r="AO56"/>
  <c r="AN48"/>
  <c r="AO48"/>
  <c r="AN35"/>
  <c r="AO35"/>
  <c r="AN19"/>
  <c r="AO19"/>
  <c r="AN16"/>
  <c r="AO16"/>
  <c r="AO8"/>
  <c r="AO21" s="1"/>
  <c r="AO25" s="1"/>
  <c r="AO5"/>
  <c r="AN8"/>
  <c r="AN5"/>
  <c r="G88" i="20"/>
  <c r="G87" s="1"/>
  <c r="G86"/>
  <c r="G84"/>
  <c r="AM5" i="21"/>
  <c r="AM8"/>
  <c r="AM21" s="1"/>
  <c r="AM25" s="1"/>
  <c r="AM16"/>
  <c r="AM19"/>
  <c r="AM35"/>
  <c r="AM48"/>
  <c r="AM56"/>
  <c r="AM61"/>
  <c r="AM70"/>
  <c r="AM88"/>
  <c r="C43" i="30"/>
  <c r="C39"/>
  <c r="C38"/>
  <c r="C37"/>
  <c r="G153" i="45"/>
  <c r="F153"/>
  <c r="E153"/>
  <c r="D152"/>
  <c r="D151"/>
  <c r="D150"/>
  <c r="D149"/>
  <c r="D153" s="1"/>
  <c r="G148"/>
  <c r="G154" s="1"/>
  <c r="F148"/>
  <c r="F154" s="1"/>
  <c r="E147"/>
  <c r="D147" s="1"/>
  <c r="D146"/>
  <c r="D145"/>
  <c r="D144"/>
  <c r="G140"/>
  <c r="F140"/>
  <c r="E140"/>
  <c r="D139"/>
  <c r="D138"/>
  <c r="D137"/>
  <c r="D136"/>
  <c r="D140" s="1"/>
  <c r="G135"/>
  <c r="F135"/>
  <c r="E135"/>
  <c r="D134"/>
  <c r="D133"/>
  <c r="D135" s="1"/>
  <c r="G132"/>
  <c r="F132"/>
  <c r="E132"/>
  <c r="D131"/>
  <c r="D130"/>
  <c r="D129"/>
  <c r="D128"/>
  <c r="D132" s="1"/>
  <c r="G127"/>
  <c r="F127"/>
  <c r="E127"/>
  <c r="D126"/>
  <c r="D125"/>
  <c r="D127" s="1"/>
  <c r="D124"/>
  <c r="G123"/>
  <c r="G141" s="1"/>
  <c r="F122"/>
  <c r="F123" s="1"/>
  <c r="F141" s="1"/>
  <c r="D121"/>
  <c r="G120"/>
  <c r="E120"/>
  <c r="D119"/>
  <c r="G118"/>
  <c r="F118"/>
  <c r="F120" s="1"/>
  <c r="E118"/>
  <c r="D117"/>
  <c r="D116"/>
  <c r="D118" s="1"/>
  <c r="D120" s="1"/>
  <c r="G114"/>
  <c r="F114"/>
  <c r="E114"/>
  <c r="D113"/>
  <c r="D112"/>
  <c r="D111"/>
  <c r="D110"/>
  <c r="D114" s="1"/>
  <c r="G109"/>
  <c r="F109"/>
  <c r="E109"/>
  <c r="D108"/>
  <c r="D107"/>
  <c r="D109" s="1"/>
  <c r="D106"/>
  <c r="G105"/>
  <c r="F105"/>
  <c r="E105"/>
  <c r="D104"/>
  <c r="D103"/>
  <c r="D105" s="1"/>
  <c r="D102"/>
  <c r="G101"/>
  <c r="F101"/>
  <c r="F115" s="1"/>
  <c r="E101"/>
  <c r="D100"/>
  <c r="D99"/>
  <c r="D101" s="1"/>
  <c r="D98"/>
  <c r="G97"/>
  <c r="G115" s="1"/>
  <c r="F97"/>
  <c r="E97"/>
  <c r="D96"/>
  <c r="D95"/>
  <c r="D94"/>
  <c r="D93"/>
  <c r="D97" s="1"/>
  <c r="G91"/>
  <c r="F91"/>
  <c r="E91"/>
  <c r="D90"/>
  <c r="D89"/>
  <c r="D91" s="1"/>
  <c r="G88"/>
  <c r="G92" s="1"/>
  <c r="F88"/>
  <c r="F92" s="1"/>
  <c r="E88"/>
  <c r="E92" s="1"/>
  <c r="D87"/>
  <c r="D86"/>
  <c r="D85"/>
  <c r="D84"/>
  <c r="D83"/>
  <c r="D82"/>
  <c r="D88" s="1"/>
  <c r="G80"/>
  <c r="F80"/>
  <c r="E80"/>
  <c r="D79"/>
  <c r="D78"/>
  <c r="D80" s="1"/>
  <c r="G77"/>
  <c r="F77"/>
  <c r="E77"/>
  <c r="D76"/>
  <c r="D75"/>
  <c r="D74"/>
  <c r="D73"/>
  <c r="D72"/>
  <c r="D71"/>
  <c r="G70"/>
  <c r="G81" s="1"/>
  <c r="G142" s="1"/>
  <c r="F70"/>
  <c r="F81" s="1"/>
  <c r="E70"/>
  <c r="E81" s="1"/>
  <c r="D69"/>
  <c r="D68"/>
  <c r="D67"/>
  <c r="D66"/>
  <c r="D65"/>
  <c r="D64"/>
  <c r="D70" s="1"/>
  <c r="G63"/>
  <c r="F63"/>
  <c r="D62"/>
  <c r="E61"/>
  <c r="D61"/>
  <c r="D60"/>
  <c r="D59"/>
  <c r="D58"/>
  <c r="D57"/>
  <c r="E56"/>
  <c r="D56"/>
  <c r="G52"/>
  <c r="F52"/>
  <c r="F53" s="1"/>
  <c r="E52"/>
  <c r="D51"/>
  <c r="D50"/>
  <c r="D49"/>
  <c r="D48"/>
  <c r="D47"/>
  <c r="D46"/>
  <c r="D52" s="1"/>
  <c r="D45"/>
  <c r="G44"/>
  <c r="F44"/>
  <c r="E44"/>
  <c r="D43"/>
  <c r="D42"/>
  <c r="D44" s="1"/>
  <c r="G41"/>
  <c r="G53" s="1"/>
  <c r="F41"/>
  <c r="E41"/>
  <c r="E53" s="1"/>
  <c r="D40"/>
  <c r="D39"/>
  <c r="D41" s="1"/>
  <c r="G37"/>
  <c r="F37"/>
  <c r="E37"/>
  <c r="D36"/>
  <c r="D35"/>
  <c r="D34"/>
  <c r="D33"/>
  <c r="D32"/>
  <c r="D31"/>
  <c r="D37" s="1"/>
  <c r="D30"/>
  <c r="G29"/>
  <c r="F29"/>
  <c r="E29"/>
  <c r="D28"/>
  <c r="D27"/>
  <c r="D29" s="1"/>
  <c r="D26"/>
  <c r="D25"/>
  <c r="D24"/>
  <c r="G23"/>
  <c r="G38" s="1"/>
  <c r="G54" s="1"/>
  <c r="G143" s="1"/>
  <c r="G155" s="1"/>
  <c r="F23"/>
  <c r="E23"/>
  <c r="E38" s="1"/>
  <c r="E54" s="1"/>
  <c r="D22"/>
  <c r="D21"/>
  <c r="D20"/>
  <c r="D19"/>
  <c r="D18"/>
  <c r="D17"/>
  <c r="D16"/>
  <c r="D23" s="1"/>
  <c r="D15"/>
  <c r="D14"/>
  <c r="G13"/>
  <c r="F13"/>
  <c r="E13"/>
  <c r="D12"/>
  <c r="D11"/>
  <c r="D13" s="1"/>
  <c r="D10"/>
  <c r="D9"/>
  <c r="G8"/>
  <c r="F8"/>
  <c r="F38" s="1"/>
  <c r="F54" s="1"/>
  <c r="E8"/>
  <c r="E55" s="1"/>
  <c r="D7"/>
  <c r="D6"/>
  <c r="D5"/>
  <c r="D4"/>
  <c r="D3"/>
  <c r="D2"/>
  <c r="D8" s="1"/>
  <c r="G91" i="25" l="1"/>
  <c r="AP25" i="21"/>
  <c r="E21"/>
  <c r="AO26"/>
  <c r="AO89" s="1"/>
  <c r="AN21"/>
  <c r="AN25" s="1"/>
  <c r="AN26" s="1"/>
  <c r="AN89" s="1"/>
  <c r="AQ26"/>
  <c r="AT21"/>
  <c r="AT25" s="1"/>
  <c r="AY21"/>
  <c r="AY25" s="1"/>
  <c r="AY26" s="1"/>
  <c r="S87" i="20"/>
  <c r="I87" s="1"/>
  <c r="G68" i="25"/>
  <c r="S68" s="1"/>
  <c r="I68" s="1"/>
  <c r="I76" i="32"/>
  <c r="I75" s="1"/>
  <c r="I74" s="1"/>
  <c r="Q75"/>
  <c r="Q74" s="1"/>
  <c r="E138" i="46"/>
  <c r="F194"/>
  <c r="E74"/>
  <c r="K177"/>
  <c r="Q177"/>
  <c r="S177"/>
  <c r="M177"/>
  <c r="F170"/>
  <c r="F177" s="1"/>
  <c r="F178" s="1"/>
  <c r="E130"/>
  <c r="I92" i="25"/>
  <c r="I91" s="1"/>
  <c r="S91"/>
  <c r="G117" i="20"/>
  <c r="O68" i="46"/>
  <c r="E92"/>
  <c r="E102" s="1"/>
  <c r="E177"/>
  <c r="C43" i="5"/>
  <c r="I33" i="26"/>
  <c r="S178" i="46"/>
  <c r="K44" i="26"/>
  <c r="K43" s="1"/>
  <c r="S43"/>
  <c r="E88" i="46"/>
  <c r="E91" s="1"/>
  <c r="M125"/>
  <c r="M133" s="1"/>
  <c r="M131" s="1"/>
  <c r="M151" s="1"/>
  <c r="M152" s="1"/>
  <c r="E134"/>
  <c r="F204"/>
  <c r="G170"/>
  <c r="Y68"/>
  <c r="K133"/>
  <c r="Q102"/>
  <c r="K68"/>
  <c r="M68"/>
  <c r="E125"/>
  <c r="G67"/>
  <c r="I9" i="26" s="1"/>
  <c r="Q68" i="46"/>
  <c r="S68"/>
  <c r="G68"/>
  <c r="E67"/>
  <c r="C38" i="5" s="1"/>
  <c r="BA89" i="21"/>
  <c r="AZ89"/>
  <c r="AY89"/>
  <c r="AX89"/>
  <c r="AW26"/>
  <c r="AW89" s="1"/>
  <c r="AV89"/>
  <c r="AU89"/>
  <c r="AT26"/>
  <c r="AT89" s="1"/>
  <c r="AS26"/>
  <c r="AS89" s="1"/>
  <c r="AQ89"/>
  <c r="AP26"/>
  <c r="AM26"/>
  <c r="AM89" s="1"/>
  <c r="D77" i="45"/>
  <c r="D81"/>
  <c r="E63"/>
  <c r="D55"/>
  <c r="D63" s="1"/>
  <c r="D38"/>
  <c r="D53"/>
  <c r="F142"/>
  <c r="D92"/>
  <c r="D115"/>
  <c r="D148"/>
  <c r="D154" s="1"/>
  <c r="F143"/>
  <c r="F155" s="1"/>
  <c r="E148"/>
  <c r="E154" s="1"/>
  <c r="E115"/>
  <c r="AP89" i="21" l="1"/>
  <c r="G91" i="20"/>
  <c r="G81" i="25"/>
  <c r="S33" i="26"/>
  <c r="K33" s="1"/>
  <c r="G83" i="25"/>
  <c r="S83" s="1"/>
  <c r="I83" s="1"/>
  <c r="Q133" i="46"/>
  <c r="Q131" s="1"/>
  <c r="Q151" s="1"/>
  <c r="Q152" s="1"/>
  <c r="G177"/>
  <c r="G178" s="1"/>
  <c r="I11" i="26"/>
  <c r="M178" i="46"/>
  <c r="I19" i="26"/>
  <c r="I16" s="1"/>
  <c r="K131" i="46"/>
  <c r="K151" s="1"/>
  <c r="K152" s="1"/>
  <c r="E68"/>
  <c r="E122" i="45"/>
  <c r="D54"/>
  <c r="S16" i="26" l="1"/>
  <c r="K16" s="1"/>
  <c r="I7"/>
  <c r="S7" s="1"/>
  <c r="C34" i="34"/>
  <c r="C33" s="1"/>
  <c r="Q178" i="46"/>
  <c r="I29" i="26"/>
  <c r="I28" s="1"/>
  <c r="E133" i="46"/>
  <c r="E131" s="1"/>
  <c r="E151" s="1"/>
  <c r="E152" s="1"/>
  <c r="E178" s="1"/>
  <c r="I15" i="26"/>
  <c r="I12" s="1"/>
  <c r="K178" i="46"/>
  <c r="D122" i="45"/>
  <c r="D123" s="1"/>
  <c r="D141" s="1"/>
  <c r="D142" s="1"/>
  <c r="D143" s="1"/>
  <c r="D155" s="1"/>
  <c r="E123"/>
  <c r="E141" s="1"/>
  <c r="E142" s="1"/>
  <c r="E143" s="1"/>
  <c r="E155" s="1"/>
  <c r="C10" i="31"/>
  <c r="C10" i="30"/>
  <c r="C10" i="27"/>
  <c r="C10" i="7"/>
  <c r="C13" i="31"/>
  <c r="C13" i="30"/>
  <c r="C13" i="28"/>
  <c r="C10" s="1"/>
  <c r="C13" i="27"/>
  <c r="C13" i="7"/>
  <c r="G19" i="25" l="1"/>
  <c r="S19" s="1"/>
  <c r="I19" s="1"/>
  <c r="I6" i="26"/>
  <c r="S29"/>
  <c r="S28" s="1"/>
  <c r="G82" i="25"/>
  <c r="S12" i="26"/>
  <c r="K12" s="1"/>
  <c r="C39" i="5"/>
  <c r="K29" i="26"/>
  <c r="K28" s="1"/>
  <c r="K7"/>
  <c r="G280" i="44"/>
  <c r="F280"/>
  <c r="E280"/>
  <c r="G276"/>
  <c r="F276"/>
  <c r="E276"/>
  <c r="G272"/>
  <c r="F272"/>
  <c r="E272"/>
  <c r="G268"/>
  <c r="F268"/>
  <c r="E268"/>
  <c r="G264"/>
  <c r="F264"/>
  <c r="E264"/>
  <c r="G207"/>
  <c r="G263" s="1"/>
  <c r="F207"/>
  <c r="F263" s="1"/>
  <c r="G368" i="42" s="1"/>
  <c r="E207" i="44"/>
  <c r="E263" s="1"/>
  <c r="G203"/>
  <c r="G262" s="1"/>
  <c r="F203"/>
  <c r="F262" s="1"/>
  <c r="G367" i="42" s="1"/>
  <c r="E203" i="44"/>
  <c r="E262" s="1"/>
  <c r="G199"/>
  <c r="G261" s="1"/>
  <c r="F199"/>
  <c r="F261" s="1"/>
  <c r="G366" i="42" s="1"/>
  <c r="E199" i="44"/>
  <c r="E261" s="1"/>
  <c r="G195"/>
  <c r="G260" s="1"/>
  <c r="F195"/>
  <c r="F260" s="1"/>
  <c r="E195"/>
  <c r="E260" s="1"/>
  <c r="G191"/>
  <c r="G259" s="1"/>
  <c r="F191"/>
  <c r="F259" s="1"/>
  <c r="E191"/>
  <c r="E259" s="1"/>
  <c r="G187"/>
  <c r="G258" s="1"/>
  <c r="F187"/>
  <c r="F258" s="1"/>
  <c r="E187"/>
  <c r="E258" s="1"/>
  <c r="G183"/>
  <c r="G257" s="1"/>
  <c r="F183"/>
  <c r="F257" s="1"/>
  <c r="E183"/>
  <c r="E257" s="1"/>
  <c r="G179"/>
  <c r="G256" s="1"/>
  <c r="F179"/>
  <c r="F256" s="1"/>
  <c r="E179"/>
  <c r="E256" s="1"/>
  <c r="G175"/>
  <c r="G255" s="1"/>
  <c r="F175"/>
  <c r="F255" s="1"/>
  <c r="E175"/>
  <c r="E255" s="1"/>
  <c r="G171"/>
  <c r="G254" s="1"/>
  <c r="F171"/>
  <c r="F254" s="1"/>
  <c r="E171"/>
  <c r="E254" s="1"/>
  <c r="G167"/>
  <c r="G253" s="1"/>
  <c r="F167"/>
  <c r="F253" s="1"/>
  <c r="G363" i="42" s="1"/>
  <c r="E167" i="44"/>
  <c r="E253" s="1"/>
  <c r="G163"/>
  <c r="G252" s="1"/>
  <c r="F163"/>
  <c r="F252" s="1"/>
  <c r="G362" i="42" s="1"/>
  <c r="E163" i="44"/>
  <c r="E252" s="1"/>
  <c r="G159"/>
  <c r="G251" s="1"/>
  <c r="F159"/>
  <c r="F251" s="1"/>
  <c r="G361" i="42" s="1"/>
  <c r="E159" i="44"/>
  <c r="E251" s="1"/>
  <c r="G155"/>
  <c r="G250" s="1"/>
  <c r="F155"/>
  <c r="F250" s="1"/>
  <c r="E155"/>
  <c r="E250" s="1"/>
  <c r="E359" i="42" s="1"/>
  <c r="G151" i="44"/>
  <c r="G249" s="1"/>
  <c r="F151"/>
  <c r="F249" s="1"/>
  <c r="E151"/>
  <c r="E249" s="1"/>
  <c r="E358" i="42" s="1"/>
  <c r="G147" i="44"/>
  <c r="G248" s="1"/>
  <c r="F147"/>
  <c r="F248" s="1"/>
  <c r="E147"/>
  <c r="E248" s="1"/>
  <c r="E357" i="42" s="1"/>
  <c r="G143" i="44"/>
  <c r="G247" s="1"/>
  <c r="F143"/>
  <c r="F247" s="1"/>
  <c r="E143"/>
  <c r="E247" s="1"/>
  <c r="E356" i="42" s="1"/>
  <c r="G139" i="44"/>
  <c r="G246" s="1"/>
  <c r="F139"/>
  <c r="F246" s="1"/>
  <c r="E139"/>
  <c r="E246" s="1"/>
  <c r="E355" i="42" s="1"/>
  <c r="G135" i="44"/>
  <c r="G245" s="1"/>
  <c r="F135"/>
  <c r="F245" s="1"/>
  <c r="E135"/>
  <c r="E245" s="1"/>
  <c r="E354" i="42" s="1"/>
  <c r="G131" i="44"/>
  <c r="G244" s="1"/>
  <c r="F131"/>
  <c r="F244" s="1"/>
  <c r="E131"/>
  <c r="E244" s="1"/>
  <c r="E353" i="42" s="1"/>
  <c r="G127" i="44"/>
  <c r="G243" s="1"/>
  <c r="F127"/>
  <c r="F243" s="1"/>
  <c r="E127"/>
  <c r="E243" s="1"/>
  <c r="E352" i="42" s="1"/>
  <c r="G123" i="44"/>
  <c r="G242" s="1"/>
  <c r="F123"/>
  <c r="F242" s="1"/>
  <c r="E123"/>
  <c r="E242" s="1"/>
  <c r="E351" i="42" s="1"/>
  <c r="G119" i="44"/>
  <c r="G241" s="1"/>
  <c r="F119"/>
  <c r="F241" s="1"/>
  <c r="E119"/>
  <c r="E241" s="1"/>
  <c r="E350" i="42" s="1"/>
  <c r="G115" i="44"/>
  <c r="G240" s="1"/>
  <c r="F115"/>
  <c r="F240" s="1"/>
  <c r="E115"/>
  <c r="E240" s="1"/>
  <c r="E349" i="42" s="1"/>
  <c r="G111" i="44"/>
  <c r="G239" s="1"/>
  <c r="F111"/>
  <c r="F239" s="1"/>
  <c r="E111"/>
  <c r="E239" s="1"/>
  <c r="G107"/>
  <c r="G238" s="1"/>
  <c r="F107"/>
  <c r="F238" s="1"/>
  <c r="E107"/>
  <c r="E238" s="1"/>
  <c r="G103"/>
  <c r="G237" s="1"/>
  <c r="F103"/>
  <c r="F237" s="1"/>
  <c r="E103"/>
  <c r="E237" s="1"/>
  <c r="G99"/>
  <c r="G236" s="1"/>
  <c r="F99"/>
  <c r="F236" s="1"/>
  <c r="E99"/>
  <c r="E236" s="1"/>
  <c r="E347" i="42" s="1"/>
  <c r="G95" i="44"/>
  <c r="G235" s="1"/>
  <c r="F95"/>
  <c r="F235" s="1"/>
  <c r="E95"/>
  <c r="E235" s="1"/>
  <c r="G91"/>
  <c r="G234" s="1"/>
  <c r="F91"/>
  <c r="F234" s="1"/>
  <c r="E91"/>
  <c r="E234" s="1"/>
  <c r="G87"/>
  <c r="G233" s="1"/>
  <c r="F87"/>
  <c r="F233" s="1"/>
  <c r="E87"/>
  <c r="E233" s="1"/>
  <c r="G83"/>
  <c r="G232" s="1"/>
  <c r="F83"/>
  <c r="F232" s="1"/>
  <c r="E83"/>
  <c r="E232" s="1"/>
  <c r="G79"/>
  <c r="G231" s="1"/>
  <c r="F79"/>
  <c r="F231" s="1"/>
  <c r="E79"/>
  <c r="E231" s="1"/>
  <c r="G75"/>
  <c r="G230" s="1"/>
  <c r="I345" i="42" s="1"/>
  <c r="F75" i="44"/>
  <c r="F230" s="1"/>
  <c r="E75"/>
  <c r="E230" s="1"/>
  <c r="E345" i="42" s="1"/>
  <c r="G71" i="44"/>
  <c r="G229" s="1"/>
  <c r="F71"/>
  <c r="F229" s="1"/>
  <c r="E71"/>
  <c r="E229" s="1"/>
  <c r="E344" i="42" s="1"/>
  <c r="G67" i="44"/>
  <c r="G228" s="1"/>
  <c r="F67"/>
  <c r="F228" s="1"/>
  <c r="E67"/>
  <c r="E228" s="1"/>
  <c r="G63"/>
  <c r="G227" s="1"/>
  <c r="F63"/>
  <c r="F227" s="1"/>
  <c r="E63"/>
  <c r="E227" s="1"/>
  <c r="G59"/>
  <c r="G226" s="1"/>
  <c r="F59"/>
  <c r="F226" s="1"/>
  <c r="E59"/>
  <c r="E226" s="1"/>
  <c r="G55"/>
  <c r="G225" s="1"/>
  <c r="F55"/>
  <c r="F225" s="1"/>
  <c r="E55"/>
  <c r="E225" s="1"/>
  <c r="G51"/>
  <c r="G224" s="1"/>
  <c r="F51"/>
  <c r="F224" s="1"/>
  <c r="E51"/>
  <c r="E224" s="1"/>
  <c r="G47"/>
  <c r="G223" s="1"/>
  <c r="F47"/>
  <c r="F223" s="1"/>
  <c r="E47"/>
  <c r="E223" s="1"/>
  <c r="G43"/>
  <c r="G222" s="1"/>
  <c r="F43"/>
  <c r="F222" s="1"/>
  <c r="E43"/>
  <c r="E222" s="1"/>
  <c r="G39"/>
  <c r="G221" s="1"/>
  <c r="F39"/>
  <c r="F221" s="1"/>
  <c r="E39"/>
  <c r="E221" s="1"/>
  <c r="G35"/>
  <c r="G220" s="1"/>
  <c r="F35"/>
  <c r="F220" s="1"/>
  <c r="E35"/>
  <c r="E220" s="1"/>
  <c r="G31"/>
  <c r="G219" s="1"/>
  <c r="F31"/>
  <c r="F219" s="1"/>
  <c r="E31"/>
  <c r="E219" s="1"/>
  <c r="G27"/>
  <c r="G218" s="1"/>
  <c r="F27"/>
  <c r="F218" s="1"/>
  <c r="E27"/>
  <c r="E218" s="1"/>
  <c r="G23"/>
  <c r="G217" s="1"/>
  <c r="F23"/>
  <c r="F217" s="1"/>
  <c r="E23"/>
  <c r="E217" s="1"/>
  <c r="G19"/>
  <c r="G216" s="1"/>
  <c r="F19"/>
  <c r="F216" s="1"/>
  <c r="E19"/>
  <c r="E216" s="1"/>
  <c r="G15"/>
  <c r="G215" s="1"/>
  <c r="F15"/>
  <c r="F215" s="1"/>
  <c r="E15"/>
  <c r="E215" s="1"/>
  <c r="G11"/>
  <c r="G214" s="1"/>
  <c r="F11"/>
  <c r="F214" s="1"/>
  <c r="E11"/>
  <c r="E214" s="1"/>
  <c r="G7"/>
  <c r="G213" s="1"/>
  <c r="F7"/>
  <c r="F213" s="1"/>
  <c r="E7"/>
  <c r="E213" s="1"/>
  <c r="G3"/>
  <c r="G212" s="1"/>
  <c r="G211" s="1"/>
  <c r="I369" i="42" s="1"/>
  <c r="M195" i="41" s="1"/>
  <c r="F3" i="44"/>
  <c r="F212" s="1"/>
  <c r="E3"/>
  <c r="E212" s="1"/>
  <c r="E211" s="1"/>
  <c r="E369" i="42" s="1"/>
  <c r="I195" i="41" s="1"/>
  <c r="G291" i="43"/>
  <c r="F291"/>
  <c r="E291"/>
  <c r="G287"/>
  <c r="F287"/>
  <c r="E287"/>
  <c r="G283"/>
  <c r="F283"/>
  <c r="E283"/>
  <c r="G279"/>
  <c r="F279"/>
  <c r="E279"/>
  <c r="G275"/>
  <c r="F275"/>
  <c r="E275"/>
  <c r="G271"/>
  <c r="F271"/>
  <c r="E271"/>
  <c r="G267"/>
  <c r="F267"/>
  <c r="E267"/>
  <c r="G263"/>
  <c r="F263"/>
  <c r="E263"/>
  <c r="G259"/>
  <c r="F259"/>
  <c r="E259"/>
  <c r="G255"/>
  <c r="F255"/>
  <c r="E255"/>
  <c r="G251"/>
  <c r="F251"/>
  <c r="E251"/>
  <c r="G247"/>
  <c r="F247"/>
  <c r="E247"/>
  <c r="G243"/>
  <c r="F243"/>
  <c r="E243"/>
  <c r="G239"/>
  <c r="F239"/>
  <c r="E239"/>
  <c r="G235"/>
  <c r="F235"/>
  <c r="E235"/>
  <c r="G231"/>
  <c r="F231"/>
  <c r="E231"/>
  <c r="G227"/>
  <c r="F227"/>
  <c r="E227"/>
  <c r="G223"/>
  <c r="F223"/>
  <c r="E223"/>
  <c r="G219"/>
  <c r="F219"/>
  <c r="E219"/>
  <c r="G215"/>
  <c r="F215"/>
  <c r="E215"/>
  <c r="G211"/>
  <c r="F211"/>
  <c r="E211"/>
  <c r="G207"/>
  <c r="F207"/>
  <c r="E207"/>
  <c r="G203"/>
  <c r="F203"/>
  <c r="E203"/>
  <c r="G199"/>
  <c r="F199"/>
  <c r="E199"/>
  <c r="G195"/>
  <c r="F195"/>
  <c r="E195"/>
  <c r="G191"/>
  <c r="F191"/>
  <c r="E191"/>
  <c r="G187"/>
  <c r="F187"/>
  <c r="E187"/>
  <c r="G183"/>
  <c r="F183"/>
  <c r="E183"/>
  <c r="G179"/>
  <c r="F179"/>
  <c r="E179"/>
  <c r="G175"/>
  <c r="F175"/>
  <c r="E175"/>
  <c r="G171"/>
  <c r="F171"/>
  <c r="E171"/>
  <c r="G167"/>
  <c r="F167"/>
  <c r="E167"/>
  <c r="G163"/>
  <c r="F163"/>
  <c r="E163"/>
  <c r="G159"/>
  <c r="F159"/>
  <c r="E159"/>
  <c r="G155"/>
  <c r="F155"/>
  <c r="E155"/>
  <c r="G151"/>
  <c r="F151"/>
  <c r="E151"/>
  <c r="G147"/>
  <c r="F147"/>
  <c r="E147"/>
  <c r="G143"/>
  <c r="F143"/>
  <c r="E143"/>
  <c r="G139"/>
  <c r="F139"/>
  <c r="E139"/>
  <c r="G135"/>
  <c r="F135"/>
  <c r="E135"/>
  <c r="G131"/>
  <c r="F131"/>
  <c r="E131"/>
  <c r="G127"/>
  <c r="F127"/>
  <c r="E127"/>
  <c r="G123"/>
  <c r="F123"/>
  <c r="E123"/>
  <c r="G119"/>
  <c r="F119"/>
  <c r="E119"/>
  <c r="G115"/>
  <c r="F115"/>
  <c r="E115"/>
  <c r="G111"/>
  <c r="F111"/>
  <c r="E111"/>
  <c r="G107"/>
  <c r="F107"/>
  <c r="E107"/>
  <c r="G103"/>
  <c r="F103"/>
  <c r="E103"/>
  <c r="G99"/>
  <c r="F99"/>
  <c r="E99"/>
  <c r="G95"/>
  <c r="F95"/>
  <c r="E95"/>
  <c r="G91"/>
  <c r="F91"/>
  <c r="E91"/>
  <c r="G87"/>
  <c r="F87"/>
  <c r="E87"/>
  <c r="G83"/>
  <c r="F83"/>
  <c r="E83"/>
  <c r="G79"/>
  <c r="F79"/>
  <c r="E79"/>
  <c r="G75"/>
  <c r="F75"/>
  <c r="E75"/>
  <c r="G71"/>
  <c r="F71"/>
  <c r="E71"/>
  <c r="G67"/>
  <c r="F67"/>
  <c r="E67"/>
  <c r="G63"/>
  <c r="F63"/>
  <c r="E63"/>
  <c r="G59"/>
  <c r="F59"/>
  <c r="E59"/>
  <c r="G55"/>
  <c r="F55"/>
  <c r="E55"/>
  <c r="G51"/>
  <c r="F51"/>
  <c r="E51"/>
  <c r="G47"/>
  <c r="F47"/>
  <c r="E47"/>
  <c r="G43"/>
  <c r="F43"/>
  <c r="E43"/>
  <c r="G39"/>
  <c r="F39"/>
  <c r="E39"/>
  <c r="G35"/>
  <c r="F35"/>
  <c r="E35"/>
  <c r="G31"/>
  <c r="F31"/>
  <c r="E31"/>
  <c r="G27"/>
  <c r="F27"/>
  <c r="E27"/>
  <c r="G23"/>
  <c r="F23"/>
  <c r="E23"/>
  <c r="G19"/>
  <c r="F19"/>
  <c r="E19"/>
  <c r="G15"/>
  <c r="F15"/>
  <c r="E15"/>
  <c r="G11"/>
  <c r="F11"/>
  <c r="E11"/>
  <c r="G7"/>
  <c r="F7"/>
  <c r="E7"/>
  <c r="G3"/>
  <c r="F3"/>
  <c r="E3"/>
  <c r="I376" i="42"/>
  <c r="G376"/>
  <c r="E376"/>
  <c r="C376" s="1"/>
  <c r="B376"/>
  <c r="I375"/>
  <c r="G375"/>
  <c r="E375"/>
  <c r="C375" s="1"/>
  <c r="B375"/>
  <c r="I374"/>
  <c r="H374"/>
  <c r="G374"/>
  <c r="F374"/>
  <c r="D374"/>
  <c r="B374"/>
  <c r="I373"/>
  <c r="G373"/>
  <c r="E373"/>
  <c r="B373"/>
  <c r="I372"/>
  <c r="I371" s="1"/>
  <c r="M197" i="41" s="1"/>
  <c r="F197" s="1"/>
  <c r="G372" i="42"/>
  <c r="E372"/>
  <c r="C372"/>
  <c r="B372"/>
  <c r="H371"/>
  <c r="G371"/>
  <c r="F371"/>
  <c r="E371"/>
  <c r="D371"/>
  <c r="B371"/>
  <c r="I370"/>
  <c r="M196" i="41" s="1"/>
  <c r="F196" s="1"/>
  <c r="G370" i="42"/>
  <c r="E370"/>
  <c r="B370"/>
  <c r="I368"/>
  <c r="E368"/>
  <c r="B368"/>
  <c r="I367"/>
  <c r="E367"/>
  <c r="B367"/>
  <c r="I366"/>
  <c r="E366"/>
  <c r="B366"/>
  <c r="I365"/>
  <c r="E365"/>
  <c r="B365"/>
  <c r="B364" s="1"/>
  <c r="H364"/>
  <c r="L194" i="41" s="1"/>
  <c r="F364" i="42"/>
  <c r="D364"/>
  <c r="I363"/>
  <c r="E363"/>
  <c r="B363"/>
  <c r="I362"/>
  <c r="E362"/>
  <c r="B362"/>
  <c r="I361"/>
  <c r="E361"/>
  <c r="B361"/>
  <c r="H360"/>
  <c r="F360"/>
  <c r="D360"/>
  <c r="I359"/>
  <c r="G359"/>
  <c r="B359"/>
  <c r="I358"/>
  <c r="G358"/>
  <c r="B358"/>
  <c r="I357"/>
  <c r="G357"/>
  <c r="B357"/>
  <c r="I356"/>
  <c r="G356"/>
  <c r="B356"/>
  <c r="I355"/>
  <c r="G355"/>
  <c r="B355"/>
  <c r="I354"/>
  <c r="G354"/>
  <c r="B354"/>
  <c r="I353"/>
  <c r="G353"/>
  <c r="B353"/>
  <c r="I352"/>
  <c r="G352"/>
  <c r="B352"/>
  <c r="I351"/>
  <c r="G351"/>
  <c r="B351"/>
  <c r="I350"/>
  <c r="G350"/>
  <c r="B350"/>
  <c r="I349"/>
  <c r="G349"/>
  <c r="B349"/>
  <c r="I348"/>
  <c r="G348"/>
  <c r="B348"/>
  <c r="I347"/>
  <c r="G347"/>
  <c r="B347"/>
  <c r="I346"/>
  <c r="G346"/>
  <c r="B346"/>
  <c r="G345"/>
  <c r="B345"/>
  <c r="I344"/>
  <c r="G344"/>
  <c r="B344"/>
  <c r="I343"/>
  <c r="G343"/>
  <c r="B343"/>
  <c r="H342"/>
  <c r="F342"/>
  <c r="D342"/>
  <c r="H192" i="41" s="1"/>
  <c r="I341" i="42"/>
  <c r="M191" i="41" s="1"/>
  <c r="F191" s="1"/>
  <c r="G341" i="42"/>
  <c r="E341"/>
  <c r="B341"/>
  <c r="I330"/>
  <c r="I331" s="1"/>
  <c r="H330"/>
  <c r="H331" s="1"/>
  <c r="G330"/>
  <c r="G331" s="1"/>
  <c r="F330"/>
  <c r="F331" s="1"/>
  <c r="E330"/>
  <c r="E331" s="1"/>
  <c r="D330"/>
  <c r="D331" s="1"/>
  <c r="C329"/>
  <c r="B329"/>
  <c r="C328"/>
  <c r="B328"/>
  <c r="C327"/>
  <c r="B327"/>
  <c r="C326"/>
  <c r="B326"/>
  <c r="I324"/>
  <c r="I325" s="1"/>
  <c r="I332" s="1"/>
  <c r="H324"/>
  <c r="H325" s="1"/>
  <c r="H332" s="1"/>
  <c r="G324"/>
  <c r="G325" s="1"/>
  <c r="G332" s="1"/>
  <c r="E324"/>
  <c r="E325" s="1"/>
  <c r="D324"/>
  <c r="D325" s="1"/>
  <c r="D332" s="1"/>
  <c r="C323"/>
  <c r="B323"/>
  <c r="C322"/>
  <c r="B322"/>
  <c r="C321"/>
  <c r="B321"/>
  <c r="F320"/>
  <c r="C320"/>
  <c r="B320"/>
  <c r="C319"/>
  <c r="B319"/>
  <c r="C318"/>
  <c r="B318"/>
  <c r="C317"/>
  <c r="B317"/>
  <c r="C308"/>
  <c r="B308"/>
  <c r="C307"/>
  <c r="B307"/>
  <c r="C306"/>
  <c r="B306"/>
  <c r="C305"/>
  <c r="B305"/>
  <c r="I304"/>
  <c r="H304"/>
  <c r="G304"/>
  <c r="F304"/>
  <c r="E304"/>
  <c r="D304"/>
  <c r="C304"/>
  <c r="B304"/>
  <c r="C303"/>
  <c r="B303"/>
  <c r="I302"/>
  <c r="H302"/>
  <c r="G302"/>
  <c r="F302"/>
  <c r="E302"/>
  <c r="D302"/>
  <c r="C302"/>
  <c r="B302"/>
  <c r="C301"/>
  <c r="B301"/>
  <c r="C300"/>
  <c r="B300"/>
  <c r="I299"/>
  <c r="H299"/>
  <c r="G299"/>
  <c r="F299"/>
  <c r="E299"/>
  <c r="D299"/>
  <c r="C299"/>
  <c r="B299"/>
  <c r="C298"/>
  <c r="B298"/>
  <c r="C297"/>
  <c r="B297"/>
  <c r="C296"/>
  <c r="B296"/>
  <c r="C295"/>
  <c r="B295"/>
  <c r="I294"/>
  <c r="H294"/>
  <c r="G294"/>
  <c r="F294"/>
  <c r="E294"/>
  <c r="D294"/>
  <c r="C294"/>
  <c r="B294"/>
  <c r="C293"/>
  <c r="B293"/>
  <c r="C292"/>
  <c r="B292"/>
  <c r="C291"/>
  <c r="B291"/>
  <c r="I290"/>
  <c r="H290"/>
  <c r="G290"/>
  <c r="F290"/>
  <c r="E290"/>
  <c r="D290"/>
  <c r="C290"/>
  <c r="B290"/>
  <c r="C289"/>
  <c r="C288"/>
  <c r="I287"/>
  <c r="I309" s="1"/>
  <c r="G287"/>
  <c r="G309" s="1"/>
  <c r="E287"/>
  <c r="E309" s="1"/>
  <c r="C287"/>
  <c r="C309" s="1"/>
  <c r="C285"/>
  <c r="B285"/>
  <c r="C284"/>
  <c r="B284"/>
  <c r="C283"/>
  <c r="B283"/>
  <c r="C282"/>
  <c r="B282"/>
  <c r="I281"/>
  <c r="H281"/>
  <c r="G281"/>
  <c r="F281"/>
  <c r="E281"/>
  <c r="D281"/>
  <c r="C281"/>
  <c r="B281"/>
  <c r="C280"/>
  <c r="B280"/>
  <c r="C279"/>
  <c r="B279"/>
  <c r="C278"/>
  <c r="B278"/>
  <c r="C277"/>
  <c r="B277"/>
  <c r="C276"/>
  <c r="B276"/>
  <c r="I275"/>
  <c r="H275"/>
  <c r="G275"/>
  <c r="F275"/>
  <c r="E275"/>
  <c r="D275"/>
  <c r="C275"/>
  <c r="B275"/>
  <c r="I274"/>
  <c r="I286" s="1"/>
  <c r="H274"/>
  <c r="H286" s="1"/>
  <c r="G274"/>
  <c r="G286" s="1"/>
  <c r="F274"/>
  <c r="F286" s="1"/>
  <c r="E274"/>
  <c r="E286" s="1"/>
  <c r="D274"/>
  <c r="D286" s="1"/>
  <c r="C274"/>
  <c r="C286" s="1"/>
  <c r="B274"/>
  <c r="B286" s="1"/>
  <c r="F272"/>
  <c r="C272"/>
  <c r="B272"/>
  <c r="C271"/>
  <c r="B271"/>
  <c r="F270"/>
  <c r="C270"/>
  <c r="B270"/>
  <c r="C269"/>
  <c r="B269"/>
  <c r="F268"/>
  <c r="C268"/>
  <c r="B268"/>
  <c r="F267"/>
  <c r="C267"/>
  <c r="B267"/>
  <c r="F266"/>
  <c r="C266"/>
  <c r="B266"/>
  <c r="F265"/>
  <c r="C265"/>
  <c r="B265"/>
  <c r="F264"/>
  <c r="C264"/>
  <c r="B264"/>
  <c r="C263"/>
  <c r="B263"/>
  <c r="C262"/>
  <c r="B262"/>
  <c r="C261"/>
  <c r="B261"/>
  <c r="F260"/>
  <c r="C260"/>
  <c r="B260"/>
  <c r="C259"/>
  <c r="B259"/>
  <c r="C258"/>
  <c r="B258"/>
  <c r="C257"/>
  <c r="B257"/>
  <c r="C256"/>
  <c r="B256"/>
  <c r="I255"/>
  <c r="H255"/>
  <c r="G255"/>
  <c r="F255"/>
  <c r="E255"/>
  <c r="D255"/>
  <c r="C255"/>
  <c r="B255"/>
  <c r="C254"/>
  <c r="B254"/>
  <c r="C253"/>
  <c r="B253"/>
  <c r="C252"/>
  <c r="B252"/>
  <c r="C251"/>
  <c r="B251"/>
  <c r="I250"/>
  <c r="H250"/>
  <c r="G250"/>
  <c r="F250"/>
  <c r="E250"/>
  <c r="D250"/>
  <c r="C250"/>
  <c r="B250"/>
  <c r="C249"/>
  <c r="B249"/>
  <c r="I248"/>
  <c r="H248"/>
  <c r="G248"/>
  <c r="F248"/>
  <c r="E248"/>
  <c r="D248"/>
  <c r="C248"/>
  <c r="B248"/>
  <c r="C247"/>
  <c r="B247"/>
  <c r="I246"/>
  <c r="H246"/>
  <c r="G246"/>
  <c r="F246"/>
  <c r="E246"/>
  <c r="D246"/>
  <c r="C246"/>
  <c r="B246"/>
  <c r="C245"/>
  <c r="B245"/>
  <c r="C244"/>
  <c r="B244"/>
  <c r="C243"/>
  <c r="B243"/>
  <c r="C242"/>
  <c r="B242"/>
  <c r="C241"/>
  <c r="B241"/>
  <c r="C240"/>
  <c r="B240"/>
  <c r="C239"/>
  <c r="B239"/>
  <c r="C238"/>
  <c r="B238"/>
  <c r="C237"/>
  <c r="B237"/>
  <c r="C236"/>
  <c r="B236"/>
  <c r="C235"/>
  <c r="B235"/>
  <c r="C234"/>
  <c r="B234"/>
  <c r="C233"/>
  <c r="B233"/>
  <c r="I232"/>
  <c r="H232"/>
  <c r="G232"/>
  <c r="F232"/>
  <c r="E232"/>
  <c r="D232"/>
  <c r="C232"/>
  <c r="B232"/>
  <c r="C231"/>
  <c r="B231"/>
  <c r="C230"/>
  <c r="B230"/>
  <c r="C229"/>
  <c r="B229"/>
  <c r="C228"/>
  <c r="B228"/>
  <c r="C227"/>
  <c r="B227"/>
  <c r="C226"/>
  <c r="B226"/>
  <c r="C225"/>
  <c r="B225"/>
  <c r="C224"/>
  <c r="B224"/>
  <c r="C223"/>
  <c r="B223"/>
  <c r="C222"/>
  <c r="B222"/>
  <c r="C221"/>
  <c r="B221"/>
  <c r="C220"/>
  <c r="B220"/>
  <c r="I219"/>
  <c r="H219"/>
  <c r="G219"/>
  <c r="F219"/>
  <c r="E219"/>
  <c r="D219"/>
  <c r="C219"/>
  <c r="B219"/>
  <c r="C218"/>
  <c r="B218"/>
  <c r="C217"/>
  <c r="B217"/>
  <c r="I216"/>
  <c r="H216"/>
  <c r="G216"/>
  <c r="F216"/>
  <c r="E216"/>
  <c r="D216"/>
  <c r="C216"/>
  <c r="B216"/>
  <c r="I215"/>
  <c r="H215"/>
  <c r="G215"/>
  <c r="F215"/>
  <c r="E215"/>
  <c r="D215"/>
  <c r="C215"/>
  <c r="B215"/>
  <c r="C214"/>
  <c r="B214"/>
  <c r="C213"/>
  <c r="B213"/>
  <c r="I212"/>
  <c r="H212"/>
  <c r="G212"/>
  <c r="F212"/>
  <c r="E212"/>
  <c r="D212"/>
  <c r="C212"/>
  <c r="B212"/>
  <c r="C211"/>
  <c r="B211"/>
  <c r="C210"/>
  <c r="B210"/>
  <c r="I209"/>
  <c r="H209"/>
  <c r="G209"/>
  <c r="F209"/>
  <c r="E209"/>
  <c r="D209"/>
  <c r="C209"/>
  <c r="B209"/>
  <c r="I208"/>
  <c r="H208"/>
  <c r="G208"/>
  <c r="F208"/>
  <c r="E208"/>
  <c r="D208"/>
  <c r="C208"/>
  <c r="B208"/>
  <c r="C207"/>
  <c r="B207"/>
  <c r="I206"/>
  <c r="G206"/>
  <c r="E206"/>
  <c r="B206"/>
  <c r="I205"/>
  <c r="G205"/>
  <c r="E205"/>
  <c r="B205"/>
  <c r="I204"/>
  <c r="G204"/>
  <c r="F204"/>
  <c r="B204" s="1"/>
  <c r="E204"/>
  <c r="I203"/>
  <c r="G203"/>
  <c r="F203"/>
  <c r="B203" s="1"/>
  <c r="E203"/>
  <c r="I202"/>
  <c r="G202"/>
  <c r="F202"/>
  <c r="B202" s="1"/>
  <c r="E202"/>
  <c r="I201"/>
  <c r="G201"/>
  <c r="E201"/>
  <c r="B201"/>
  <c r="I200"/>
  <c r="G200"/>
  <c r="E200"/>
  <c r="B200"/>
  <c r="I199"/>
  <c r="G199"/>
  <c r="E199"/>
  <c r="B199"/>
  <c r="I198"/>
  <c r="G198"/>
  <c r="E198"/>
  <c r="B198"/>
  <c r="I197"/>
  <c r="G197"/>
  <c r="E197"/>
  <c r="B197"/>
  <c r="I196"/>
  <c r="G196"/>
  <c r="E196"/>
  <c r="B196"/>
  <c r="I195"/>
  <c r="G195"/>
  <c r="E195"/>
  <c r="B195"/>
  <c r="I194"/>
  <c r="G194"/>
  <c r="E194"/>
  <c r="B194"/>
  <c r="I193"/>
  <c r="G193"/>
  <c r="E193"/>
  <c r="B193"/>
  <c r="I192"/>
  <c r="G192"/>
  <c r="F192"/>
  <c r="E192"/>
  <c r="B192"/>
  <c r="I191"/>
  <c r="G191"/>
  <c r="F191"/>
  <c r="B191" s="1"/>
  <c r="E191"/>
  <c r="I190"/>
  <c r="G190"/>
  <c r="E190"/>
  <c r="B190"/>
  <c r="H189"/>
  <c r="D189"/>
  <c r="I188"/>
  <c r="G188"/>
  <c r="E188"/>
  <c r="B188"/>
  <c r="I187"/>
  <c r="G187"/>
  <c r="E187"/>
  <c r="B187"/>
  <c r="I186"/>
  <c r="G186"/>
  <c r="E186"/>
  <c r="B186"/>
  <c r="I185"/>
  <c r="G185"/>
  <c r="G184" s="1"/>
  <c r="E185"/>
  <c r="E184" s="1"/>
  <c r="I111" i="41" s="1"/>
  <c r="B185" i="42"/>
  <c r="B184" s="1"/>
  <c r="B182" s="1"/>
  <c r="I184"/>
  <c r="H184"/>
  <c r="F184"/>
  <c r="F182" s="1"/>
  <c r="D184"/>
  <c r="D182" s="1"/>
  <c r="I183"/>
  <c r="G183"/>
  <c r="E183"/>
  <c r="B183"/>
  <c r="H182"/>
  <c r="I181"/>
  <c r="G181"/>
  <c r="K108" i="41" s="1"/>
  <c r="E181" i="42"/>
  <c r="B181"/>
  <c r="I180"/>
  <c r="G180"/>
  <c r="K107" i="41" s="1"/>
  <c r="E180" i="42"/>
  <c r="I107" i="41" s="1"/>
  <c r="B180" i="42"/>
  <c r="I179"/>
  <c r="G179"/>
  <c r="K106" i="41" s="1"/>
  <c r="E179" i="42"/>
  <c r="B179"/>
  <c r="I178"/>
  <c r="G178"/>
  <c r="K105" i="41" s="1"/>
  <c r="E178" i="42"/>
  <c r="I105" i="41" s="1"/>
  <c r="B178" i="42"/>
  <c r="I177"/>
  <c r="G177"/>
  <c r="G176" s="1"/>
  <c r="E177"/>
  <c r="B177"/>
  <c r="B176" s="1"/>
  <c r="H176"/>
  <c r="F176"/>
  <c r="D176"/>
  <c r="I174"/>
  <c r="G174"/>
  <c r="E174"/>
  <c r="I101" i="41" s="1"/>
  <c r="F101" s="1"/>
  <c r="B174" i="42"/>
  <c r="I173"/>
  <c r="G173"/>
  <c r="E173"/>
  <c r="B173"/>
  <c r="I172"/>
  <c r="G172"/>
  <c r="E172"/>
  <c r="B172"/>
  <c r="I171"/>
  <c r="G171"/>
  <c r="E171"/>
  <c r="B171"/>
  <c r="I170"/>
  <c r="I169" s="1"/>
  <c r="G170"/>
  <c r="E170"/>
  <c r="B170"/>
  <c r="B169" s="1"/>
  <c r="H169"/>
  <c r="F169"/>
  <c r="D169"/>
  <c r="H100" i="41" s="1"/>
  <c r="H168" i="42"/>
  <c r="F168"/>
  <c r="D168"/>
  <c r="I167"/>
  <c r="G167"/>
  <c r="E167"/>
  <c r="B167"/>
  <c r="I166"/>
  <c r="I165" s="1"/>
  <c r="M98" i="41" s="1"/>
  <c r="G166" i="42"/>
  <c r="E166"/>
  <c r="B166"/>
  <c r="H165"/>
  <c r="G165"/>
  <c r="F165"/>
  <c r="D165"/>
  <c r="B165"/>
  <c r="I164"/>
  <c r="G164"/>
  <c r="E164"/>
  <c r="I97" i="41" s="1"/>
  <c r="F97" s="1"/>
  <c r="B164" i="42"/>
  <c r="I163"/>
  <c r="G163"/>
  <c r="E163"/>
  <c r="I96" i="41" s="1"/>
  <c r="F96" s="1"/>
  <c r="B163" i="42"/>
  <c r="I162"/>
  <c r="G162"/>
  <c r="E162"/>
  <c r="B162"/>
  <c r="I161"/>
  <c r="G161"/>
  <c r="E161"/>
  <c r="B161"/>
  <c r="I160"/>
  <c r="I159" s="1"/>
  <c r="G160"/>
  <c r="E160"/>
  <c r="B160"/>
  <c r="H159"/>
  <c r="F159"/>
  <c r="D159"/>
  <c r="H94" i="41" s="1"/>
  <c r="B159" i="42"/>
  <c r="I158"/>
  <c r="G158"/>
  <c r="E158"/>
  <c r="I93" i="41" s="1"/>
  <c r="F93" s="1"/>
  <c r="B158" i="42"/>
  <c r="H157"/>
  <c r="H175" s="1"/>
  <c r="F157"/>
  <c r="F175" s="1"/>
  <c r="D157"/>
  <c r="D175" s="1"/>
  <c r="B157"/>
  <c r="I155"/>
  <c r="G155"/>
  <c r="E155"/>
  <c r="I90" i="41" s="1"/>
  <c r="F90" s="1"/>
  <c r="B155" i="42"/>
  <c r="I154"/>
  <c r="I153" s="1"/>
  <c r="G154"/>
  <c r="E154"/>
  <c r="B154"/>
  <c r="H153"/>
  <c r="F153"/>
  <c r="D153"/>
  <c r="B153"/>
  <c r="I152"/>
  <c r="G152"/>
  <c r="E152"/>
  <c r="B152"/>
  <c r="I151"/>
  <c r="G151"/>
  <c r="E151"/>
  <c r="B151"/>
  <c r="I150"/>
  <c r="G150"/>
  <c r="F150"/>
  <c r="F148" s="1"/>
  <c r="E150"/>
  <c r="I149"/>
  <c r="G149"/>
  <c r="E149"/>
  <c r="B149"/>
  <c r="H148"/>
  <c r="D148"/>
  <c r="H87" i="41" s="1"/>
  <c r="I147" i="42"/>
  <c r="M86" i="41" s="1"/>
  <c r="F86" s="1"/>
  <c r="G147" i="42"/>
  <c r="E147"/>
  <c r="B147"/>
  <c r="I146"/>
  <c r="G146"/>
  <c r="E146"/>
  <c r="B146"/>
  <c r="I145"/>
  <c r="M84" i="41" s="1"/>
  <c r="F84" s="1"/>
  <c r="G145" i="42"/>
  <c r="E145"/>
  <c r="B145"/>
  <c r="I144"/>
  <c r="G144"/>
  <c r="E144"/>
  <c r="B144"/>
  <c r="I143"/>
  <c r="G143"/>
  <c r="E143"/>
  <c r="B143"/>
  <c r="I142"/>
  <c r="G142"/>
  <c r="E142"/>
  <c r="B142"/>
  <c r="B141" s="1"/>
  <c r="H141"/>
  <c r="L83" i="41" s="1"/>
  <c r="F141" i="42"/>
  <c r="D141"/>
  <c r="I140"/>
  <c r="G140"/>
  <c r="E140"/>
  <c r="B140"/>
  <c r="I139"/>
  <c r="G139"/>
  <c r="E139"/>
  <c r="B139"/>
  <c r="I138"/>
  <c r="I137" s="1"/>
  <c r="M82" i="41" s="1"/>
  <c r="G138" i="42"/>
  <c r="E138"/>
  <c r="B138"/>
  <c r="B137" s="1"/>
  <c r="H137"/>
  <c r="L82" i="41" s="1"/>
  <c r="G137" i="42"/>
  <c r="K82" i="41" s="1"/>
  <c r="F137" i="42"/>
  <c r="D137"/>
  <c r="H136"/>
  <c r="H289" s="1"/>
  <c r="I135"/>
  <c r="M80" i="41" s="1"/>
  <c r="G135" i="42"/>
  <c r="E135"/>
  <c r="B135"/>
  <c r="I134"/>
  <c r="G134"/>
  <c r="E134"/>
  <c r="B134"/>
  <c r="I133"/>
  <c r="M78" i="41" s="1"/>
  <c r="G133" i="42"/>
  <c r="E133"/>
  <c r="B133"/>
  <c r="I132"/>
  <c r="G132"/>
  <c r="E132"/>
  <c r="B132"/>
  <c r="I131"/>
  <c r="G131"/>
  <c r="E131"/>
  <c r="B131"/>
  <c r="I130"/>
  <c r="M75" i="41" s="1"/>
  <c r="F75" s="1"/>
  <c r="G130" i="42"/>
  <c r="G129" s="1"/>
  <c r="E130"/>
  <c r="B130"/>
  <c r="B129" s="1"/>
  <c r="H129"/>
  <c r="F129"/>
  <c r="D129"/>
  <c r="I121"/>
  <c r="H121"/>
  <c r="G121"/>
  <c r="E121"/>
  <c r="D121"/>
  <c r="C120"/>
  <c r="B120"/>
  <c r="C119"/>
  <c r="C118"/>
  <c r="B118"/>
  <c r="C117"/>
  <c r="B117"/>
  <c r="C116"/>
  <c r="B116"/>
  <c r="C115"/>
  <c r="C114"/>
  <c r="B114"/>
  <c r="C113"/>
  <c r="C121" s="1"/>
  <c r="C110"/>
  <c r="B110"/>
  <c r="C109"/>
  <c r="B109"/>
  <c r="C108"/>
  <c r="B108"/>
  <c r="F107"/>
  <c r="C107"/>
  <c r="B107"/>
  <c r="C106"/>
  <c r="B106"/>
  <c r="C105"/>
  <c r="B105"/>
  <c r="C104"/>
  <c r="B104"/>
  <c r="I103"/>
  <c r="H103"/>
  <c r="G103"/>
  <c r="F103"/>
  <c r="E103"/>
  <c r="D103"/>
  <c r="C103"/>
  <c r="B103"/>
  <c r="C102"/>
  <c r="B102"/>
  <c r="F101"/>
  <c r="C101"/>
  <c r="B101"/>
  <c r="F100"/>
  <c r="C100"/>
  <c r="B100"/>
  <c r="F99"/>
  <c r="C99"/>
  <c r="B99"/>
  <c r="F98"/>
  <c r="C98"/>
  <c r="B98"/>
  <c r="F97"/>
  <c r="C97"/>
  <c r="B97"/>
  <c r="F96"/>
  <c r="C96"/>
  <c r="B96"/>
  <c r="I95"/>
  <c r="H95"/>
  <c r="G95"/>
  <c r="F95"/>
  <c r="E95"/>
  <c r="D95"/>
  <c r="C95"/>
  <c r="B95"/>
  <c r="I94"/>
  <c r="H94"/>
  <c r="G94"/>
  <c r="F94"/>
  <c r="E94"/>
  <c r="D94"/>
  <c r="C94"/>
  <c r="B94"/>
  <c r="C93"/>
  <c r="B93"/>
  <c r="C92"/>
  <c r="B92"/>
  <c r="I91"/>
  <c r="I111" s="1"/>
  <c r="H91"/>
  <c r="H111" s="1"/>
  <c r="G91"/>
  <c r="G111" s="1"/>
  <c r="F91"/>
  <c r="F111" s="1"/>
  <c r="E91"/>
  <c r="E111" s="1"/>
  <c r="D91"/>
  <c r="D111" s="1"/>
  <c r="C91"/>
  <c r="C111" s="1"/>
  <c r="B91"/>
  <c r="B111" s="1"/>
  <c r="C89"/>
  <c r="B89"/>
  <c r="C88"/>
  <c r="B88"/>
  <c r="F87"/>
  <c r="C87"/>
  <c r="B87"/>
  <c r="F86"/>
  <c r="C86"/>
  <c r="B86"/>
  <c r="F85"/>
  <c r="C85"/>
  <c r="B85"/>
  <c r="F84"/>
  <c r="C84"/>
  <c r="B84"/>
  <c r="F83"/>
  <c r="C83"/>
  <c r="B83"/>
  <c r="C82"/>
  <c r="B82"/>
  <c r="F81"/>
  <c r="C81"/>
  <c r="B81"/>
  <c r="C80"/>
  <c r="B80"/>
  <c r="F79"/>
  <c r="C79"/>
  <c r="B79"/>
  <c r="F78"/>
  <c r="C78"/>
  <c r="B78"/>
  <c r="F77"/>
  <c r="C77"/>
  <c r="B77"/>
  <c r="I76"/>
  <c r="H76"/>
  <c r="G76"/>
  <c r="F76"/>
  <c r="E76"/>
  <c r="D76"/>
  <c r="C76"/>
  <c r="B76"/>
  <c r="C75"/>
  <c r="B75"/>
  <c r="C74"/>
  <c r="B74"/>
  <c r="C73"/>
  <c r="B73"/>
  <c r="C72"/>
  <c r="B72"/>
  <c r="C71"/>
  <c r="B71"/>
  <c r="I70"/>
  <c r="H70"/>
  <c r="G70"/>
  <c r="F70"/>
  <c r="E70"/>
  <c r="D70"/>
  <c r="C70"/>
  <c r="B70"/>
  <c r="C69"/>
  <c r="B69"/>
  <c r="C68"/>
  <c r="B68"/>
  <c r="C67"/>
  <c r="B67"/>
  <c r="I66"/>
  <c r="H66"/>
  <c r="G66"/>
  <c r="F66"/>
  <c r="E66"/>
  <c r="D66"/>
  <c r="C66"/>
  <c r="B66"/>
  <c r="C65"/>
  <c r="B65"/>
  <c r="I64"/>
  <c r="H64"/>
  <c r="G64"/>
  <c r="F64"/>
  <c r="E64"/>
  <c r="D64"/>
  <c r="C64"/>
  <c r="B64"/>
  <c r="F63"/>
  <c r="C63"/>
  <c r="B63"/>
  <c r="F62"/>
  <c r="C62"/>
  <c r="B62"/>
  <c r="F61"/>
  <c r="C61"/>
  <c r="B61"/>
  <c r="F60"/>
  <c r="C60"/>
  <c r="B60"/>
  <c r="F59"/>
  <c r="C59"/>
  <c r="B59"/>
  <c r="I58"/>
  <c r="H58"/>
  <c r="G58"/>
  <c r="F58"/>
  <c r="E58"/>
  <c r="D58"/>
  <c r="C58"/>
  <c r="B58"/>
  <c r="C57"/>
  <c r="B57"/>
  <c r="C56"/>
  <c r="B56"/>
  <c r="C55"/>
  <c r="B55"/>
  <c r="C54"/>
  <c r="B54"/>
  <c r="C53"/>
  <c r="B53"/>
  <c r="F52"/>
  <c r="C52"/>
  <c r="B52"/>
  <c r="C51"/>
  <c r="B51"/>
  <c r="C50"/>
  <c r="B50"/>
  <c r="I49"/>
  <c r="H49"/>
  <c r="G49"/>
  <c r="F49"/>
  <c r="F119" s="1"/>
  <c r="B119" s="1"/>
  <c r="E49"/>
  <c r="D49"/>
  <c r="C49"/>
  <c r="B49"/>
  <c r="C48"/>
  <c r="B48"/>
  <c r="C47"/>
  <c r="B47"/>
  <c r="F46"/>
  <c r="C46"/>
  <c r="B46"/>
  <c r="C45"/>
  <c r="B45"/>
  <c r="I44"/>
  <c r="H44"/>
  <c r="G44"/>
  <c r="F44"/>
  <c r="E44"/>
  <c r="D44"/>
  <c r="C44"/>
  <c r="B44"/>
  <c r="C43"/>
  <c r="B43"/>
  <c r="C42"/>
  <c r="B42"/>
  <c r="C41"/>
  <c r="B41"/>
  <c r="F40"/>
  <c r="C40"/>
  <c r="B40"/>
  <c r="I39"/>
  <c r="H39"/>
  <c r="G39"/>
  <c r="F39"/>
  <c r="E39"/>
  <c r="D39"/>
  <c r="C39"/>
  <c r="B39"/>
  <c r="F38"/>
  <c r="C38"/>
  <c r="B38"/>
  <c r="F37"/>
  <c r="C37"/>
  <c r="B37"/>
  <c r="I36"/>
  <c r="H36"/>
  <c r="G36"/>
  <c r="F36"/>
  <c r="E36"/>
  <c r="D36"/>
  <c r="C36"/>
  <c r="B36"/>
  <c r="F35"/>
  <c r="C35"/>
  <c r="B35"/>
  <c r="F34"/>
  <c r="C34"/>
  <c r="B34"/>
  <c r="F33"/>
  <c r="C33"/>
  <c r="B33"/>
  <c r="F32"/>
  <c r="C32"/>
  <c r="B32"/>
  <c r="I31"/>
  <c r="H31"/>
  <c r="G31"/>
  <c r="F31"/>
  <c r="E31"/>
  <c r="D31"/>
  <c r="C31"/>
  <c r="B31"/>
  <c r="C30"/>
  <c r="B30"/>
  <c r="F29"/>
  <c r="C29"/>
  <c r="B29"/>
  <c r="F28"/>
  <c r="C28"/>
  <c r="B28"/>
  <c r="F27"/>
  <c r="C27"/>
  <c r="B27"/>
  <c r="F26"/>
  <c r="C26"/>
  <c r="B26"/>
  <c r="F25"/>
  <c r="C25"/>
  <c r="B25"/>
  <c r="F24"/>
  <c r="C24"/>
  <c r="B24"/>
  <c r="F23"/>
  <c r="C23"/>
  <c r="B23"/>
  <c r="F22"/>
  <c r="C22"/>
  <c r="B22"/>
  <c r="F21"/>
  <c r="C21"/>
  <c r="B21"/>
  <c r="F20"/>
  <c r="C20"/>
  <c r="B20"/>
  <c r="F19"/>
  <c r="C19"/>
  <c r="B19"/>
  <c r="F18"/>
  <c r="C18"/>
  <c r="B18"/>
  <c r="F17"/>
  <c r="C17"/>
  <c r="B17"/>
  <c r="F16"/>
  <c r="C16"/>
  <c r="B16"/>
  <c r="F15"/>
  <c r="C15"/>
  <c r="B15"/>
  <c r="F14"/>
  <c r="C14"/>
  <c r="B14"/>
  <c r="F13"/>
  <c r="C13"/>
  <c r="B13"/>
  <c r="F12"/>
  <c r="C12"/>
  <c r="B12"/>
  <c r="F11"/>
  <c r="C11"/>
  <c r="B11"/>
  <c r="F10"/>
  <c r="C10"/>
  <c r="B10"/>
  <c r="F9"/>
  <c r="C9"/>
  <c r="B9"/>
  <c r="F8"/>
  <c r="C8"/>
  <c r="B8"/>
  <c r="I7"/>
  <c r="H7"/>
  <c r="G7"/>
  <c r="F7"/>
  <c r="E7"/>
  <c r="D7"/>
  <c r="C7"/>
  <c r="B7"/>
  <c r="I6"/>
  <c r="I90" s="1"/>
  <c r="H6"/>
  <c r="H90" s="1"/>
  <c r="H112" s="1"/>
  <c r="G6"/>
  <c r="G90" s="1"/>
  <c r="F6"/>
  <c r="F113" s="1"/>
  <c r="E6"/>
  <c r="E90" s="1"/>
  <c r="D6"/>
  <c r="D90" s="1"/>
  <c r="D112" s="1"/>
  <c r="C6"/>
  <c r="C90" s="1"/>
  <c r="B6"/>
  <c r="B90" s="1"/>
  <c r="B112" s="1"/>
  <c r="M198" i="41"/>
  <c r="L198"/>
  <c r="K198"/>
  <c r="J198"/>
  <c r="H198"/>
  <c r="E198"/>
  <c r="L197"/>
  <c r="K197"/>
  <c r="J197"/>
  <c r="I197"/>
  <c r="H197"/>
  <c r="E197"/>
  <c r="C19" i="29" s="1"/>
  <c r="C27" i="4" s="1"/>
  <c r="L196" i="41"/>
  <c r="K196"/>
  <c r="J196"/>
  <c r="I196"/>
  <c r="H196"/>
  <c r="E196"/>
  <c r="C18" i="29" s="1"/>
  <c r="C26" i="4" s="1"/>
  <c r="J194" i="41"/>
  <c r="H194"/>
  <c r="L193"/>
  <c r="J193"/>
  <c r="H193"/>
  <c r="L192"/>
  <c r="J192"/>
  <c r="L191"/>
  <c r="K191"/>
  <c r="J191"/>
  <c r="I191"/>
  <c r="H191"/>
  <c r="E191" s="1"/>
  <c r="D190"/>
  <c r="D199" s="1"/>
  <c r="D176"/>
  <c r="M175"/>
  <c r="L175"/>
  <c r="K175"/>
  <c r="J175"/>
  <c r="E175" s="1"/>
  <c r="I175"/>
  <c r="F175" s="1"/>
  <c r="H175"/>
  <c r="M174"/>
  <c r="L174"/>
  <c r="K174"/>
  <c r="J174"/>
  <c r="I174"/>
  <c r="F174" s="1"/>
  <c r="H174"/>
  <c r="M173"/>
  <c r="L173"/>
  <c r="K173"/>
  <c r="J173"/>
  <c r="I173"/>
  <c r="F173" s="1"/>
  <c r="H173"/>
  <c r="E173" s="1"/>
  <c r="M172"/>
  <c r="L172"/>
  <c r="K172"/>
  <c r="J172"/>
  <c r="I172"/>
  <c r="H172"/>
  <c r="F172"/>
  <c r="M171"/>
  <c r="L171"/>
  <c r="K171"/>
  <c r="J171"/>
  <c r="I171"/>
  <c r="F171" s="1"/>
  <c r="H171"/>
  <c r="D170"/>
  <c r="D177" s="1"/>
  <c r="M169"/>
  <c r="L169"/>
  <c r="K169"/>
  <c r="I169"/>
  <c r="M168"/>
  <c r="L168"/>
  <c r="K168"/>
  <c r="J168"/>
  <c r="I168"/>
  <c r="F168" s="1"/>
  <c r="H168"/>
  <c r="E168" s="1"/>
  <c r="M167"/>
  <c r="L167"/>
  <c r="K167"/>
  <c r="J167"/>
  <c r="I167"/>
  <c r="H167"/>
  <c r="F167"/>
  <c r="M166"/>
  <c r="L166"/>
  <c r="K166"/>
  <c r="J166"/>
  <c r="I166"/>
  <c r="F166" s="1"/>
  <c r="H166"/>
  <c r="M165"/>
  <c r="L165"/>
  <c r="E165" s="1"/>
  <c r="K165"/>
  <c r="I165"/>
  <c r="M164"/>
  <c r="L164"/>
  <c r="K164"/>
  <c r="J164"/>
  <c r="I164"/>
  <c r="H164"/>
  <c r="E164" s="1"/>
  <c r="M163"/>
  <c r="L163"/>
  <c r="K163"/>
  <c r="J163"/>
  <c r="I163"/>
  <c r="F163" s="1"/>
  <c r="H163"/>
  <c r="M162"/>
  <c r="L162"/>
  <c r="K162"/>
  <c r="J162"/>
  <c r="I162"/>
  <c r="H162"/>
  <c r="E162" s="1"/>
  <c r="M150"/>
  <c r="L150"/>
  <c r="K150"/>
  <c r="J150"/>
  <c r="I150"/>
  <c r="H150"/>
  <c r="F150"/>
  <c r="M149"/>
  <c r="L149"/>
  <c r="K149"/>
  <c r="J149"/>
  <c r="I149"/>
  <c r="F149" s="1"/>
  <c r="H149"/>
  <c r="M148"/>
  <c r="L148"/>
  <c r="K148"/>
  <c r="J148"/>
  <c r="I148"/>
  <c r="H148"/>
  <c r="E148" s="1"/>
  <c r="F148"/>
  <c r="M147"/>
  <c r="L147"/>
  <c r="K147"/>
  <c r="J147"/>
  <c r="I147"/>
  <c r="H147"/>
  <c r="D146"/>
  <c r="M145"/>
  <c r="L145"/>
  <c r="K145"/>
  <c r="J145"/>
  <c r="I145"/>
  <c r="F145" s="1"/>
  <c r="H145"/>
  <c r="M144"/>
  <c r="L144"/>
  <c r="K144"/>
  <c r="J144"/>
  <c r="I144"/>
  <c r="F144" s="1"/>
  <c r="H144"/>
  <c r="E144" s="1"/>
  <c r="D143"/>
  <c r="M142"/>
  <c r="L142"/>
  <c r="K142"/>
  <c r="J142"/>
  <c r="I142"/>
  <c r="H142"/>
  <c r="E142" s="1"/>
  <c r="F142"/>
  <c r="M141"/>
  <c r="L141"/>
  <c r="K141"/>
  <c r="J141"/>
  <c r="I141"/>
  <c r="H141"/>
  <c r="M140"/>
  <c r="L140"/>
  <c r="K140"/>
  <c r="J140"/>
  <c r="I140"/>
  <c r="F140" s="1"/>
  <c r="H140"/>
  <c r="E140" s="1"/>
  <c r="M139"/>
  <c r="L139"/>
  <c r="K139"/>
  <c r="J139"/>
  <c r="I139"/>
  <c r="H139"/>
  <c r="E139" s="1"/>
  <c r="D138"/>
  <c r="D151" s="1"/>
  <c r="M137"/>
  <c r="L137"/>
  <c r="K137"/>
  <c r="J137"/>
  <c r="I137"/>
  <c r="H137"/>
  <c r="F137"/>
  <c r="M136"/>
  <c r="L136"/>
  <c r="K136"/>
  <c r="J136"/>
  <c r="I136"/>
  <c r="F136" s="1"/>
  <c r="H136"/>
  <c r="M135"/>
  <c r="L135"/>
  <c r="K135"/>
  <c r="J135"/>
  <c r="I135"/>
  <c r="H135"/>
  <c r="E135" s="1"/>
  <c r="F135"/>
  <c r="D134"/>
  <c r="M133"/>
  <c r="L133"/>
  <c r="K133"/>
  <c r="I133"/>
  <c r="M132"/>
  <c r="M131" s="1"/>
  <c r="K132"/>
  <c r="I132"/>
  <c r="I131" s="1"/>
  <c r="D131"/>
  <c r="M129"/>
  <c r="L129"/>
  <c r="K129"/>
  <c r="J129"/>
  <c r="I129"/>
  <c r="H129"/>
  <c r="E129" s="1"/>
  <c r="M128"/>
  <c r="L128"/>
  <c r="K128"/>
  <c r="J128"/>
  <c r="I128"/>
  <c r="F128" s="1"/>
  <c r="H128"/>
  <c r="M127"/>
  <c r="L127"/>
  <c r="K127"/>
  <c r="J127"/>
  <c r="I127"/>
  <c r="F127" s="1"/>
  <c r="H127"/>
  <c r="E127" s="1"/>
  <c r="D126"/>
  <c r="D130" s="1"/>
  <c r="M124"/>
  <c r="L124"/>
  <c r="K124"/>
  <c r="I124"/>
  <c r="H124"/>
  <c r="M123"/>
  <c r="L123"/>
  <c r="K123"/>
  <c r="J123"/>
  <c r="I123"/>
  <c r="F123" s="1"/>
  <c r="H123"/>
  <c r="E123" s="1"/>
  <c r="M122"/>
  <c r="L122"/>
  <c r="K122"/>
  <c r="J122"/>
  <c r="I122"/>
  <c r="H122"/>
  <c r="F122"/>
  <c r="M121"/>
  <c r="L121"/>
  <c r="K121"/>
  <c r="J121"/>
  <c r="I121"/>
  <c r="F121" s="1"/>
  <c r="H121"/>
  <c r="D120"/>
  <c r="M119"/>
  <c r="L119"/>
  <c r="K119"/>
  <c r="J119"/>
  <c r="I119"/>
  <c r="F119" s="1"/>
  <c r="H119"/>
  <c r="E119" s="1"/>
  <c r="M118"/>
  <c r="L118"/>
  <c r="K118"/>
  <c r="J118"/>
  <c r="I118"/>
  <c r="H118"/>
  <c r="E118" s="1"/>
  <c r="M117"/>
  <c r="L117"/>
  <c r="K117"/>
  <c r="J117"/>
  <c r="I117"/>
  <c r="F117" s="1"/>
  <c r="H117"/>
  <c r="D116"/>
  <c r="M115"/>
  <c r="L115"/>
  <c r="K115"/>
  <c r="J115"/>
  <c r="I115"/>
  <c r="F115" s="1"/>
  <c r="H115"/>
  <c r="M114"/>
  <c r="L114"/>
  <c r="K114"/>
  <c r="J114"/>
  <c r="I114"/>
  <c r="H114"/>
  <c r="E114" s="1"/>
  <c r="F114"/>
  <c r="D113"/>
  <c r="L112"/>
  <c r="H112"/>
  <c r="M111"/>
  <c r="L111"/>
  <c r="J111"/>
  <c r="H111"/>
  <c r="E111" s="1"/>
  <c r="M110"/>
  <c r="L110"/>
  <c r="K110"/>
  <c r="J110"/>
  <c r="I110"/>
  <c r="F110" s="1"/>
  <c r="H110"/>
  <c r="D109"/>
  <c r="D125" s="1"/>
  <c r="M108"/>
  <c r="L108"/>
  <c r="J108"/>
  <c r="I108"/>
  <c r="H108"/>
  <c r="E108" s="1"/>
  <c r="M107"/>
  <c r="L107"/>
  <c r="J107"/>
  <c r="H107"/>
  <c r="E107" s="1"/>
  <c r="M106"/>
  <c r="L106"/>
  <c r="J106"/>
  <c r="I106"/>
  <c r="F106" s="1"/>
  <c r="H106"/>
  <c r="M105"/>
  <c r="L105"/>
  <c r="H105"/>
  <c r="M104"/>
  <c r="L104"/>
  <c r="J104"/>
  <c r="I104"/>
  <c r="H104"/>
  <c r="D103"/>
  <c r="M101"/>
  <c r="L101"/>
  <c r="K101"/>
  <c r="J101"/>
  <c r="H101"/>
  <c r="L100"/>
  <c r="J100"/>
  <c r="D99"/>
  <c r="L98"/>
  <c r="K98"/>
  <c r="J98"/>
  <c r="H98"/>
  <c r="M97"/>
  <c r="L97"/>
  <c r="K97"/>
  <c r="J97"/>
  <c r="H97"/>
  <c r="E97" s="1"/>
  <c r="M96"/>
  <c r="L96"/>
  <c r="K96"/>
  <c r="J96"/>
  <c r="H96"/>
  <c r="M95"/>
  <c r="L95"/>
  <c r="K95"/>
  <c r="J95"/>
  <c r="I95"/>
  <c r="F95" s="1"/>
  <c r="H95"/>
  <c r="E95" s="1"/>
  <c r="L94"/>
  <c r="J94"/>
  <c r="M93"/>
  <c r="L93"/>
  <c r="K93"/>
  <c r="J93"/>
  <c r="H93"/>
  <c r="D92"/>
  <c r="D102" s="1"/>
  <c r="M90"/>
  <c r="L90"/>
  <c r="K90"/>
  <c r="J90"/>
  <c r="H90"/>
  <c r="M89"/>
  <c r="M88" s="1"/>
  <c r="L89"/>
  <c r="K89"/>
  <c r="J89"/>
  <c r="I89"/>
  <c r="F89" s="1"/>
  <c r="H89"/>
  <c r="E89" s="1"/>
  <c r="D88"/>
  <c r="L87"/>
  <c r="L86"/>
  <c r="K86"/>
  <c r="J86"/>
  <c r="I86"/>
  <c r="H86"/>
  <c r="M85"/>
  <c r="L85"/>
  <c r="K85"/>
  <c r="J85"/>
  <c r="I85"/>
  <c r="F85" s="1"/>
  <c r="H85"/>
  <c r="L84"/>
  <c r="K84"/>
  <c r="J84"/>
  <c r="I84"/>
  <c r="H84"/>
  <c r="E84" s="1"/>
  <c r="J83"/>
  <c r="H83"/>
  <c r="J82"/>
  <c r="H82"/>
  <c r="D81"/>
  <c r="L80"/>
  <c r="K80"/>
  <c r="J80"/>
  <c r="I80"/>
  <c r="H80"/>
  <c r="M79"/>
  <c r="L79"/>
  <c r="K79"/>
  <c r="J79"/>
  <c r="I79"/>
  <c r="F79" s="1"/>
  <c r="H79"/>
  <c r="E79" s="1"/>
  <c r="L78"/>
  <c r="K78"/>
  <c r="J78"/>
  <c r="I78"/>
  <c r="H78"/>
  <c r="E78" s="1"/>
  <c r="M77"/>
  <c r="L77"/>
  <c r="K77"/>
  <c r="J77"/>
  <c r="I77"/>
  <c r="F77" s="1"/>
  <c r="H77"/>
  <c r="M76"/>
  <c r="L76"/>
  <c r="K76"/>
  <c r="J76"/>
  <c r="I76"/>
  <c r="F76" s="1"/>
  <c r="H76"/>
  <c r="E76" s="1"/>
  <c r="L75"/>
  <c r="K75"/>
  <c r="J75"/>
  <c r="I75"/>
  <c r="H75"/>
  <c r="D74"/>
  <c r="D91" s="1"/>
  <c r="D67"/>
  <c r="M66"/>
  <c r="L66"/>
  <c r="K66"/>
  <c r="J66"/>
  <c r="I66"/>
  <c r="H66"/>
  <c r="E66" s="1"/>
  <c r="M65"/>
  <c r="L65"/>
  <c r="K65"/>
  <c r="J65"/>
  <c r="I65"/>
  <c r="F65" s="1"/>
  <c r="H65"/>
  <c r="M64"/>
  <c r="L64"/>
  <c r="K64"/>
  <c r="J64"/>
  <c r="I64"/>
  <c r="F64" s="1"/>
  <c r="H64"/>
  <c r="E64" s="1"/>
  <c r="M63"/>
  <c r="L63"/>
  <c r="K63"/>
  <c r="J63"/>
  <c r="I63"/>
  <c r="H63"/>
  <c r="F63"/>
  <c r="M62"/>
  <c r="L62"/>
  <c r="K62"/>
  <c r="J62"/>
  <c r="I62"/>
  <c r="F62" s="1"/>
  <c r="H62"/>
  <c r="M61"/>
  <c r="L61"/>
  <c r="K61"/>
  <c r="I61"/>
  <c r="H61"/>
  <c r="M60"/>
  <c r="L60"/>
  <c r="K60"/>
  <c r="J60"/>
  <c r="I60"/>
  <c r="F60" s="1"/>
  <c r="H60"/>
  <c r="E60" s="1"/>
  <c r="M59"/>
  <c r="L59"/>
  <c r="K59"/>
  <c r="J59"/>
  <c r="I59"/>
  <c r="H59"/>
  <c r="F59"/>
  <c r="M56"/>
  <c r="L56"/>
  <c r="K56"/>
  <c r="J56"/>
  <c r="I56"/>
  <c r="F56" s="1"/>
  <c r="H56"/>
  <c r="M55"/>
  <c r="L55"/>
  <c r="K55"/>
  <c r="J55"/>
  <c r="I55"/>
  <c r="H55"/>
  <c r="E55" s="1"/>
  <c r="F55"/>
  <c r="M54"/>
  <c r="L54"/>
  <c r="K54"/>
  <c r="J54"/>
  <c r="I54"/>
  <c r="H54"/>
  <c r="M53"/>
  <c r="L53"/>
  <c r="K53"/>
  <c r="J53"/>
  <c r="I53"/>
  <c r="F53" s="1"/>
  <c r="H53"/>
  <c r="E53" s="1"/>
  <c r="M52"/>
  <c r="L52"/>
  <c r="K52"/>
  <c r="J52"/>
  <c r="I52"/>
  <c r="H52"/>
  <c r="E52" s="1"/>
  <c r="M51"/>
  <c r="L51"/>
  <c r="K51"/>
  <c r="J51"/>
  <c r="I51"/>
  <c r="F51" s="1"/>
  <c r="H51"/>
  <c r="M50"/>
  <c r="L50"/>
  <c r="K50"/>
  <c r="J50"/>
  <c r="I50"/>
  <c r="F50" s="1"/>
  <c r="H50"/>
  <c r="E50" s="1"/>
  <c r="D49"/>
  <c r="M48"/>
  <c r="L48"/>
  <c r="K48"/>
  <c r="J48"/>
  <c r="I48"/>
  <c r="H48"/>
  <c r="E48" s="1"/>
  <c r="F48"/>
  <c r="M47"/>
  <c r="L47"/>
  <c r="K47"/>
  <c r="J47"/>
  <c r="I47"/>
  <c r="H47"/>
  <c r="D46"/>
  <c r="M45"/>
  <c r="L45"/>
  <c r="K45"/>
  <c r="J45"/>
  <c r="I45"/>
  <c r="F45" s="1"/>
  <c r="H45"/>
  <c r="M44"/>
  <c r="L44"/>
  <c r="K44"/>
  <c r="J44"/>
  <c r="I44"/>
  <c r="F44" s="1"/>
  <c r="H44"/>
  <c r="E44" s="1"/>
  <c r="D43"/>
  <c r="D57" s="1"/>
  <c r="M41"/>
  <c r="L41"/>
  <c r="K41"/>
  <c r="J41"/>
  <c r="I41"/>
  <c r="H41"/>
  <c r="E41" s="1"/>
  <c r="F41"/>
  <c r="M40"/>
  <c r="L40"/>
  <c r="K40"/>
  <c r="J40"/>
  <c r="I40"/>
  <c r="H40"/>
  <c r="M39"/>
  <c r="L39"/>
  <c r="K39"/>
  <c r="J39"/>
  <c r="I39"/>
  <c r="F39" s="1"/>
  <c r="H39"/>
  <c r="E39" s="1"/>
  <c r="M38"/>
  <c r="L38"/>
  <c r="K38"/>
  <c r="J38"/>
  <c r="I38"/>
  <c r="H38"/>
  <c r="E38" s="1"/>
  <c r="M37"/>
  <c r="L37"/>
  <c r="K37"/>
  <c r="J37"/>
  <c r="I37"/>
  <c r="F37" s="1"/>
  <c r="H37"/>
  <c r="M36"/>
  <c r="L36"/>
  <c r="K36"/>
  <c r="J36"/>
  <c r="I36"/>
  <c r="F36" s="1"/>
  <c r="H36"/>
  <c r="E36" s="1"/>
  <c r="D35"/>
  <c r="D42" s="1"/>
  <c r="D58" s="1"/>
  <c r="M34"/>
  <c r="L34"/>
  <c r="K34"/>
  <c r="J34"/>
  <c r="I34"/>
  <c r="H34"/>
  <c r="E34" s="1"/>
  <c r="F34"/>
  <c r="M33"/>
  <c r="L33"/>
  <c r="K33"/>
  <c r="J33"/>
  <c r="I33"/>
  <c r="H33"/>
  <c r="M32"/>
  <c r="M31" s="1"/>
  <c r="L32"/>
  <c r="K32"/>
  <c r="J32"/>
  <c r="I32"/>
  <c r="I31" s="1"/>
  <c r="H32"/>
  <c r="E32" s="1"/>
  <c r="D31"/>
  <c r="M30"/>
  <c r="L30"/>
  <c r="K30"/>
  <c r="J30"/>
  <c r="I30"/>
  <c r="F30" s="1"/>
  <c r="H30"/>
  <c r="E30" s="1"/>
  <c r="M29"/>
  <c r="L29"/>
  <c r="K29"/>
  <c r="J29"/>
  <c r="I29"/>
  <c r="H29"/>
  <c r="F29"/>
  <c r="M28"/>
  <c r="L28"/>
  <c r="K28"/>
  <c r="J28"/>
  <c r="I28"/>
  <c r="F28" s="1"/>
  <c r="H28"/>
  <c r="M27"/>
  <c r="L27"/>
  <c r="K27"/>
  <c r="J27"/>
  <c r="I27"/>
  <c r="H27"/>
  <c r="E27" s="1"/>
  <c r="F27"/>
  <c r="M26"/>
  <c r="L26"/>
  <c r="K26"/>
  <c r="J26"/>
  <c r="I26"/>
  <c r="H26"/>
  <c r="E26"/>
  <c r="M25"/>
  <c r="L25"/>
  <c r="K25"/>
  <c r="J25"/>
  <c r="I25"/>
  <c r="F25" s="1"/>
  <c r="H25"/>
  <c r="M24"/>
  <c r="L24"/>
  <c r="K24"/>
  <c r="J24"/>
  <c r="I24"/>
  <c r="F24" s="1"/>
  <c r="H24"/>
  <c r="E24" s="1"/>
  <c r="M23"/>
  <c r="L23"/>
  <c r="K23"/>
  <c r="J23"/>
  <c r="I23"/>
  <c r="H23"/>
  <c r="E23" s="1"/>
  <c r="F23"/>
  <c r="M22"/>
  <c r="L22"/>
  <c r="K22"/>
  <c r="K20" s="1"/>
  <c r="J22"/>
  <c r="I22"/>
  <c r="H22"/>
  <c r="E22"/>
  <c r="M21"/>
  <c r="L21"/>
  <c r="K21"/>
  <c r="J21"/>
  <c r="J20" s="1"/>
  <c r="I21"/>
  <c r="F21" s="1"/>
  <c r="H21"/>
  <c r="M20"/>
  <c r="D20"/>
  <c r="M19"/>
  <c r="L19"/>
  <c r="K19"/>
  <c r="J19"/>
  <c r="I19"/>
  <c r="H19"/>
  <c r="M18"/>
  <c r="L18"/>
  <c r="K18"/>
  <c r="J18"/>
  <c r="I18"/>
  <c r="F18" s="1"/>
  <c r="H18"/>
  <c r="E18" s="1"/>
  <c r="M17"/>
  <c r="L17"/>
  <c r="K17"/>
  <c r="J17"/>
  <c r="I17"/>
  <c r="H17"/>
  <c r="M16"/>
  <c r="L16"/>
  <c r="K16"/>
  <c r="J16"/>
  <c r="J15" s="1"/>
  <c r="I16"/>
  <c r="F16" s="1"/>
  <c r="H16"/>
  <c r="M15"/>
  <c r="I15"/>
  <c r="D15"/>
  <c r="M14"/>
  <c r="L14"/>
  <c r="K14"/>
  <c r="J14"/>
  <c r="I14"/>
  <c r="H14"/>
  <c r="E14" s="1"/>
  <c r="M13"/>
  <c r="L13"/>
  <c r="K13"/>
  <c r="J13"/>
  <c r="I13"/>
  <c r="F13" s="1"/>
  <c r="H13"/>
  <c r="M12"/>
  <c r="L12"/>
  <c r="K12"/>
  <c r="J12"/>
  <c r="I12"/>
  <c r="F12" s="1"/>
  <c r="H12"/>
  <c r="E12" s="1"/>
  <c r="M11"/>
  <c r="L11"/>
  <c r="K11"/>
  <c r="J11"/>
  <c r="I11"/>
  <c r="H11"/>
  <c r="F11"/>
  <c r="M10"/>
  <c r="L10"/>
  <c r="K10"/>
  <c r="J10"/>
  <c r="I10"/>
  <c r="H10"/>
  <c r="E10"/>
  <c r="M9"/>
  <c r="L9"/>
  <c r="K9"/>
  <c r="J9"/>
  <c r="I9"/>
  <c r="F9" s="1"/>
  <c r="H9"/>
  <c r="M8"/>
  <c r="M6" s="1"/>
  <c r="L8"/>
  <c r="K8"/>
  <c r="J8"/>
  <c r="I8"/>
  <c r="F8" s="1"/>
  <c r="H8"/>
  <c r="E8" s="1"/>
  <c r="M7"/>
  <c r="L7"/>
  <c r="L6" s="1"/>
  <c r="K7"/>
  <c r="J7"/>
  <c r="I7"/>
  <c r="H7"/>
  <c r="E7" s="1"/>
  <c r="F7"/>
  <c r="D6"/>
  <c r="F108" l="1"/>
  <c r="F107"/>
  <c r="F104"/>
  <c r="F103" s="1"/>
  <c r="M116"/>
  <c r="K6"/>
  <c r="E9"/>
  <c r="F10"/>
  <c r="F6" s="1"/>
  <c r="E13"/>
  <c r="E16"/>
  <c r="G16" s="1"/>
  <c r="F19"/>
  <c r="E21"/>
  <c r="E20" s="1"/>
  <c r="L20"/>
  <c r="F22"/>
  <c r="F20" s="1"/>
  <c r="G20" s="1"/>
  <c r="E25"/>
  <c r="F26"/>
  <c r="E28"/>
  <c r="F32"/>
  <c r="F31" s="1"/>
  <c r="F33"/>
  <c r="E37"/>
  <c r="E35" s="1"/>
  <c r="F40"/>
  <c r="E45"/>
  <c r="G45" s="1"/>
  <c r="F47"/>
  <c r="E51"/>
  <c r="E49" s="1"/>
  <c r="F54"/>
  <c r="E56"/>
  <c r="G56" s="1"/>
  <c r="E62"/>
  <c r="E65"/>
  <c r="G65" s="1"/>
  <c r="E77"/>
  <c r="F80"/>
  <c r="G80" s="1"/>
  <c r="E85"/>
  <c r="E101"/>
  <c r="E104"/>
  <c r="E106"/>
  <c r="G106" s="1"/>
  <c r="E110"/>
  <c r="E115"/>
  <c r="E117"/>
  <c r="E121"/>
  <c r="G121" s="1"/>
  <c r="E128"/>
  <c r="E136"/>
  <c r="F141"/>
  <c r="E145"/>
  <c r="G145" s="1"/>
  <c r="F147"/>
  <c r="E149"/>
  <c r="E163"/>
  <c r="E166"/>
  <c r="E171"/>
  <c r="E174"/>
  <c r="G174" s="1"/>
  <c r="B150" i="42"/>
  <c r="B342"/>
  <c r="B369" s="1"/>
  <c r="B340" s="1"/>
  <c r="B377" s="1"/>
  <c r="I364"/>
  <c r="M194" i="41" s="1"/>
  <c r="E374" i="42"/>
  <c r="I198" i="41" s="1"/>
  <c r="F198" s="1"/>
  <c r="C179" i="42"/>
  <c r="E189"/>
  <c r="I112" i="41" s="1"/>
  <c r="F112" s="1"/>
  <c r="J6"/>
  <c r="F14"/>
  <c r="F17"/>
  <c r="E19"/>
  <c r="G19" s="1"/>
  <c r="E29"/>
  <c r="E33"/>
  <c r="E31" s="1"/>
  <c r="F38"/>
  <c r="E40"/>
  <c r="E47"/>
  <c r="F52"/>
  <c r="G52" s="1"/>
  <c r="E54"/>
  <c r="E63"/>
  <c r="F66"/>
  <c r="E75"/>
  <c r="F78"/>
  <c r="E80"/>
  <c r="E86"/>
  <c r="E90"/>
  <c r="E88" s="1"/>
  <c r="E93"/>
  <c r="E96"/>
  <c r="E92" s="1"/>
  <c r="K104"/>
  <c r="I113"/>
  <c r="M113"/>
  <c r="F118"/>
  <c r="G118" s="1"/>
  <c r="E122"/>
  <c r="F129"/>
  <c r="G129" s="1"/>
  <c r="E137"/>
  <c r="F139"/>
  <c r="G139" s="1"/>
  <c r="E141"/>
  <c r="E147"/>
  <c r="G147" s="1"/>
  <c r="E150"/>
  <c r="F164"/>
  <c r="G164" s="1"/>
  <c r="E167"/>
  <c r="E172"/>
  <c r="G148" i="42"/>
  <c r="K87" i="41" s="1"/>
  <c r="H273" i="42"/>
  <c r="D273"/>
  <c r="L15" i="41"/>
  <c r="E17"/>
  <c r="H288" i="42"/>
  <c r="L132" i="41" s="1"/>
  <c r="L131" s="1"/>
  <c r="L151" s="1"/>
  <c r="D136" i="42"/>
  <c r="D289" s="1"/>
  <c r="H133" i="41" s="1"/>
  <c r="C144" i="42"/>
  <c r="C183"/>
  <c r="I182"/>
  <c r="C204"/>
  <c r="F369"/>
  <c r="J195" i="41" s="1"/>
  <c r="J190" s="1"/>
  <c r="J199" s="1"/>
  <c r="I176" i="42"/>
  <c r="B148"/>
  <c r="B136" s="1"/>
  <c r="B156" s="1"/>
  <c r="C152"/>
  <c r="C154"/>
  <c r="C155"/>
  <c r="C170"/>
  <c r="C171"/>
  <c r="C172"/>
  <c r="C173"/>
  <c r="K111" i="41"/>
  <c r="F111" s="1"/>
  <c r="G111" s="1"/>
  <c r="G182" i="42"/>
  <c r="E11" i="41"/>
  <c r="G11" s="1"/>
  <c r="J43"/>
  <c r="J49"/>
  <c r="J57" s="1"/>
  <c r="J88"/>
  <c r="L88"/>
  <c r="K88"/>
  <c r="E98"/>
  <c r="E105"/>
  <c r="E116"/>
  <c r="J116"/>
  <c r="L116"/>
  <c r="F124"/>
  <c r="E126"/>
  <c r="E130" s="1"/>
  <c r="K146"/>
  <c r="M146"/>
  <c r="F165"/>
  <c r="G165" s="1"/>
  <c r="D288" i="42"/>
  <c r="H132" i="41" s="1"/>
  <c r="H287" i="42"/>
  <c r="H309" s="1"/>
  <c r="C138"/>
  <c r="E176"/>
  <c r="C177"/>
  <c r="C178"/>
  <c r="C176" s="1"/>
  <c r="E182"/>
  <c r="C186"/>
  <c r="C188"/>
  <c r="G189"/>
  <c r="K112" i="41" s="1"/>
  <c r="I189" i="42"/>
  <c r="M112" i="41" s="1"/>
  <c r="C202" i="42"/>
  <c r="C203"/>
  <c r="C205"/>
  <c r="C206"/>
  <c r="C341"/>
  <c r="D369"/>
  <c r="H369"/>
  <c r="L195" i="41" s="1"/>
  <c r="L190" s="1"/>
  <c r="L199" s="1"/>
  <c r="G342" i="42"/>
  <c r="K192" i="41" s="1"/>
  <c r="E6"/>
  <c r="J35"/>
  <c r="M134"/>
  <c r="I273" i="42"/>
  <c r="F132" i="41"/>
  <c r="E143"/>
  <c r="C163" i="42"/>
  <c r="E146" i="41"/>
  <c r="K116"/>
  <c r="J146"/>
  <c r="L146"/>
  <c r="I170"/>
  <c r="K170"/>
  <c r="M170"/>
  <c r="E364" i="42"/>
  <c r="I194" i="41" s="1"/>
  <c r="C187" i="42"/>
  <c r="C191"/>
  <c r="E46" i="41"/>
  <c r="J46"/>
  <c r="M74"/>
  <c r="M103"/>
  <c r="E124"/>
  <c r="E120" s="1"/>
  <c r="K126"/>
  <c r="K130" s="1"/>
  <c r="M126"/>
  <c r="M130" s="1"/>
  <c r="J126"/>
  <c r="J130" s="1"/>
  <c r="L126"/>
  <c r="L130" s="1"/>
  <c r="E138"/>
  <c r="C142" i="42"/>
  <c r="I141"/>
  <c r="M83" i="41" s="1"/>
  <c r="C143" i="42"/>
  <c r="K103" i="41"/>
  <c r="C132" i="42"/>
  <c r="C134"/>
  <c r="C135"/>
  <c r="C140"/>
  <c r="C153"/>
  <c r="C166"/>
  <c r="B189"/>
  <c r="B273" s="1"/>
  <c r="B360"/>
  <c r="E74" i="41"/>
  <c r="J74"/>
  <c r="L74"/>
  <c r="K74"/>
  <c r="E82"/>
  <c r="E100"/>
  <c r="E103"/>
  <c r="J103"/>
  <c r="L103"/>
  <c r="L125" s="1"/>
  <c r="F105"/>
  <c r="E109"/>
  <c r="F133"/>
  <c r="K138"/>
  <c r="M138"/>
  <c r="J138"/>
  <c r="L138"/>
  <c r="E194"/>
  <c r="C14" i="29" s="1"/>
  <c r="C13" s="1"/>
  <c r="G141" i="42"/>
  <c r="K83" i="41" s="1"/>
  <c r="K81" s="1"/>
  <c r="G169" i="42"/>
  <c r="G168" s="1"/>
  <c r="B168"/>
  <c r="F189"/>
  <c r="J112" i="41" s="1"/>
  <c r="E112" s="1"/>
  <c r="C194" i="42"/>
  <c r="C196"/>
  <c r="C197"/>
  <c r="C198"/>
  <c r="C199"/>
  <c r="C200"/>
  <c r="C201"/>
  <c r="K6" i="26"/>
  <c r="K5" s="1"/>
  <c r="S6"/>
  <c r="S5" s="1"/>
  <c r="S82" i="25"/>
  <c r="G136" i="42"/>
  <c r="F136"/>
  <c r="J87" i="41"/>
  <c r="E87" s="1"/>
  <c r="J31"/>
  <c r="L31"/>
  <c r="K35"/>
  <c r="M35"/>
  <c r="M42" s="1"/>
  <c r="E43"/>
  <c r="F61"/>
  <c r="E83"/>
  <c r="E94"/>
  <c r="K109"/>
  <c r="K125" s="1"/>
  <c r="M109"/>
  <c r="J109"/>
  <c r="L109"/>
  <c r="K120"/>
  <c r="M120"/>
  <c r="J120"/>
  <c r="L120"/>
  <c r="E134"/>
  <c r="J134"/>
  <c r="L134"/>
  <c r="K134"/>
  <c r="K143"/>
  <c r="M143"/>
  <c r="J143"/>
  <c r="L143"/>
  <c r="E176"/>
  <c r="E192"/>
  <c r="E193"/>
  <c r="C12" i="29" s="1"/>
  <c r="G197" i="41"/>
  <c r="G198"/>
  <c r="F288" i="42"/>
  <c r="E137"/>
  <c r="I82" i="41" s="1"/>
  <c r="F82" s="1"/>
  <c r="G82" s="1"/>
  <c r="C149" i="42"/>
  <c r="I148"/>
  <c r="M87" i="41" s="1"/>
  <c r="M81" s="1"/>
  <c r="M91" s="1"/>
  <c r="C158" i="42"/>
  <c r="C160"/>
  <c r="C159" s="1"/>
  <c r="C161"/>
  <c r="C162"/>
  <c r="E165"/>
  <c r="I98" i="41" s="1"/>
  <c r="F98" s="1"/>
  <c r="E169" i="42"/>
  <c r="F273"/>
  <c r="C181"/>
  <c r="C192"/>
  <c r="I360"/>
  <c r="M193" i="41" s="1"/>
  <c r="I5" i="26"/>
  <c r="J42" i="41"/>
  <c r="B175" i="42"/>
  <c r="I168"/>
  <c r="M100" i="41"/>
  <c r="G10"/>
  <c r="G12"/>
  <c r="G14"/>
  <c r="G24"/>
  <c r="G26"/>
  <c r="G28"/>
  <c r="C131" i="42"/>
  <c r="I129"/>
  <c r="E141"/>
  <c r="I83" i="41" s="1"/>
  <c r="C146" i="42"/>
  <c r="C147"/>
  <c r="C150"/>
  <c r="C185"/>
  <c r="C184" s="1"/>
  <c r="C182" s="1"/>
  <c r="E360"/>
  <c r="I193" i="41" s="1"/>
  <c r="C370" i="42"/>
  <c r="C373"/>
  <c r="C371" s="1"/>
  <c r="I6" i="41"/>
  <c r="E15"/>
  <c r="G17"/>
  <c r="K15"/>
  <c r="I20"/>
  <c r="K31"/>
  <c r="L35"/>
  <c r="G38"/>
  <c r="G40"/>
  <c r="K43"/>
  <c r="M43"/>
  <c r="L43"/>
  <c r="K46"/>
  <c r="M46"/>
  <c r="L46"/>
  <c r="K49"/>
  <c r="M49"/>
  <c r="L49"/>
  <c r="H67"/>
  <c r="G51" i="32" s="1"/>
  <c r="L67" i="41"/>
  <c r="K67"/>
  <c r="M67"/>
  <c r="G63"/>
  <c r="I74"/>
  <c r="J81"/>
  <c r="J91" s="1"/>
  <c r="L81"/>
  <c r="I88"/>
  <c r="J92"/>
  <c r="L92"/>
  <c r="E99"/>
  <c r="J99"/>
  <c r="L99"/>
  <c r="I103"/>
  <c r="E113"/>
  <c r="J113"/>
  <c r="L113"/>
  <c r="K113"/>
  <c r="I116"/>
  <c r="K131"/>
  <c r="I134"/>
  <c r="F169"/>
  <c r="K176"/>
  <c r="K177" s="1"/>
  <c r="M176"/>
  <c r="M177" s="1"/>
  <c r="G196"/>
  <c r="C141" i="42"/>
  <c r="G153"/>
  <c r="G156" s="1"/>
  <c r="G159"/>
  <c r="G157" s="1"/>
  <c r="C164"/>
  <c r="C167"/>
  <c r="C165" s="1"/>
  <c r="C193"/>
  <c r="C374"/>
  <c r="I136"/>
  <c r="I156" s="1"/>
  <c r="M94" i="41"/>
  <c r="M92" s="1"/>
  <c r="I157" i="42"/>
  <c r="K94" i="41"/>
  <c r="K92" s="1"/>
  <c r="G8"/>
  <c r="G22"/>
  <c r="G30"/>
  <c r="H35"/>
  <c r="H43"/>
  <c r="H46"/>
  <c r="H49"/>
  <c r="G62"/>
  <c r="G64"/>
  <c r="G66"/>
  <c r="H109"/>
  <c r="H120"/>
  <c r="H126"/>
  <c r="H130" s="1"/>
  <c r="H138"/>
  <c r="H143"/>
  <c r="H146"/>
  <c r="H176"/>
  <c r="J176"/>
  <c r="L176"/>
  <c r="G172"/>
  <c r="G175"/>
  <c r="G191"/>
  <c r="E129" i="42"/>
  <c r="C130"/>
  <c r="C133"/>
  <c r="C139"/>
  <c r="C137" s="1"/>
  <c r="C145"/>
  <c r="E148"/>
  <c r="C151"/>
  <c r="E153"/>
  <c r="C169"/>
  <c r="C180"/>
  <c r="C345"/>
  <c r="I342"/>
  <c r="C347"/>
  <c r="C349"/>
  <c r="C351"/>
  <c r="C353"/>
  <c r="C355"/>
  <c r="C357"/>
  <c r="C359"/>
  <c r="C363"/>
  <c r="C366"/>
  <c r="C368"/>
  <c r="L42" i="41"/>
  <c r="G54"/>
  <c r="G60"/>
  <c r="G76"/>
  <c r="G78"/>
  <c r="G85"/>
  <c r="G96"/>
  <c r="G98"/>
  <c r="G101"/>
  <c r="G105"/>
  <c r="G107"/>
  <c r="G115"/>
  <c r="G123"/>
  <c r="G136"/>
  <c r="G141"/>
  <c r="G149"/>
  <c r="G166"/>
  <c r="G168"/>
  <c r="G173"/>
  <c r="E159" i="42"/>
  <c r="C174"/>
  <c r="C190"/>
  <c r="C195"/>
  <c r="C344"/>
  <c r="C350"/>
  <c r="C352"/>
  <c r="C354"/>
  <c r="C356"/>
  <c r="C358"/>
  <c r="C362"/>
  <c r="C367"/>
  <c r="K42" i="41"/>
  <c r="G7"/>
  <c r="G9"/>
  <c r="G13"/>
  <c r="G18"/>
  <c r="G23"/>
  <c r="G25"/>
  <c r="G27"/>
  <c r="G29"/>
  <c r="G32"/>
  <c r="G34"/>
  <c r="G37"/>
  <c r="G39"/>
  <c r="G41"/>
  <c r="G48"/>
  <c r="G53"/>
  <c r="G55"/>
  <c r="F67"/>
  <c r="D152"/>
  <c r="G75"/>
  <c r="G77"/>
  <c r="G79"/>
  <c r="G84"/>
  <c r="G86"/>
  <c r="G89"/>
  <c r="G93"/>
  <c r="G95"/>
  <c r="G97"/>
  <c r="G104"/>
  <c r="G108"/>
  <c r="G114"/>
  <c r="G117"/>
  <c r="G119"/>
  <c r="G122"/>
  <c r="G124"/>
  <c r="G128"/>
  <c r="K151"/>
  <c r="G135"/>
  <c r="G137"/>
  <c r="G140"/>
  <c r="G142"/>
  <c r="G148"/>
  <c r="G150"/>
  <c r="G163"/>
  <c r="G167"/>
  <c r="D178"/>
  <c r="D68"/>
  <c r="G36"/>
  <c r="F35"/>
  <c r="G44"/>
  <c r="F43"/>
  <c r="G47"/>
  <c r="F46"/>
  <c r="G46" s="1"/>
  <c r="G50"/>
  <c r="F49"/>
  <c r="G110"/>
  <c r="F109"/>
  <c r="G109" s="1"/>
  <c r="F120"/>
  <c r="G127"/>
  <c r="F126"/>
  <c r="F138"/>
  <c r="G138" s="1"/>
  <c r="G144"/>
  <c r="F143"/>
  <c r="G143" s="1"/>
  <c r="F146"/>
  <c r="G146" s="1"/>
  <c r="D122" i="42"/>
  <c r="B113"/>
  <c r="H122"/>
  <c r="F340"/>
  <c r="F377" s="1"/>
  <c r="H340"/>
  <c r="H377" s="1"/>
  <c r="I340"/>
  <c r="I377" s="1"/>
  <c r="M192" i="41"/>
  <c r="C361" i="42"/>
  <c r="G360"/>
  <c r="I67" i="41"/>
  <c r="H51" i="32" s="1"/>
  <c r="F176" i="41"/>
  <c r="G171"/>
  <c r="D287" i="42"/>
  <c r="D309" s="1"/>
  <c r="D340"/>
  <c r="D377" s="1"/>
  <c r="H195" i="41"/>
  <c r="H6"/>
  <c r="F15"/>
  <c r="H15"/>
  <c r="H20"/>
  <c r="H31"/>
  <c r="I35"/>
  <c r="I43"/>
  <c r="I46"/>
  <c r="I49"/>
  <c r="E59"/>
  <c r="F74"/>
  <c r="H74"/>
  <c r="H81"/>
  <c r="F88"/>
  <c r="H88"/>
  <c r="H92"/>
  <c r="H99"/>
  <c r="H103"/>
  <c r="I109"/>
  <c r="F113"/>
  <c r="G113" s="1"/>
  <c r="H113"/>
  <c r="F116"/>
  <c r="G116" s="1"/>
  <c r="H116"/>
  <c r="I120"/>
  <c r="I126"/>
  <c r="I130" s="1"/>
  <c r="F131"/>
  <c r="H131"/>
  <c r="F134"/>
  <c r="G134" s="1"/>
  <c r="H134"/>
  <c r="I138"/>
  <c r="I143"/>
  <c r="I146"/>
  <c r="F162"/>
  <c r="H170"/>
  <c r="C50" i="34" s="1"/>
  <c r="L170" i="41"/>
  <c r="L177" s="1"/>
  <c r="C112" i="42"/>
  <c r="E112"/>
  <c r="G112"/>
  <c r="I112"/>
  <c r="C148"/>
  <c r="C136" s="1"/>
  <c r="C189"/>
  <c r="E332"/>
  <c r="F211" i="44"/>
  <c r="G369" i="42" s="1"/>
  <c r="K195" i="41" s="1"/>
  <c r="F195" s="1"/>
  <c r="E343" i="42"/>
  <c r="E346"/>
  <c r="C346" s="1"/>
  <c r="E348"/>
  <c r="C348" s="1"/>
  <c r="G365"/>
  <c r="G364" s="1"/>
  <c r="K194" i="41" s="1"/>
  <c r="F194" s="1"/>
  <c r="G194" s="1"/>
  <c r="I176"/>
  <c r="F90" i="42"/>
  <c r="F112" s="1"/>
  <c r="F115"/>
  <c r="D156"/>
  <c r="D310" s="1"/>
  <c r="D333" s="1"/>
  <c r="F156"/>
  <c r="H156"/>
  <c r="H310" s="1"/>
  <c r="H333" s="1"/>
  <c r="B324"/>
  <c r="B325" s="1"/>
  <c r="F324"/>
  <c r="J169" i="41" s="1"/>
  <c r="E169" s="1"/>
  <c r="B330" i="42"/>
  <c r="B331" s="1"/>
  <c r="C324"/>
  <c r="C325" s="1"/>
  <c r="C332" s="1"/>
  <c r="C330"/>
  <c r="C331" s="1"/>
  <c r="G31" i="41" l="1"/>
  <c r="G49"/>
  <c r="G15"/>
  <c r="G176"/>
  <c r="M190"/>
  <c r="M199" s="1"/>
  <c r="G90"/>
  <c r="I175" i="42"/>
  <c r="J125" i="41"/>
  <c r="G33"/>
  <c r="G273" i="42"/>
  <c r="G35" i="41"/>
  <c r="I177"/>
  <c r="G88"/>
  <c r="I42"/>
  <c r="B288" i="42"/>
  <c r="G51" i="41"/>
  <c r="G21"/>
  <c r="L91"/>
  <c r="G112"/>
  <c r="K91"/>
  <c r="E273" i="42"/>
  <c r="G120" i="41"/>
  <c r="M151"/>
  <c r="M125"/>
  <c r="F83"/>
  <c r="G83" s="1"/>
  <c r="C360" i="42"/>
  <c r="J58" i="41"/>
  <c r="G56" i="32" s="1"/>
  <c r="E42" i="41"/>
  <c r="K100"/>
  <c r="K99" s="1"/>
  <c r="K102" s="1"/>
  <c r="K152" s="1"/>
  <c r="J102"/>
  <c r="F289" i="42"/>
  <c r="J133" i="41" s="1"/>
  <c r="G175" i="42"/>
  <c r="G310" s="1"/>
  <c r="E125" i="41"/>
  <c r="E81"/>
  <c r="E91" s="1"/>
  <c r="I82" i="25"/>
  <c r="H177" i="41"/>
  <c r="G54" i="32"/>
  <c r="G59" i="41"/>
  <c r="F287" i="42"/>
  <c r="F309" s="1"/>
  <c r="J132" i="41"/>
  <c r="F310" i="42"/>
  <c r="E57" i="41"/>
  <c r="E58" s="1"/>
  <c r="C37" i="29" s="1"/>
  <c r="E168" i="42"/>
  <c r="I100" i="41"/>
  <c r="I99" s="1"/>
  <c r="H125"/>
  <c r="L102"/>
  <c r="L152" s="1"/>
  <c r="E102"/>
  <c r="L57"/>
  <c r="L58" s="1"/>
  <c r="L68" s="1"/>
  <c r="K57"/>
  <c r="K58" s="1"/>
  <c r="M99"/>
  <c r="M102" s="1"/>
  <c r="C168" i="42"/>
  <c r="C157"/>
  <c r="M57" i="41"/>
  <c r="M58" s="1"/>
  <c r="M68" s="1"/>
  <c r="I94"/>
  <c r="E157" i="42"/>
  <c r="E175" s="1"/>
  <c r="I151" i="41"/>
  <c r="I87"/>
  <c r="E136" i="42"/>
  <c r="E156" s="1"/>
  <c r="C273"/>
  <c r="I125" i="41"/>
  <c r="C129" i="42"/>
  <c r="C156" s="1"/>
  <c r="H57" i="41"/>
  <c r="I310" i="42"/>
  <c r="I333" s="1"/>
  <c r="B332"/>
  <c r="E170" i="41"/>
  <c r="G169"/>
  <c r="G333" i="42"/>
  <c r="G122"/>
  <c r="C122"/>
  <c r="F170" i="41"/>
  <c r="G162"/>
  <c r="F125"/>
  <c r="G103"/>
  <c r="G74"/>
  <c r="F42"/>
  <c r="G6"/>
  <c r="F130"/>
  <c r="G130" s="1"/>
  <c r="G126"/>
  <c r="F57"/>
  <c r="G57" s="1"/>
  <c r="G43"/>
  <c r="F325" i="42"/>
  <c r="F332" s="1"/>
  <c r="J170" i="41"/>
  <c r="H151"/>
  <c r="B115" i="42"/>
  <c r="B121" s="1"/>
  <c r="J61" i="41"/>
  <c r="J67" s="1"/>
  <c r="G57" i="32" s="1"/>
  <c r="C343" i="42"/>
  <c r="C342" s="1"/>
  <c r="E342"/>
  <c r="I122"/>
  <c r="E122"/>
  <c r="F151" i="41"/>
  <c r="E195"/>
  <c r="H190"/>
  <c r="H199" s="1"/>
  <c r="G340" i="42"/>
  <c r="G377" s="1"/>
  <c r="K193" i="41"/>
  <c r="C365" i="42"/>
  <c r="C364" s="1"/>
  <c r="H102" i="41"/>
  <c r="H91"/>
  <c r="I57"/>
  <c r="I58" s="1"/>
  <c r="H50" i="32" s="1"/>
  <c r="H42" i="41"/>
  <c r="F121" i="42"/>
  <c r="F122" s="1"/>
  <c r="R49" i="32" l="1"/>
  <c r="J49" s="1"/>
  <c r="H49"/>
  <c r="M152" i="41"/>
  <c r="M178" s="1"/>
  <c r="G125"/>
  <c r="H58"/>
  <c r="G50" i="32" s="1"/>
  <c r="H32" i="25"/>
  <c r="T32" s="1"/>
  <c r="H48" i="32"/>
  <c r="R48" s="1"/>
  <c r="J48" s="1"/>
  <c r="G59"/>
  <c r="C49" i="34"/>
  <c r="C48" s="1"/>
  <c r="H152" i="41"/>
  <c r="F100"/>
  <c r="G100" s="1"/>
  <c r="E133"/>
  <c r="G133" s="1"/>
  <c r="B289" i="42"/>
  <c r="B287" s="1"/>
  <c r="B309" s="1"/>
  <c r="B310" s="1"/>
  <c r="B333" s="1"/>
  <c r="J177" i="41"/>
  <c r="E177"/>
  <c r="C43" i="29" s="1"/>
  <c r="E132" i="41"/>
  <c r="J131"/>
  <c r="J151" s="1"/>
  <c r="J152" s="1"/>
  <c r="G58" i="32" s="1"/>
  <c r="G52"/>
  <c r="L178" i="41"/>
  <c r="E310" i="42"/>
  <c r="E333" s="1"/>
  <c r="G195" i="41"/>
  <c r="C16" i="29"/>
  <c r="K68" i="41"/>
  <c r="K178"/>
  <c r="C175" i="42"/>
  <c r="C310" s="1"/>
  <c r="C333" s="1"/>
  <c r="F94" i="41"/>
  <c r="I92"/>
  <c r="I102" s="1"/>
  <c r="E190"/>
  <c r="E199" s="1"/>
  <c r="F87"/>
  <c r="I81"/>
  <c r="I91" s="1"/>
  <c r="B122" i="42"/>
  <c r="I68" i="41"/>
  <c r="F193"/>
  <c r="G193" s="1"/>
  <c r="K190"/>
  <c r="K199" s="1"/>
  <c r="C369" i="42"/>
  <c r="C340" s="1"/>
  <c r="C377" s="1"/>
  <c r="F58" i="41"/>
  <c r="G42"/>
  <c r="F177"/>
  <c r="G170"/>
  <c r="G177" s="1"/>
  <c r="F333" i="42"/>
  <c r="E340"/>
  <c r="E377" s="1"/>
  <c r="I192" i="41"/>
  <c r="E61"/>
  <c r="E67" s="1"/>
  <c r="H178" l="1"/>
  <c r="H68"/>
  <c r="G55" i="32"/>
  <c r="G33" i="25" s="1"/>
  <c r="S33" s="1"/>
  <c r="G49" i="32"/>
  <c r="G32" i="25" s="1"/>
  <c r="H47" i="32"/>
  <c r="H5" s="1"/>
  <c r="F99" i="41"/>
  <c r="G99" s="1"/>
  <c r="J32" i="25"/>
  <c r="H6"/>
  <c r="H5" s="1"/>
  <c r="Q55" i="32"/>
  <c r="I55" s="1"/>
  <c r="E131" i="41"/>
  <c r="G132"/>
  <c r="C24" i="4"/>
  <c r="C10" i="29"/>
  <c r="M49" i="32" s="1"/>
  <c r="M32" i="25" s="1"/>
  <c r="M6" s="1"/>
  <c r="M5" s="1"/>
  <c r="G94" i="41"/>
  <c r="F92"/>
  <c r="I152"/>
  <c r="I178" s="1"/>
  <c r="G87"/>
  <c r="F81"/>
  <c r="J178"/>
  <c r="J68"/>
  <c r="F192"/>
  <c r="I190"/>
  <c r="I199" s="1"/>
  <c r="F68"/>
  <c r="G58"/>
  <c r="G61"/>
  <c r="C38" i="29"/>
  <c r="G48" i="32" l="1"/>
  <c r="G47" s="1"/>
  <c r="J6" i="25"/>
  <c r="J5" s="1"/>
  <c r="T6"/>
  <c r="T5" s="1"/>
  <c r="R47" i="32"/>
  <c r="R5" s="1"/>
  <c r="J47"/>
  <c r="J5" s="1"/>
  <c r="S32" i="25"/>
  <c r="I32" s="1"/>
  <c r="I33"/>
  <c r="E151" i="41"/>
  <c r="G131"/>
  <c r="M48" i="32"/>
  <c r="Q49"/>
  <c r="I49" s="1"/>
  <c r="G81" i="41"/>
  <c r="G91" s="1"/>
  <c r="F91"/>
  <c r="G92"/>
  <c r="F102"/>
  <c r="G102" s="1"/>
  <c r="E68"/>
  <c r="G67"/>
  <c r="F190"/>
  <c r="G192"/>
  <c r="G68"/>
  <c r="E152" l="1"/>
  <c r="G151"/>
  <c r="M47" i="32"/>
  <c r="M5" s="1"/>
  <c r="Q48"/>
  <c r="Q47" s="1"/>
  <c r="F152" i="41"/>
  <c r="F199"/>
  <c r="G190"/>
  <c r="G199" s="1"/>
  <c r="C39" i="29" l="1"/>
  <c r="E178" i="41"/>
  <c r="I48" i="32"/>
  <c r="I47" s="1"/>
  <c r="G152" i="41"/>
  <c r="G178" s="1"/>
  <c r="F178"/>
  <c r="C39" i="28"/>
  <c r="C38"/>
  <c r="C37"/>
  <c r="F153" i="40"/>
  <c r="E153"/>
  <c r="D153"/>
  <c r="C152"/>
  <c r="C151"/>
  <c r="C150"/>
  <c r="C149"/>
  <c r="C153" s="1"/>
  <c r="F148"/>
  <c r="F154" s="1"/>
  <c r="E148"/>
  <c r="E154" s="1"/>
  <c r="D148"/>
  <c r="D154" s="1"/>
  <c r="C147"/>
  <c r="C146"/>
  <c r="C145"/>
  <c r="C144"/>
  <c r="C148" s="1"/>
  <c r="C154" s="1"/>
  <c r="F140"/>
  <c r="E140"/>
  <c r="D140"/>
  <c r="C139"/>
  <c r="C138"/>
  <c r="C137"/>
  <c r="C136"/>
  <c r="C140" s="1"/>
  <c r="F135"/>
  <c r="E135"/>
  <c r="D135"/>
  <c r="C134"/>
  <c r="C133"/>
  <c r="C135" s="1"/>
  <c r="F132"/>
  <c r="E132"/>
  <c r="D132"/>
  <c r="C131"/>
  <c r="C130"/>
  <c r="C129"/>
  <c r="C128"/>
  <c r="C132" s="1"/>
  <c r="F127"/>
  <c r="E127"/>
  <c r="D127"/>
  <c r="C126"/>
  <c r="C125"/>
  <c r="C124"/>
  <c r="C127" s="1"/>
  <c r="F123"/>
  <c r="F141" s="1"/>
  <c r="E123"/>
  <c r="E141" s="1"/>
  <c r="D123"/>
  <c r="D141" s="1"/>
  <c r="C122"/>
  <c r="C121"/>
  <c r="C123" s="1"/>
  <c r="C141" s="1"/>
  <c r="E120"/>
  <c r="C119"/>
  <c r="F118"/>
  <c r="F120" s="1"/>
  <c r="E118"/>
  <c r="D118"/>
  <c r="D120" s="1"/>
  <c r="C117"/>
  <c r="C116"/>
  <c r="C118" s="1"/>
  <c r="C120" s="1"/>
  <c r="F114"/>
  <c r="E114"/>
  <c r="D114"/>
  <c r="C113"/>
  <c r="C112"/>
  <c r="C111"/>
  <c r="C110"/>
  <c r="C114" s="1"/>
  <c r="F109"/>
  <c r="E109"/>
  <c r="D109"/>
  <c r="C108"/>
  <c r="C107"/>
  <c r="C106"/>
  <c r="C109" s="1"/>
  <c r="F105"/>
  <c r="E105"/>
  <c r="D105"/>
  <c r="C104"/>
  <c r="C103"/>
  <c r="C105" s="1"/>
  <c r="C102"/>
  <c r="F101"/>
  <c r="E101"/>
  <c r="D101"/>
  <c r="C100"/>
  <c r="C99"/>
  <c r="C101" s="1"/>
  <c r="C98"/>
  <c r="F97"/>
  <c r="F115" s="1"/>
  <c r="E97"/>
  <c r="E115" s="1"/>
  <c r="D97"/>
  <c r="D115" s="1"/>
  <c r="C96"/>
  <c r="C95"/>
  <c r="C94"/>
  <c r="C93"/>
  <c r="C97" s="1"/>
  <c r="F91"/>
  <c r="E91"/>
  <c r="D91"/>
  <c r="C90"/>
  <c r="C89"/>
  <c r="C91" s="1"/>
  <c r="F88"/>
  <c r="F92" s="1"/>
  <c r="E88"/>
  <c r="E92" s="1"/>
  <c r="D88"/>
  <c r="D92" s="1"/>
  <c r="C87"/>
  <c r="C86"/>
  <c r="C85"/>
  <c r="C84"/>
  <c r="C83"/>
  <c r="C82"/>
  <c r="C88" s="1"/>
  <c r="F80"/>
  <c r="E80"/>
  <c r="D80"/>
  <c r="C79"/>
  <c r="C78"/>
  <c r="C80" s="1"/>
  <c r="F77"/>
  <c r="E77"/>
  <c r="D77"/>
  <c r="C76"/>
  <c r="C75"/>
  <c r="C74"/>
  <c r="C73"/>
  <c r="C72"/>
  <c r="C71"/>
  <c r="C77" s="1"/>
  <c r="F70"/>
  <c r="F81" s="1"/>
  <c r="F142" s="1"/>
  <c r="E70"/>
  <c r="E81" s="1"/>
  <c r="D70"/>
  <c r="D81" s="1"/>
  <c r="D142" s="1"/>
  <c r="C69"/>
  <c r="C68"/>
  <c r="C67"/>
  <c r="C66"/>
  <c r="C65"/>
  <c r="C64"/>
  <c r="C70" s="1"/>
  <c r="C81" s="1"/>
  <c r="F63"/>
  <c r="D63"/>
  <c r="C62"/>
  <c r="C60"/>
  <c r="C59"/>
  <c r="C58"/>
  <c r="C56"/>
  <c r="F52"/>
  <c r="E52"/>
  <c r="D52"/>
  <c r="C51"/>
  <c r="C50"/>
  <c r="C49"/>
  <c r="C48"/>
  <c r="C47"/>
  <c r="C46"/>
  <c r="C45"/>
  <c r="C52" s="1"/>
  <c r="F44"/>
  <c r="E44"/>
  <c r="D44"/>
  <c r="C43"/>
  <c r="C42"/>
  <c r="C44" s="1"/>
  <c r="F41"/>
  <c r="F53" s="1"/>
  <c r="E41"/>
  <c r="E53" s="1"/>
  <c r="D41"/>
  <c r="D53" s="1"/>
  <c r="C40"/>
  <c r="C39"/>
  <c r="C41" s="1"/>
  <c r="F37"/>
  <c r="E37"/>
  <c r="D37"/>
  <c r="C36"/>
  <c r="C35"/>
  <c r="C34"/>
  <c r="C33"/>
  <c r="C32"/>
  <c r="C31"/>
  <c r="C37" s="1"/>
  <c r="C30"/>
  <c r="F29"/>
  <c r="E29"/>
  <c r="D29"/>
  <c r="C28"/>
  <c r="C27"/>
  <c r="C29" s="1"/>
  <c r="C26"/>
  <c r="C25"/>
  <c r="C24"/>
  <c r="F23"/>
  <c r="E23"/>
  <c r="E57" s="1"/>
  <c r="C57" s="1"/>
  <c r="D23"/>
  <c r="C22"/>
  <c r="C21"/>
  <c r="C20"/>
  <c r="C19"/>
  <c r="C18"/>
  <c r="C17"/>
  <c r="C23" s="1"/>
  <c r="C16"/>
  <c r="C15"/>
  <c r="C14"/>
  <c r="F13"/>
  <c r="E13"/>
  <c r="D13"/>
  <c r="C12"/>
  <c r="C11"/>
  <c r="C13" s="1"/>
  <c r="C10"/>
  <c r="C9"/>
  <c r="F8"/>
  <c r="F38" s="1"/>
  <c r="F54" s="1"/>
  <c r="F143" s="1"/>
  <c r="F155" s="1"/>
  <c r="E8"/>
  <c r="E55" s="1"/>
  <c r="D8"/>
  <c r="D38" s="1"/>
  <c r="D54" s="1"/>
  <c r="D143" s="1"/>
  <c r="D155" s="1"/>
  <c r="C7"/>
  <c r="C6"/>
  <c r="C5"/>
  <c r="C4"/>
  <c r="C3"/>
  <c r="C2"/>
  <c r="C8" s="1"/>
  <c r="C38" s="1"/>
  <c r="C53" l="1"/>
  <c r="C54" s="1"/>
  <c r="E142"/>
  <c r="C92"/>
  <c r="C115"/>
  <c r="C55"/>
  <c r="C142"/>
  <c r="E38"/>
  <c r="E54" s="1"/>
  <c r="E61"/>
  <c r="C61" s="1"/>
  <c r="E143" l="1"/>
  <c r="E155" s="1"/>
  <c r="E63"/>
  <c r="C63"/>
  <c r="C143" s="1"/>
  <c r="C155" s="1"/>
  <c r="C38" i="27" l="1"/>
  <c r="C37"/>
  <c r="G153" i="39"/>
  <c r="F153"/>
  <c r="E153"/>
  <c r="D152"/>
  <c r="D151"/>
  <c r="D150"/>
  <c r="D149"/>
  <c r="D153" s="1"/>
  <c r="G148"/>
  <c r="G154" s="1"/>
  <c r="F148"/>
  <c r="F154" s="1"/>
  <c r="E148"/>
  <c r="D147"/>
  <c r="D146"/>
  <c r="D145"/>
  <c r="D144"/>
  <c r="G140"/>
  <c r="F140"/>
  <c r="E140"/>
  <c r="D139"/>
  <c r="D138"/>
  <c r="D137"/>
  <c r="D136"/>
  <c r="D140" s="1"/>
  <c r="G135"/>
  <c r="F135"/>
  <c r="E135"/>
  <c r="D134"/>
  <c r="D133"/>
  <c r="D135" s="1"/>
  <c r="G132"/>
  <c r="F132"/>
  <c r="E132"/>
  <c r="D131"/>
  <c r="D130"/>
  <c r="D129"/>
  <c r="D128"/>
  <c r="D132" s="1"/>
  <c r="G127"/>
  <c r="F127"/>
  <c r="E127"/>
  <c r="D126"/>
  <c r="D125"/>
  <c r="D124"/>
  <c r="D127" s="1"/>
  <c r="G123"/>
  <c r="G141" s="1"/>
  <c r="F123"/>
  <c r="F141" s="1"/>
  <c r="E123"/>
  <c r="E141" s="1"/>
  <c r="D122"/>
  <c r="D121"/>
  <c r="G118"/>
  <c r="G120" s="1"/>
  <c r="F118"/>
  <c r="F120" s="1"/>
  <c r="E118"/>
  <c r="E120" s="1"/>
  <c r="D117"/>
  <c r="D116"/>
  <c r="D118" s="1"/>
  <c r="D120" s="1"/>
  <c r="G114"/>
  <c r="F114"/>
  <c r="E114"/>
  <c r="D113"/>
  <c r="D112"/>
  <c r="D111"/>
  <c r="D110"/>
  <c r="D114" s="1"/>
  <c r="G109"/>
  <c r="F109"/>
  <c r="E109"/>
  <c r="D108"/>
  <c r="D107"/>
  <c r="D109" s="1"/>
  <c r="D106"/>
  <c r="G105"/>
  <c r="F105"/>
  <c r="E105"/>
  <c r="D104"/>
  <c r="D103"/>
  <c r="D105" s="1"/>
  <c r="D102"/>
  <c r="G101"/>
  <c r="F101"/>
  <c r="E101"/>
  <c r="D100"/>
  <c r="D99"/>
  <c r="D101" s="1"/>
  <c r="D98"/>
  <c r="G97"/>
  <c r="G115" s="1"/>
  <c r="F97"/>
  <c r="F115" s="1"/>
  <c r="E97"/>
  <c r="E115" s="1"/>
  <c r="D96"/>
  <c r="D95"/>
  <c r="D94"/>
  <c r="D93"/>
  <c r="D97" s="1"/>
  <c r="D115" s="1"/>
  <c r="G91"/>
  <c r="F91"/>
  <c r="E91"/>
  <c r="D90"/>
  <c r="D89"/>
  <c r="D91" s="1"/>
  <c r="G88"/>
  <c r="G92" s="1"/>
  <c r="F88"/>
  <c r="F92" s="1"/>
  <c r="E88"/>
  <c r="E92" s="1"/>
  <c r="D87"/>
  <c r="D86"/>
  <c r="D85"/>
  <c r="D84"/>
  <c r="D83"/>
  <c r="D82"/>
  <c r="D88" s="1"/>
  <c r="D92" s="1"/>
  <c r="G80"/>
  <c r="F80"/>
  <c r="E80"/>
  <c r="D79"/>
  <c r="D78"/>
  <c r="D80" s="1"/>
  <c r="G77"/>
  <c r="F77"/>
  <c r="E77"/>
  <c r="D76"/>
  <c r="D75"/>
  <c r="D74"/>
  <c r="D73"/>
  <c r="D72"/>
  <c r="D71"/>
  <c r="D77" s="1"/>
  <c r="G70"/>
  <c r="G81" s="1"/>
  <c r="G142" s="1"/>
  <c r="F70"/>
  <c r="F81" s="1"/>
  <c r="F142" s="1"/>
  <c r="E70"/>
  <c r="E81" s="1"/>
  <c r="E142" s="1"/>
  <c r="D69"/>
  <c r="D68"/>
  <c r="D67"/>
  <c r="D66"/>
  <c r="D65"/>
  <c r="D64"/>
  <c r="D70" s="1"/>
  <c r="D81" s="1"/>
  <c r="G63"/>
  <c r="F63"/>
  <c r="E63"/>
  <c r="D62"/>
  <c r="D61"/>
  <c r="D60"/>
  <c r="D59"/>
  <c r="D58"/>
  <c r="D57"/>
  <c r="D56"/>
  <c r="D55"/>
  <c r="D63" s="1"/>
  <c r="G52"/>
  <c r="F52"/>
  <c r="E52"/>
  <c r="D51"/>
  <c r="D50"/>
  <c r="D49"/>
  <c r="D48"/>
  <c r="D47"/>
  <c r="D46"/>
  <c r="D45"/>
  <c r="D52" s="1"/>
  <c r="G44"/>
  <c r="F44"/>
  <c r="E44"/>
  <c r="D43"/>
  <c r="D42"/>
  <c r="D44" s="1"/>
  <c r="G41"/>
  <c r="G53" s="1"/>
  <c r="F41"/>
  <c r="F53" s="1"/>
  <c r="E41"/>
  <c r="E53" s="1"/>
  <c r="D40"/>
  <c r="D39"/>
  <c r="D41" s="1"/>
  <c r="G37"/>
  <c r="F37"/>
  <c r="E37"/>
  <c r="D36"/>
  <c r="D35"/>
  <c r="D34"/>
  <c r="D33"/>
  <c r="D32"/>
  <c r="D31"/>
  <c r="D37" s="1"/>
  <c r="D30"/>
  <c r="G29"/>
  <c r="F29"/>
  <c r="E29"/>
  <c r="D28"/>
  <c r="D27"/>
  <c r="D29" s="1"/>
  <c r="D26"/>
  <c r="D25"/>
  <c r="D24"/>
  <c r="G23"/>
  <c r="F23"/>
  <c r="E23"/>
  <c r="D22"/>
  <c r="D21"/>
  <c r="D20"/>
  <c r="D19"/>
  <c r="D18"/>
  <c r="D17"/>
  <c r="D23" s="1"/>
  <c r="D16"/>
  <c r="D15"/>
  <c r="D14"/>
  <c r="G13"/>
  <c r="F13"/>
  <c r="E13"/>
  <c r="D12"/>
  <c r="D11"/>
  <c r="D13" s="1"/>
  <c r="D10"/>
  <c r="D9"/>
  <c r="G8"/>
  <c r="G38" s="1"/>
  <c r="G54" s="1"/>
  <c r="G143" s="1"/>
  <c r="G155" s="1"/>
  <c r="F8"/>
  <c r="F38" s="1"/>
  <c r="F54" s="1"/>
  <c r="E8"/>
  <c r="E38" s="1"/>
  <c r="E54" s="1"/>
  <c r="D7"/>
  <c r="D6"/>
  <c r="D5"/>
  <c r="D4"/>
  <c r="D3"/>
  <c r="D2"/>
  <c r="D8" s="1"/>
  <c r="D38" s="1"/>
  <c r="E154" l="1"/>
  <c r="G26" i="32"/>
  <c r="D148" i="39"/>
  <c r="F143"/>
  <c r="F155" s="1"/>
  <c r="D142"/>
  <c r="C39" i="27" s="1"/>
  <c r="D123" i="39"/>
  <c r="D141" s="1"/>
  <c r="E143"/>
  <c r="E155" s="1"/>
  <c r="D53"/>
  <c r="D54" s="1"/>
  <c r="C45" i="34" l="1"/>
  <c r="C44" s="1"/>
  <c r="G21" i="32"/>
  <c r="D154" i="39"/>
  <c r="C43" i="27"/>
  <c r="D143" i="39"/>
  <c r="D155" s="1"/>
  <c r="C39" i="7"/>
  <c r="C38"/>
  <c r="F153" i="38"/>
  <c r="E153"/>
  <c r="D153"/>
  <c r="C152"/>
  <c r="C151"/>
  <c r="C150"/>
  <c r="C149"/>
  <c r="C153" s="1"/>
  <c r="F148"/>
  <c r="F154" s="1"/>
  <c r="E148"/>
  <c r="D148"/>
  <c r="D154" s="1"/>
  <c r="C147"/>
  <c r="C146"/>
  <c r="C145"/>
  <c r="C144"/>
  <c r="F140"/>
  <c r="E140"/>
  <c r="D140"/>
  <c r="C139"/>
  <c r="C138"/>
  <c r="C137"/>
  <c r="C136"/>
  <c r="C140" s="1"/>
  <c r="F135"/>
  <c r="E135"/>
  <c r="D135"/>
  <c r="C134"/>
  <c r="C133"/>
  <c r="C135" s="1"/>
  <c r="F132"/>
  <c r="E132"/>
  <c r="D132"/>
  <c r="C131"/>
  <c r="C130"/>
  <c r="C129"/>
  <c r="C128"/>
  <c r="C132" s="1"/>
  <c r="F127"/>
  <c r="E127"/>
  <c r="D127"/>
  <c r="C126"/>
  <c r="C125"/>
  <c r="C124"/>
  <c r="C127" s="1"/>
  <c r="F123"/>
  <c r="F141" s="1"/>
  <c r="E123"/>
  <c r="E141" s="1"/>
  <c r="D123"/>
  <c r="D141" s="1"/>
  <c r="C122"/>
  <c r="C121"/>
  <c r="C123" s="1"/>
  <c r="C141" s="1"/>
  <c r="E120"/>
  <c r="C119"/>
  <c r="F118"/>
  <c r="F120" s="1"/>
  <c r="E118"/>
  <c r="D118"/>
  <c r="D120" s="1"/>
  <c r="C117"/>
  <c r="C116"/>
  <c r="C118" s="1"/>
  <c r="C120" s="1"/>
  <c r="F114"/>
  <c r="E114"/>
  <c r="D114"/>
  <c r="C113"/>
  <c r="C112"/>
  <c r="C111"/>
  <c r="C110"/>
  <c r="C114" s="1"/>
  <c r="F109"/>
  <c r="E109"/>
  <c r="D109"/>
  <c r="C108"/>
  <c r="C107"/>
  <c r="C106"/>
  <c r="C109" s="1"/>
  <c r="F105"/>
  <c r="E105"/>
  <c r="D105"/>
  <c r="C104"/>
  <c r="C103"/>
  <c r="C105" s="1"/>
  <c r="C102"/>
  <c r="F101"/>
  <c r="D101"/>
  <c r="C100"/>
  <c r="C99"/>
  <c r="C101" s="1"/>
  <c r="C98"/>
  <c r="F97"/>
  <c r="F115" s="1"/>
  <c r="E97"/>
  <c r="E115" s="1"/>
  <c r="D97"/>
  <c r="D115" s="1"/>
  <c r="C96"/>
  <c r="C95"/>
  <c r="C94"/>
  <c r="C93"/>
  <c r="C97" s="1"/>
  <c r="C115" s="1"/>
  <c r="F91"/>
  <c r="E91"/>
  <c r="D91"/>
  <c r="C90"/>
  <c r="C89"/>
  <c r="C91" s="1"/>
  <c r="F88"/>
  <c r="F92" s="1"/>
  <c r="E88"/>
  <c r="E92" s="1"/>
  <c r="D88"/>
  <c r="D92" s="1"/>
  <c r="C87"/>
  <c r="C86"/>
  <c r="C85"/>
  <c r="C84"/>
  <c r="C83"/>
  <c r="C82"/>
  <c r="C88" s="1"/>
  <c r="C92" s="1"/>
  <c r="F80"/>
  <c r="E80"/>
  <c r="D80"/>
  <c r="C79"/>
  <c r="C78"/>
  <c r="C80" s="1"/>
  <c r="F77"/>
  <c r="E77"/>
  <c r="D77"/>
  <c r="C76"/>
  <c r="C75"/>
  <c r="C74"/>
  <c r="C73"/>
  <c r="C72"/>
  <c r="C71"/>
  <c r="C77" s="1"/>
  <c r="F70"/>
  <c r="F81" s="1"/>
  <c r="E70"/>
  <c r="E81" s="1"/>
  <c r="E142" s="1"/>
  <c r="D70"/>
  <c r="D81" s="1"/>
  <c r="C69"/>
  <c r="C68"/>
  <c r="C67"/>
  <c r="C66"/>
  <c r="C65"/>
  <c r="C64"/>
  <c r="C70" s="1"/>
  <c r="F63"/>
  <c r="D63"/>
  <c r="C62"/>
  <c r="C60"/>
  <c r="C59"/>
  <c r="C58"/>
  <c r="C56"/>
  <c r="F52"/>
  <c r="E52"/>
  <c r="D52"/>
  <c r="C51"/>
  <c r="C50"/>
  <c r="C49"/>
  <c r="C48"/>
  <c r="C47"/>
  <c r="C46"/>
  <c r="C52" s="1"/>
  <c r="C45"/>
  <c r="F44"/>
  <c r="E44"/>
  <c r="D44"/>
  <c r="C43"/>
  <c r="C42"/>
  <c r="C44" s="1"/>
  <c r="F41"/>
  <c r="F53" s="1"/>
  <c r="E41"/>
  <c r="E53" s="1"/>
  <c r="D41"/>
  <c r="D53" s="1"/>
  <c r="C40"/>
  <c r="C39"/>
  <c r="C41" s="1"/>
  <c r="C53" s="1"/>
  <c r="F37"/>
  <c r="E37"/>
  <c r="D37"/>
  <c r="C36"/>
  <c r="C35"/>
  <c r="C34"/>
  <c r="C33"/>
  <c r="C32"/>
  <c r="C31"/>
  <c r="C37" s="1"/>
  <c r="C30"/>
  <c r="F29"/>
  <c r="E29"/>
  <c r="D29"/>
  <c r="C28"/>
  <c r="C27"/>
  <c r="C29" s="1"/>
  <c r="C26"/>
  <c r="C25"/>
  <c r="C24"/>
  <c r="F23"/>
  <c r="E23"/>
  <c r="E61" s="1"/>
  <c r="C61" s="1"/>
  <c r="D23"/>
  <c r="C22"/>
  <c r="C21"/>
  <c r="C20"/>
  <c r="C19"/>
  <c r="C18"/>
  <c r="C17"/>
  <c r="C16"/>
  <c r="C23" s="1"/>
  <c r="C15"/>
  <c r="C14"/>
  <c r="F13"/>
  <c r="E13"/>
  <c r="D13"/>
  <c r="C12"/>
  <c r="C11"/>
  <c r="C13" s="1"/>
  <c r="C10"/>
  <c r="C9"/>
  <c r="F8"/>
  <c r="F38" s="1"/>
  <c r="F54" s="1"/>
  <c r="E8"/>
  <c r="E55" s="1"/>
  <c r="D8"/>
  <c r="D38" s="1"/>
  <c r="D54" s="1"/>
  <c r="C7"/>
  <c r="C6"/>
  <c r="C5"/>
  <c r="C4"/>
  <c r="C3"/>
  <c r="C2"/>
  <c r="C8" s="1"/>
  <c r="C38" s="1"/>
  <c r="C54" s="1"/>
  <c r="Q21" i="32" l="1"/>
  <c r="I21" s="1"/>
  <c r="G20"/>
  <c r="C148" i="38"/>
  <c r="C154" s="1"/>
  <c r="E154"/>
  <c r="G12" i="32"/>
  <c r="C32" i="34" s="1"/>
  <c r="C55" i="38"/>
  <c r="C63" s="1"/>
  <c r="C143" s="1"/>
  <c r="C155" s="1"/>
  <c r="C81"/>
  <c r="C142" s="1"/>
  <c r="D142"/>
  <c r="D143" s="1"/>
  <c r="D155" s="1"/>
  <c r="F142"/>
  <c r="F143"/>
  <c r="F155" s="1"/>
  <c r="E57"/>
  <c r="C57" s="1"/>
  <c r="E38"/>
  <c r="E54" s="1"/>
  <c r="G19" i="32" l="1"/>
  <c r="Q20"/>
  <c r="E63" i="38"/>
  <c r="E143" s="1"/>
  <c r="E155" s="1"/>
  <c r="I20" i="32" l="1"/>
  <c r="I19" s="1"/>
  <c r="Q19"/>
  <c r="G82" i="20"/>
  <c r="AL5" i="21"/>
  <c r="AL8"/>
  <c r="AL21" s="1"/>
  <c r="AL25" s="1"/>
  <c r="AL16"/>
  <c r="AL19"/>
  <c r="AL35"/>
  <c r="AL48"/>
  <c r="AL56"/>
  <c r="AL61"/>
  <c r="AL70"/>
  <c r="AL88"/>
  <c r="G80" i="20"/>
  <c r="AK5" i="21"/>
  <c r="AK8"/>
  <c r="AK16"/>
  <c r="AK19"/>
  <c r="AK35"/>
  <c r="AK48"/>
  <c r="AK56"/>
  <c r="AK61"/>
  <c r="AK70"/>
  <c r="AK88"/>
  <c r="AK21" l="1"/>
  <c r="AK25" s="1"/>
  <c r="AK26" s="1"/>
  <c r="AL26"/>
  <c r="AL89" s="1"/>
  <c r="AK89"/>
  <c r="AJ41" l="1"/>
  <c r="G78" i="20" s="1"/>
  <c r="AJ5" i="21" l="1"/>
  <c r="AJ8"/>
  <c r="AJ16"/>
  <c r="AJ19"/>
  <c r="AJ21"/>
  <c r="AJ25" s="1"/>
  <c r="AJ26" s="1"/>
  <c r="AJ35"/>
  <c r="AJ48"/>
  <c r="AJ56"/>
  <c r="AJ61"/>
  <c r="AJ70"/>
  <c r="AJ88"/>
  <c r="G74" i="20"/>
  <c r="AI5" i="21"/>
  <c r="AI8"/>
  <c r="AI16"/>
  <c r="AI19"/>
  <c r="AI21"/>
  <c r="AI25" s="1"/>
  <c r="AI26" s="1"/>
  <c r="AI35"/>
  <c r="AI48"/>
  <c r="AI56"/>
  <c r="AI61"/>
  <c r="AI70"/>
  <c r="AI88"/>
  <c r="G72" i="20"/>
  <c r="AH5" i="21"/>
  <c r="AH8"/>
  <c r="AH16"/>
  <c r="AH21" s="1"/>
  <c r="AH25" s="1"/>
  <c r="AH19"/>
  <c r="AH35"/>
  <c r="AH48"/>
  <c r="AH56"/>
  <c r="AH61"/>
  <c r="AH70"/>
  <c r="AH88"/>
  <c r="AG5"/>
  <c r="AG8"/>
  <c r="AG16"/>
  <c r="AG20" s="1"/>
  <c r="AG25" s="1"/>
  <c r="AG19"/>
  <c r="AG35"/>
  <c r="AG48"/>
  <c r="AG56"/>
  <c r="AG61"/>
  <c r="AG70"/>
  <c r="AG88"/>
  <c r="AF5"/>
  <c r="AF8"/>
  <c r="AF16"/>
  <c r="AF19"/>
  <c r="AF25"/>
  <c r="AF35"/>
  <c r="AF48"/>
  <c r="AF56"/>
  <c r="AF61"/>
  <c r="AF70"/>
  <c r="AF88"/>
  <c r="AD5"/>
  <c r="AD8"/>
  <c r="AD25" s="1"/>
  <c r="AD16"/>
  <c r="AD19"/>
  <c r="AD35"/>
  <c r="AD48"/>
  <c r="AD56"/>
  <c r="AD61"/>
  <c r="AD70"/>
  <c r="AD88"/>
  <c r="AE5"/>
  <c r="AE8"/>
  <c r="AE16"/>
  <c r="AE19"/>
  <c r="AE35"/>
  <c r="AE48"/>
  <c r="AE56"/>
  <c r="AE61"/>
  <c r="AE70"/>
  <c r="AE88"/>
  <c r="AC5"/>
  <c r="AC8"/>
  <c r="AC16"/>
  <c r="AC19"/>
  <c r="AC35"/>
  <c r="AC48"/>
  <c r="AC56"/>
  <c r="AC61"/>
  <c r="AC70"/>
  <c r="AC88"/>
  <c r="E87"/>
  <c r="E86"/>
  <c r="E85"/>
  <c r="E84"/>
  <c r="E83"/>
  <c r="E82"/>
  <c r="E81"/>
  <c r="E80"/>
  <c r="E79"/>
  <c r="E78"/>
  <c r="E77"/>
  <c r="E76"/>
  <c r="E75"/>
  <c r="E74"/>
  <c r="E73"/>
  <c r="E72"/>
  <c r="E71"/>
  <c r="E69"/>
  <c r="E68"/>
  <c r="E67"/>
  <c r="E66"/>
  <c r="E65"/>
  <c r="E64"/>
  <c r="E63"/>
  <c r="E62"/>
  <c r="AB5"/>
  <c r="AB8"/>
  <c r="AB16"/>
  <c r="AB19"/>
  <c r="AB35"/>
  <c r="AB48"/>
  <c r="AB56"/>
  <c r="AB61"/>
  <c r="AB70"/>
  <c r="AB88"/>
  <c r="BD5"/>
  <c r="BD8"/>
  <c r="BD16"/>
  <c r="BD19"/>
  <c r="BD35"/>
  <c r="BD48"/>
  <c r="BD56"/>
  <c r="BD61"/>
  <c r="BD70"/>
  <c r="BD88"/>
  <c r="AA5"/>
  <c r="AA8"/>
  <c r="AA16"/>
  <c r="AA19"/>
  <c r="AA35"/>
  <c r="AA48"/>
  <c r="AA56"/>
  <c r="AA61"/>
  <c r="AA70"/>
  <c r="AA88"/>
  <c r="Z5"/>
  <c r="Z8"/>
  <c r="Z16"/>
  <c r="Z19"/>
  <c r="Z25"/>
  <c r="Z35"/>
  <c r="Z48"/>
  <c r="Z56"/>
  <c r="Z61"/>
  <c r="Z70"/>
  <c r="Z88"/>
  <c r="Y5"/>
  <c r="Y8"/>
  <c r="Y16"/>
  <c r="Y19"/>
  <c r="Y25"/>
  <c r="Y35"/>
  <c r="Y48"/>
  <c r="Y56"/>
  <c r="Y61"/>
  <c r="Y70"/>
  <c r="Y88"/>
  <c r="X5"/>
  <c r="X8"/>
  <c r="X16"/>
  <c r="X19"/>
  <c r="X35"/>
  <c r="X48"/>
  <c r="X56"/>
  <c r="X61"/>
  <c r="X70"/>
  <c r="X88"/>
  <c r="W5"/>
  <c r="W8"/>
  <c r="W16"/>
  <c r="W19"/>
  <c r="W35"/>
  <c r="W48"/>
  <c r="W56"/>
  <c r="W61"/>
  <c r="W70"/>
  <c r="W88"/>
  <c r="F35"/>
  <c r="F48"/>
  <c r="F56"/>
  <c r="F61"/>
  <c r="F70"/>
  <c r="V5"/>
  <c r="V8"/>
  <c r="V16"/>
  <c r="V19"/>
  <c r="V35"/>
  <c r="V48"/>
  <c r="V56"/>
  <c r="V61"/>
  <c r="V70"/>
  <c r="V88"/>
  <c r="K6" i="20"/>
  <c r="M6"/>
  <c r="O6"/>
  <c r="D87" i="21"/>
  <c r="C87" s="1"/>
  <c r="D86"/>
  <c r="C86" s="1"/>
  <c r="D85"/>
  <c r="C85" s="1"/>
  <c r="D84"/>
  <c r="C84" s="1"/>
  <c r="D83"/>
  <c r="C83" s="1"/>
  <c r="D82"/>
  <c r="C82" s="1"/>
  <c r="D81"/>
  <c r="C81" s="1"/>
  <c r="D80"/>
  <c r="D79"/>
  <c r="C79" s="1"/>
  <c r="D78"/>
  <c r="C78" s="1"/>
  <c r="D77"/>
  <c r="C77" s="1"/>
  <c r="D76"/>
  <c r="C76" s="1"/>
  <c r="D75"/>
  <c r="C75" s="1"/>
  <c r="D74"/>
  <c r="C74" s="1"/>
  <c r="D73"/>
  <c r="C73" s="1"/>
  <c r="D72"/>
  <c r="C72" s="1"/>
  <c r="D71"/>
  <c r="D69"/>
  <c r="C69" s="1"/>
  <c r="D68"/>
  <c r="C68" s="1"/>
  <c r="D67"/>
  <c r="C67" s="1"/>
  <c r="D66"/>
  <c r="C66" s="1"/>
  <c r="D65"/>
  <c r="C65" s="1"/>
  <c r="D64"/>
  <c r="C64" s="1"/>
  <c r="D63"/>
  <c r="C63" s="1"/>
  <c r="D62"/>
  <c r="C62" s="1"/>
  <c r="D60"/>
  <c r="C60" s="1"/>
  <c r="D59"/>
  <c r="C59" s="1"/>
  <c r="D58"/>
  <c r="C58" s="1"/>
  <c r="D57"/>
  <c r="C57" s="1"/>
  <c r="D55"/>
  <c r="C55" s="1"/>
  <c r="D54"/>
  <c r="C54" s="1"/>
  <c r="D53"/>
  <c r="C53" s="1"/>
  <c r="D52"/>
  <c r="C52" s="1"/>
  <c r="D51"/>
  <c r="D50"/>
  <c r="C50" s="1"/>
  <c r="D49"/>
  <c r="C49" s="1"/>
  <c r="D46"/>
  <c r="D45"/>
  <c r="C45" s="1"/>
  <c r="D44"/>
  <c r="C44" s="1"/>
  <c r="D43"/>
  <c r="C43" s="1"/>
  <c r="D42"/>
  <c r="C42" s="1"/>
  <c r="D41"/>
  <c r="C41" s="1"/>
  <c r="D40"/>
  <c r="C40" s="1"/>
  <c r="D39"/>
  <c r="C39" s="1"/>
  <c r="D38"/>
  <c r="C38" s="1"/>
  <c r="D37"/>
  <c r="C37" s="1"/>
  <c r="D36"/>
  <c r="C36" s="1"/>
  <c r="D34"/>
  <c r="C34" s="1"/>
  <c r="D33"/>
  <c r="C33" s="1"/>
  <c r="D32"/>
  <c r="C32" s="1"/>
  <c r="D31"/>
  <c r="C31" s="1"/>
  <c r="D30"/>
  <c r="C30" s="1"/>
  <c r="D29"/>
  <c r="C29" s="1"/>
  <c r="D28"/>
  <c r="C28" s="1"/>
  <c r="D27"/>
  <c r="C27" s="1"/>
  <c r="D23"/>
  <c r="C23" s="1"/>
  <c r="D22"/>
  <c r="C22" s="1"/>
  <c r="D21"/>
  <c r="D18"/>
  <c r="C18" s="1"/>
  <c r="D17"/>
  <c r="C17" s="1"/>
  <c r="D15"/>
  <c r="D13"/>
  <c r="C13" s="1"/>
  <c r="D12"/>
  <c r="C12" s="1"/>
  <c r="D10"/>
  <c r="C10" s="1"/>
  <c r="D9"/>
  <c r="C9" s="1"/>
  <c r="D7"/>
  <c r="C7" s="1"/>
  <c r="D6"/>
  <c r="C6" s="1"/>
  <c r="D4"/>
  <c r="C4" s="1"/>
  <c r="R88"/>
  <c r="R70"/>
  <c r="R61"/>
  <c r="R56"/>
  <c r="R48"/>
  <c r="R35"/>
  <c r="G34" i="20" s="1"/>
  <c r="G33" s="1"/>
  <c r="R25" i="21"/>
  <c r="R19"/>
  <c r="R16"/>
  <c r="R8"/>
  <c r="R5"/>
  <c r="O14"/>
  <c r="D14" s="1"/>
  <c r="C14" s="1"/>
  <c r="X20" l="1"/>
  <c r="X25" s="1"/>
  <c r="X26" s="1"/>
  <c r="X89" s="1"/>
  <c r="R26"/>
  <c r="V20"/>
  <c r="V25" s="1"/>
  <c r="Y26"/>
  <c r="Z26"/>
  <c r="AA20"/>
  <c r="AA25" s="1"/>
  <c r="BD20"/>
  <c r="C46"/>
  <c r="C51"/>
  <c r="AC20"/>
  <c r="AC25" s="1"/>
  <c r="AC26" s="1"/>
  <c r="AE20"/>
  <c r="AF26"/>
  <c r="S33" i="20"/>
  <c r="I33" s="1"/>
  <c r="G18" i="25"/>
  <c r="S18" s="1"/>
  <c r="I18" s="1"/>
  <c r="C15" i="21"/>
  <c r="G50" i="20"/>
  <c r="AJ89" i="21"/>
  <c r="AI89"/>
  <c r="AH26"/>
  <c r="AH89" s="1"/>
  <c r="AG26"/>
  <c r="AE25"/>
  <c r="AE26" s="1"/>
  <c r="AD26"/>
  <c r="BD25"/>
  <c r="BD26" s="1"/>
  <c r="AA26"/>
  <c r="W25"/>
  <c r="W26" s="1"/>
  <c r="V26"/>
  <c r="R89"/>
  <c r="AD89" l="1"/>
  <c r="G66" i="20"/>
  <c r="Z89" i="21"/>
  <c r="G54" i="20"/>
  <c r="AF89" i="21"/>
  <c r="G68" i="20"/>
  <c r="Y89" i="21"/>
  <c r="G52" i="20"/>
  <c r="BD89" i="21"/>
  <c r="G58" i="20"/>
  <c r="AG89" i="21"/>
  <c r="G70" i="20"/>
  <c r="G56"/>
  <c r="AA89" i="21"/>
  <c r="W89"/>
  <c r="G48" i="20"/>
  <c r="V89" i="21"/>
  <c r="G46" i="20"/>
  <c r="AE89" i="21"/>
  <c r="G64" i="20"/>
  <c r="AC89" i="21"/>
  <c r="G62" i="20"/>
  <c r="AB25" i="21"/>
  <c r="AB26" s="1"/>
  <c r="C21"/>
  <c r="AB89" l="1"/>
  <c r="G60" i="20"/>
  <c r="C12" i="13"/>
  <c r="C11"/>
  <c r="C10"/>
  <c r="C44" i="1"/>
  <c r="C22" i="4" s="1"/>
  <c r="C21" i="37"/>
  <c r="G126" i="20"/>
  <c r="F14" i="36"/>
  <c r="D17"/>
  <c r="B17"/>
  <c r="F17" s="1"/>
  <c r="F16"/>
  <c r="B12"/>
  <c r="D12"/>
  <c r="I11"/>
  <c r="I17" i="33"/>
  <c r="H17"/>
  <c r="E17"/>
  <c r="C17"/>
  <c r="D16"/>
  <c r="B16"/>
  <c r="D15"/>
  <c r="B15"/>
  <c r="D14"/>
  <c r="B14"/>
  <c r="D13"/>
  <c r="B13"/>
  <c r="D12"/>
  <c r="B12"/>
  <c r="F17"/>
  <c r="D11"/>
  <c r="B11"/>
  <c r="I9"/>
  <c r="H9"/>
  <c r="E9"/>
  <c r="C9"/>
  <c r="C18" s="1"/>
  <c r="B9"/>
  <c r="D8"/>
  <c r="D9" s="1"/>
  <c r="G13" i="32"/>
  <c r="G8"/>
  <c r="G30" i="25" s="1"/>
  <c r="S30" s="1"/>
  <c r="I30" s="1"/>
  <c r="C42" i="31"/>
  <c r="C36"/>
  <c r="C28"/>
  <c r="C25"/>
  <c r="C23"/>
  <c r="C22" s="1"/>
  <c r="C20"/>
  <c r="C7"/>
  <c r="C8"/>
  <c r="C42" i="30"/>
  <c r="C36"/>
  <c r="C28"/>
  <c r="C25"/>
  <c r="C23"/>
  <c r="C22" s="1"/>
  <c r="C20"/>
  <c r="C7"/>
  <c r="C8"/>
  <c r="C42" i="29"/>
  <c r="C36"/>
  <c r="C28"/>
  <c r="C25"/>
  <c r="C23"/>
  <c r="C22" s="1"/>
  <c r="C20"/>
  <c r="C8"/>
  <c r="C42" i="28"/>
  <c r="C36"/>
  <c r="C46" s="1"/>
  <c r="C28"/>
  <c r="C25"/>
  <c r="C23"/>
  <c r="C20"/>
  <c r="C8"/>
  <c r="C42" i="27"/>
  <c r="C36"/>
  <c r="C28"/>
  <c r="C25"/>
  <c r="C23"/>
  <c r="C22" s="1"/>
  <c r="C20"/>
  <c r="C8"/>
  <c r="D18" i="36" l="1"/>
  <c r="G18"/>
  <c r="D15"/>
  <c r="C14" i="37"/>
  <c r="C13" s="1"/>
  <c r="C29" s="1"/>
  <c r="E18" i="33"/>
  <c r="C30" i="13"/>
  <c r="F71" i="21" s="1"/>
  <c r="C71" s="1"/>
  <c r="O117" i="20"/>
  <c r="O35" s="1"/>
  <c r="G95" i="25"/>
  <c r="Q13" i="32"/>
  <c r="I13" s="1"/>
  <c r="G31" i="25"/>
  <c r="S31" s="1"/>
  <c r="I31" s="1"/>
  <c r="B17" i="33"/>
  <c r="Q8" i="32"/>
  <c r="I8" s="1"/>
  <c r="G7"/>
  <c r="C34" i="30"/>
  <c r="C32" s="1"/>
  <c r="C31" s="1"/>
  <c r="C35" s="1"/>
  <c r="C46" i="31"/>
  <c r="C46" i="30"/>
  <c r="C30" i="31"/>
  <c r="C34" s="1"/>
  <c r="C32" s="1"/>
  <c r="C31" s="1"/>
  <c r="C35" s="1"/>
  <c r="C30" i="30"/>
  <c r="C7" i="28"/>
  <c r="C22"/>
  <c r="C7" i="27"/>
  <c r="C34" s="1"/>
  <c r="C32" s="1"/>
  <c r="C31" s="1"/>
  <c r="C35" s="1"/>
  <c r="C7" i="29"/>
  <c r="C30" s="1"/>
  <c r="C46"/>
  <c r="C30" i="28"/>
  <c r="C30" i="27"/>
  <c r="C46"/>
  <c r="B18" i="36"/>
  <c r="B15"/>
  <c r="F15" s="1"/>
  <c r="B18" i="33"/>
  <c r="D17"/>
  <c r="D18" s="1"/>
  <c r="I18"/>
  <c r="H18"/>
  <c r="C34" i="29" l="1"/>
  <c r="C32" s="1"/>
  <c r="C31" s="1"/>
  <c r="C35" s="1"/>
  <c r="G94" i="25"/>
  <c r="S95"/>
  <c r="O81"/>
  <c r="O41" s="1"/>
  <c r="O5" i="20"/>
  <c r="S117"/>
  <c r="G6" i="32"/>
  <c r="G5" s="1"/>
  <c r="Q7"/>
  <c r="C34" i="28"/>
  <c r="C32" s="1"/>
  <c r="C31" s="1"/>
  <c r="C35" s="1"/>
  <c r="I117" i="20" l="1"/>
  <c r="S94" i="25"/>
  <c r="I95"/>
  <c r="I94" s="1"/>
  <c r="S81"/>
  <c r="I7" i="32"/>
  <c r="I6" s="1"/>
  <c r="I5" s="1"/>
  <c r="Q6"/>
  <c r="Q5" s="1"/>
  <c r="C12" i="23"/>
  <c r="G77" i="24"/>
  <c r="G74"/>
  <c r="G68"/>
  <c r="G63"/>
  <c r="G58"/>
  <c r="Q58" s="1"/>
  <c r="I58" s="1"/>
  <c r="G56"/>
  <c r="G53" s="1"/>
  <c r="G50"/>
  <c r="Q50" s="1"/>
  <c r="I50" s="1"/>
  <c r="G47"/>
  <c r="Q47" s="1"/>
  <c r="I47" s="1"/>
  <c r="G42"/>
  <c r="Q42" s="1"/>
  <c r="I42" s="1"/>
  <c r="G39"/>
  <c r="Q39" s="1"/>
  <c r="I39" s="1"/>
  <c r="G36"/>
  <c r="G31"/>
  <c r="G26"/>
  <c r="G23"/>
  <c r="G20"/>
  <c r="G17"/>
  <c r="G12"/>
  <c r="G7"/>
  <c r="M6"/>
  <c r="K6"/>
  <c r="K5" s="1"/>
  <c r="E6"/>
  <c r="E5" s="1"/>
  <c r="C5" i="23" s="1"/>
  <c r="C6" i="24"/>
  <c r="C5" s="1"/>
  <c r="C4" i="23" s="1"/>
  <c r="F8" i="33" s="1"/>
  <c r="F9" s="1"/>
  <c r="F18" s="1"/>
  <c r="M5" i="24"/>
  <c r="C43" i="23"/>
  <c r="C42" s="1"/>
  <c r="C39"/>
  <c r="C38"/>
  <c r="C5" i="14" s="1"/>
  <c r="C37" i="23"/>
  <c r="C4" i="14" s="1"/>
  <c r="C32" i="23"/>
  <c r="C31" s="1"/>
  <c r="C28"/>
  <c r="C25"/>
  <c r="C23"/>
  <c r="C22"/>
  <c r="C20"/>
  <c r="C9"/>
  <c r="C7"/>
  <c r="G67" i="24" l="1"/>
  <c r="Q12"/>
  <c r="I12" s="1"/>
  <c r="G22" i="25"/>
  <c r="S22" s="1"/>
  <c r="I22" s="1"/>
  <c r="Q26" i="24"/>
  <c r="I26" s="1"/>
  <c r="G26" i="25"/>
  <c r="S26" s="1"/>
  <c r="I26" s="1"/>
  <c r="Q36" i="24"/>
  <c r="I36" s="1"/>
  <c r="G28" i="25"/>
  <c r="S28" s="1"/>
  <c r="I28" s="1"/>
  <c r="Q74" i="24"/>
  <c r="I74" s="1"/>
  <c r="G86" i="25"/>
  <c r="S86" s="1"/>
  <c r="I86" s="1"/>
  <c r="Q7" i="24"/>
  <c r="G21" i="25"/>
  <c r="S21" s="1"/>
  <c r="I21" s="1"/>
  <c r="Q17" i="24"/>
  <c r="I17" s="1"/>
  <c r="G23" i="25"/>
  <c r="S23" s="1"/>
  <c r="I23" s="1"/>
  <c r="Q23" i="24"/>
  <c r="I23" s="1"/>
  <c r="G25" i="25"/>
  <c r="S25" s="1"/>
  <c r="I25" s="1"/>
  <c r="Q31" i="24"/>
  <c r="I31" s="1"/>
  <c r="G27" i="25"/>
  <c r="S27" s="1"/>
  <c r="I27" s="1"/>
  <c r="Q63" i="24"/>
  <c r="I63" s="1"/>
  <c r="G29" i="25"/>
  <c r="S29" s="1"/>
  <c r="I29" s="1"/>
  <c r="Q68" i="24"/>
  <c r="G85" i="25"/>
  <c r="S85" s="1"/>
  <c r="I85" s="1"/>
  <c r="Q77" i="24"/>
  <c r="I77" s="1"/>
  <c r="G87" i="25"/>
  <c r="S87" s="1"/>
  <c r="I87" s="1"/>
  <c r="I81"/>
  <c r="Q20" i="24"/>
  <c r="I20" s="1"/>
  <c r="G24" i="25"/>
  <c r="S24" s="1"/>
  <c r="I24" s="1"/>
  <c r="C36" i="23"/>
  <c r="C46" s="1"/>
  <c r="C6"/>
  <c r="C35" s="1"/>
  <c r="I7" i="24"/>
  <c r="G6"/>
  <c r="Q53"/>
  <c r="I53" s="1"/>
  <c r="I68"/>
  <c r="I67" s="1"/>
  <c r="C30" i="23"/>
  <c r="G5" i="24" l="1"/>
  <c r="Q67"/>
  <c r="Q6"/>
  <c r="I6"/>
  <c r="I5" s="1"/>
  <c r="Q5" l="1"/>
  <c r="K5" i="20"/>
  <c r="M5"/>
  <c r="G113"/>
  <c r="U5" i="21"/>
  <c r="U8"/>
  <c r="U16"/>
  <c r="U19"/>
  <c r="U25"/>
  <c r="U35"/>
  <c r="U48"/>
  <c r="U56"/>
  <c r="G42" i="20" s="1"/>
  <c r="U61" i="21"/>
  <c r="U70"/>
  <c r="U88"/>
  <c r="T5"/>
  <c r="T8"/>
  <c r="T16"/>
  <c r="T26" s="1"/>
  <c r="T19"/>
  <c r="T25"/>
  <c r="T35"/>
  <c r="T48"/>
  <c r="T56"/>
  <c r="T61"/>
  <c r="T70"/>
  <c r="T88"/>
  <c r="S5"/>
  <c r="S8"/>
  <c r="S16"/>
  <c r="S19"/>
  <c r="S25"/>
  <c r="S35"/>
  <c r="S48"/>
  <c r="S56"/>
  <c r="S61"/>
  <c r="S70"/>
  <c r="S88"/>
  <c r="G111" i="20"/>
  <c r="G109"/>
  <c r="G107"/>
  <c r="G105"/>
  <c r="G103"/>
  <c r="G101"/>
  <c r="G99"/>
  <c r="G97"/>
  <c r="G95"/>
  <c r="G92"/>
  <c r="G89"/>
  <c r="G85"/>
  <c r="G83"/>
  <c r="G81"/>
  <c r="G79"/>
  <c r="G77"/>
  <c r="G75"/>
  <c r="G73"/>
  <c r="G71"/>
  <c r="G69"/>
  <c r="G67"/>
  <c r="G65"/>
  <c r="G63"/>
  <c r="G61"/>
  <c r="G59"/>
  <c r="G57"/>
  <c r="G55"/>
  <c r="G53"/>
  <c r="G51"/>
  <c r="G49"/>
  <c r="G47"/>
  <c r="G45"/>
  <c r="G43"/>
  <c r="S43" s="1"/>
  <c r="I43" s="1"/>
  <c r="E8" i="21"/>
  <c r="Q88"/>
  <c r="P88"/>
  <c r="O88"/>
  <c r="N88"/>
  <c r="M88"/>
  <c r="L88"/>
  <c r="K88"/>
  <c r="J88"/>
  <c r="I88"/>
  <c r="H88"/>
  <c r="G88"/>
  <c r="E88"/>
  <c r="Q70"/>
  <c r="P70"/>
  <c r="O70"/>
  <c r="N70"/>
  <c r="M70"/>
  <c r="L70"/>
  <c r="K70"/>
  <c r="J70"/>
  <c r="I70"/>
  <c r="H70"/>
  <c r="G70"/>
  <c r="E70"/>
  <c r="C70"/>
  <c r="D70"/>
  <c r="Q61"/>
  <c r="P61"/>
  <c r="O61"/>
  <c r="N61"/>
  <c r="M61"/>
  <c r="L61"/>
  <c r="K61"/>
  <c r="J61"/>
  <c r="I61"/>
  <c r="H61"/>
  <c r="G61"/>
  <c r="E61"/>
  <c r="C61"/>
  <c r="C19" i="13" s="1"/>
  <c r="C15" i="14" s="1"/>
  <c r="Q56" i="21"/>
  <c r="G30" i="20" s="1"/>
  <c r="P56" i="21"/>
  <c r="O56"/>
  <c r="N56"/>
  <c r="M56"/>
  <c r="L56"/>
  <c r="G20" i="20" s="1"/>
  <c r="K56" i="21"/>
  <c r="J56"/>
  <c r="I56"/>
  <c r="H56"/>
  <c r="G56"/>
  <c r="G9" i="20" s="1"/>
  <c r="E56" i="21"/>
  <c r="C56"/>
  <c r="C18" i="13" s="1"/>
  <c r="P48" i="21"/>
  <c r="O48"/>
  <c r="N48"/>
  <c r="M48"/>
  <c r="L48"/>
  <c r="K48"/>
  <c r="J48"/>
  <c r="I48"/>
  <c r="H48"/>
  <c r="G48"/>
  <c r="E48"/>
  <c r="Q35"/>
  <c r="P35"/>
  <c r="O35"/>
  <c r="N35"/>
  <c r="M35"/>
  <c r="L35"/>
  <c r="K35"/>
  <c r="J35"/>
  <c r="I35"/>
  <c r="H35"/>
  <c r="G35"/>
  <c r="E35"/>
  <c r="C35"/>
  <c r="C8" i="13" s="1"/>
  <c r="C7" i="14" s="1"/>
  <c r="D35" i="21"/>
  <c r="Q25"/>
  <c r="P25"/>
  <c r="O25"/>
  <c r="N25"/>
  <c r="M25"/>
  <c r="L25"/>
  <c r="K25"/>
  <c r="H25"/>
  <c r="E25"/>
  <c r="J24"/>
  <c r="I25"/>
  <c r="G20"/>
  <c r="Q19"/>
  <c r="P19"/>
  <c r="O19"/>
  <c r="N19"/>
  <c r="M19"/>
  <c r="L19"/>
  <c r="K19"/>
  <c r="J19"/>
  <c r="I19"/>
  <c r="H19"/>
  <c r="G19"/>
  <c r="E19"/>
  <c r="C19"/>
  <c r="Q16"/>
  <c r="P16"/>
  <c r="O16"/>
  <c r="N16"/>
  <c r="M16"/>
  <c r="L16"/>
  <c r="K16"/>
  <c r="J16"/>
  <c r="H16"/>
  <c r="G16"/>
  <c r="E16"/>
  <c r="I11"/>
  <c r="Q8"/>
  <c r="P8"/>
  <c r="O8"/>
  <c r="N8"/>
  <c r="M8"/>
  <c r="L8"/>
  <c r="K8"/>
  <c r="J8"/>
  <c r="I8"/>
  <c r="H8"/>
  <c r="G8"/>
  <c r="C8"/>
  <c r="D8"/>
  <c r="Q5"/>
  <c r="P5"/>
  <c r="P26" s="1"/>
  <c r="P89" s="1"/>
  <c r="O5"/>
  <c r="N5"/>
  <c r="N26" s="1"/>
  <c r="N89" s="1"/>
  <c r="M5"/>
  <c r="M26" s="1"/>
  <c r="M89" s="1"/>
  <c r="K5"/>
  <c r="K26" s="1"/>
  <c r="K89" s="1"/>
  <c r="I5"/>
  <c r="H5"/>
  <c r="H26" s="1"/>
  <c r="H89" s="1"/>
  <c r="G5"/>
  <c r="E5"/>
  <c r="L3"/>
  <c r="L5" s="1"/>
  <c r="L26" s="1"/>
  <c r="L89" s="1"/>
  <c r="J3"/>
  <c r="D3" s="1"/>
  <c r="C3" s="1"/>
  <c r="J2"/>
  <c r="S75" i="20" l="1"/>
  <c r="I75" s="1"/>
  <c r="G62" i="25"/>
  <c r="S62" s="1"/>
  <c r="I62" s="1"/>
  <c r="J5" i="21"/>
  <c r="D2"/>
  <c r="C2" s="1"/>
  <c r="C5" s="1"/>
  <c r="I16"/>
  <c r="D11"/>
  <c r="C11" s="1"/>
  <c r="C16" s="1"/>
  <c r="G25"/>
  <c r="G26" s="1"/>
  <c r="D20"/>
  <c r="C20" s="1"/>
  <c r="J25"/>
  <c r="D24"/>
  <c r="C24" s="1"/>
  <c r="S45" i="20"/>
  <c r="I45" s="1"/>
  <c r="G47" i="25"/>
  <c r="S47" s="1"/>
  <c r="I47" s="1"/>
  <c r="S49" i="20"/>
  <c r="I49" s="1"/>
  <c r="G49" i="25"/>
  <c r="S49" s="1"/>
  <c r="I49" s="1"/>
  <c r="S53" i="20"/>
  <c r="I53" s="1"/>
  <c r="G51" i="25"/>
  <c r="S51" s="1"/>
  <c r="I51" s="1"/>
  <c r="S57" i="20"/>
  <c r="I57" s="1"/>
  <c r="G53" i="25"/>
  <c r="S53" s="1"/>
  <c r="I53" s="1"/>
  <c r="S61" i="20"/>
  <c r="I61" s="1"/>
  <c r="G55" i="25"/>
  <c r="S55" s="1"/>
  <c r="I55" s="1"/>
  <c r="S65" i="20"/>
  <c r="I65" s="1"/>
  <c r="G57" i="25"/>
  <c r="S57" s="1"/>
  <c r="I57" s="1"/>
  <c r="S73" i="20"/>
  <c r="I73" s="1"/>
  <c r="G61" i="25"/>
  <c r="S61" s="1"/>
  <c r="I61" s="1"/>
  <c r="S77" i="20"/>
  <c r="I77" s="1"/>
  <c r="G63" i="25"/>
  <c r="S63" s="1"/>
  <c r="I63" s="1"/>
  <c r="S81" i="20"/>
  <c r="I81" s="1"/>
  <c r="G65" i="25"/>
  <c r="S65" s="1"/>
  <c r="I65" s="1"/>
  <c r="S92" i="20"/>
  <c r="I92" s="1"/>
  <c r="G70" i="25"/>
  <c r="S70" s="1"/>
  <c r="I70" s="1"/>
  <c r="S105" i="20"/>
  <c r="I105" s="1"/>
  <c r="G76" i="25"/>
  <c r="S76" s="1"/>
  <c r="I76" s="1"/>
  <c r="S109" i="20"/>
  <c r="I109" s="1"/>
  <c r="G78" i="25"/>
  <c r="S78" s="1"/>
  <c r="I78" s="1"/>
  <c r="S113" i="20"/>
  <c r="I113" s="1"/>
  <c r="G80" i="25"/>
  <c r="S80" s="1"/>
  <c r="I80" s="1"/>
  <c r="S47" i="20"/>
  <c r="I47" s="1"/>
  <c r="G48" i="25"/>
  <c r="S48" s="1"/>
  <c r="I48" s="1"/>
  <c r="S51" i="20"/>
  <c r="I51" s="1"/>
  <c r="G50" i="25"/>
  <c r="S50" s="1"/>
  <c r="I50" s="1"/>
  <c r="S59" i="20"/>
  <c r="I59" s="1"/>
  <c r="G54" i="25"/>
  <c r="S54" s="1"/>
  <c r="I54" s="1"/>
  <c r="S63" i="20"/>
  <c r="I63" s="1"/>
  <c r="G56" i="25"/>
  <c r="S56" s="1"/>
  <c r="I56" s="1"/>
  <c r="S67" i="20"/>
  <c r="I67" s="1"/>
  <c r="G58" i="25"/>
  <c r="S58" s="1"/>
  <c r="I58" s="1"/>
  <c r="S71" i="20"/>
  <c r="I71" s="1"/>
  <c r="G60" i="25"/>
  <c r="S60" s="1"/>
  <c r="I60" s="1"/>
  <c r="S79" i="20"/>
  <c r="I79" s="1"/>
  <c r="G64" i="25"/>
  <c r="S64" s="1"/>
  <c r="I64" s="1"/>
  <c r="S83" i="20"/>
  <c r="I83" s="1"/>
  <c r="G66" i="25"/>
  <c r="S66" s="1"/>
  <c r="I66" s="1"/>
  <c r="S89" i="20"/>
  <c r="I89" s="1"/>
  <c r="G69" i="25"/>
  <c r="S69" s="1"/>
  <c r="I69" s="1"/>
  <c r="S95" i="20"/>
  <c r="I95" s="1"/>
  <c r="G71" i="25"/>
  <c r="S71" s="1"/>
  <c r="I71" s="1"/>
  <c r="S99" i="20"/>
  <c r="I99" s="1"/>
  <c r="G73" i="25"/>
  <c r="S73" s="1"/>
  <c r="I73" s="1"/>
  <c r="S103" i="20"/>
  <c r="G75" i="25"/>
  <c r="S111" i="20"/>
  <c r="I111" s="1"/>
  <c r="G79" i="25"/>
  <c r="S79" s="1"/>
  <c r="I79" s="1"/>
  <c r="S69" i="20"/>
  <c r="I69" s="1"/>
  <c r="G59" i="25"/>
  <c r="S59" s="1"/>
  <c r="I59" s="1"/>
  <c r="Q26" i="21"/>
  <c r="S97" i="20"/>
  <c r="G72" i="25"/>
  <c r="S85" i="20"/>
  <c r="I85" s="1"/>
  <c r="G67" i="25"/>
  <c r="S67" s="1"/>
  <c r="I67" s="1"/>
  <c r="S107" i="20"/>
  <c r="I107" s="1"/>
  <c r="G77" i="25"/>
  <c r="S77" s="1"/>
  <c r="I77" s="1"/>
  <c r="S101" i="20"/>
  <c r="I101" s="1"/>
  <c r="G74" i="25"/>
  <c r="S74" s="1"/>
  <c r="I74" s="1"/>
  <c r="S55" i="20"/>
  <c r="I55" s="1"/>
  <c r="G52" i="25"/>
  <c r="C16" i="34"/>
  <c r="C5" s="1"/>
  <c r="U26" i="21"/>
  <c r="G41" i="20" s="1"/>
  <c r="G40" s="1"/>
  <c r="G44" i="25" s="1"/>
  <c r="S44" s="1"/>
  <c r="I44" s="1"/>
  <c r="E26" i="21"/>
  <c r="E89" s="1"/>
  <c r="D25"/>
  <c r="C25"/>
  <c r="O26"/>
  <c r="O89" s="1"/>
  <c r="D5"/>
  <c r="D56"/>
  <c r="D61"/>
  <c r="D88"/>
  <c r="I26"/>
  <c r="G13" i="20" s="1"/>
  <c r="G12" s="1"/>
  <c r="G19"/>
  <c r="G18" s="1"/>
  <c r="G22"/>
  <c r="G21" s="1"/>
  <c r="G26"/>
  <c r="G25" s="1"/>
  <c r="G32"/>
  <c r="G31" s="1"/>
  <c r="D16" i="21"/>
  <c r="D19"/>
  <c r="G11" i="20"/>
  <c r="G10" s="1"/>
  <c r="G17"/>
  <c r="G16" s="1"/>
  <c r="G24"/>
  <c r="G23" s="1"/>
  <c r="G28"/>
  <c r="T89" i="21"/>
  <c r="G39" i="20"/>
  <c r="G38" s="1"/>
  <c r="U89" i="21"/>
  <c r="S26"/>
  <c r="S75" i="25" l="1"/>
  <c r="I103" i="20"/>
  <c r="I97"/>
  <c r="S72" i="25"/>
  <c r="G89" i="21"/>
  <c r="G8" i="20"/>
  <c r="G7" s="1"/>
  <c r="G7" i="25" s="1"/>
  <c r="S7" s="1"/>
  <c r="I7" s="1"/>
  <c r="J26" i="21"/>
  <c r="D26"/>
  <c r="S23" i="20"/>
  <c r="I23" s="1"/>
  <c r="G14" i="25"/>
  <c r="S14" s="1"/>
  <c r="I14" s="1"/>
  <c r="S31" i="20"/>
  <c r="I31" s="1"/>
  <c r="G17" i="25"/>
  <c r="S17" s="1"/>
  <c r="I17" s="1"/>
  <c r="S21" i="20"/>
  <c r="I21" s="1"/>
  <c r="G13" i="25"/>
  <c r="S13" s="1"/>
  <c r="I13" s="1"/>
  <c r="S38" i="20"/>
  <c r="I38" s="1"/>
  <c r="G43" i="25"/>
  <c r="S43" s="1"/>
  <c r="I43" s="1"/>
  <c r="S16" i="20"/>
  <c r="I16" s="1"/>
  <c r="G11" i="25"/>
  <c r="S11" s="1"/>
  <c r="I11" s="1"/>
  <c r="S10" i="20"/>
  <c r="I10" s="1"/>
  <c r="G8" i="25"/>
  <c r="S8" s="1"/>
  <c r="I8" s="1"/>
  <c r="S25" i="20"/>
  <c r="I25" s="1"/>
  <c r="G15" i="25"/>
  <c r="S15" s="1"/>
  <c r="I15" s="1"/>
  <c r="S18" i="20"/>
  <c r="I18" s="1"/>
  <c r="G12" i="25"/>
  <c r="S12" s="1"/>
  <c r="I12" s="1"/>
  <c r="S12" i="20"/>
  <c r="I12" s="1"/>
  <c r="G9" i="25"/>
  <c r="S9" s="1"/>
  <c r="I9" s="1"/>
  <c r="C56" i="34"/>
  <c r="C14" i="14" s="1"/>
  <c r="S52" i="25"/>
  <c r="C26" i="21"/>
  <c r="S7" i="20"/>
  <c r="S89" i="21"/>
  <c r="G37" i="20"/>
  <c r="G36" s="1"/>
  <c r="G35" s="1"/>
  <c r="I89" i="21"/>
  <c r="S40" i="20"/>
  <c r="I75" i="25" l="1"/>
  <c r="I72"/>
  <c r="J89" i="21"/>
  <c r="G15" i="20"/>
  <c r="G14" s="1"/>
  <c r="G42" i="25"/>
  <c r="G41" s="1"/>
  <c r="I52"/>
  <c r="I40" i="20"/>
  <c r="S36"/>
  <c r="S35" s="1"/>
  <c r="C7" i="13"/>
  <c r="C6" i="14" s="1"/>
  <c r="I7" i="20"/>
  <c r="G10" i="25" l="1"/>
  <c r="S10" s="1"/>
  <c r="I10" s="1"/>
  <c r="S14" i="20"/>
  <c r="I14" s="1"/>
  <c r="S42" i="25"/>
  <c r="S41" s="1"/>
  <c r="I36" i="20"/>
  <c r="I35" s="1"/>
  <c r="E4" i="16"/>
  <c r="E14"/>
  <c r="D7"/>
  <c r="C7"/>
  <c r="D14"/>
  <c r="C14"/>
  <c r="I42" i="25" l="1"/>
  <c r="I41" s="1"/>
  <c r="D4" i="16"/>
  <c r="D3" s="1"/>
  <c r="C21" i="18"/>
  <c r="B13"/>
  <c r="B4"/>
  <c r="E3" i="16"/>
  <c r="C4"/>
  <c r="C15" i="13" l="1"/>
  <c r="C16"/>
  <c r="B21" i="18"/>
  <c r="C3" i="16"/>
  <c r="C13" i="13" l="1"/>
  <c r="C12" i="14" s="1"/>
  <c r="D47" i="21"/>
  <c r="G29" i="20"/>
  <c r="G27" s="1"/>
  <c r="G16" i="25" s="1"/>
  <c r="O16" s="1"/>
  <c r="Q48" i="21"/>
  <c r="Q89" s="1"/>
  <c r="C21" i="14"/>
  <c r="C20"/>
  <c r="F17" i="3"/>
  <c r="F4"/>
  <c r="F5"/>
  <c r="F6"/>
  <c r="F7"/>
  <c r="C9" i="14"/>
  <c r="C10"/>
  <c r="F11" i="3"/>
  <c r="F12"/>
  <c r="C17" i="14"/>
  <c r="C18"/>
  <c r="C19"/>
  <c r="C26"/>
  <c r="C27"/>
  <c r="C28"/>
  <c r="C30"/>
  <c r="C31"/>
  <c r="C6" i="4"/>
  <c r="C7"/>
  <c r="C29"/>
  <c r="C33"/>
  <c r="C34"/>
  <c r="C40"/>
  <c r="C48"/>
  <c r="C50"/>
  <c r="C51"/>
  <c r="C55"/>
  <c r="C56"/>
  <c r="C60"/>
  <c r="C61"/>
  <c r="G6" i="25" l="1"/>
  <c r="G5" s="1"/>
  <c r="O6"/>
  <c r="O5" s="1"/>
  <c r="S27" i="20"/>
  <c r="G6"/>
  <c r="C47" i="21"/>
  <c r="C48" s="1"/>
  <c r="D48"/>
  <c r="D89" s="1"/>
  <c r="C29" i="14"/>
  <c r="C59" i="4"/>
  <c r="C22" i="3" s="1"/>
  <c r="C47" i="4"/>
  <c r="C32"/>
  <c r="C11" i="3" s="1"/>
  <c r="C28" i="4"/>
  <c r="C7" i="3" s="1"/>
  <c r="C16" i="14"/>
  <c r="F13" i="3" s="1"/>
  <c r="F10" s="1"/>
  <c r="S16" i="25" l="1"/>
  <c r="I27" i="20"/>
  <c r="I6" s="1"/>
  <c r="S6"/>
  <c r="C13" i="14"/>
  <c r="I16" i="25" l="1"/>
  <c r="I6" s="1"/>
  <c r="I5" s="1"/>
  <c r="S6"/>
  <c r="S5" s="1"/>
  <c r="C17" i="13"/>
  <c r="C36"/>
  <c r="C29"/>
  <c r="C25" i="14" s="1"/>
  <c r="C24" s="1"/>
  <c r="C11" l="1"/>
  <c r="C8" s="1"/>
  <c r="C9" i="13"/>
  <c r="C4" s="1"/>
  <c r="F21" i="3"/>
  <c r="F20" s="1"/>
  <c r="F16" s="1"/>
  <c r="C23" i="14"/>
  <c r="C3" l="1"/>
  <c r="C22" s="1"/>
  <c r="C32" s="1"/>
  <c r="C26" i="13"/>
  <c r="F8" i="3"/>
  <c r="F3" s="1"/>
  <c r="F15" s="1"/>
  <c r="F23" s="1"/>
  <c r="C42" i="7" l="1"/>
  <c r="C36"/>
  <c r="C28"/>
  <c r="C25"/>
  <c r="C23"/>
  <c r="C20"/>
  <c r="C8"/>
  <c r="C22" l="1"/>
  <c r="C46"/>
  <c r="C7"/>
  <c r="C30" l="1"/>
  <c r="C34"/>
  <c r="C8" i="5"/>
  <c r="C32" i="7" l="1"/>
  <c r="C31" s="1"/>
  <c r="C35" s="1"/>
  <c r="C42" i="5"/>
  <c r="C36"/>
  <c r="C46" l="1"/>
  <c r="C28" l="1"/>
  <c r="C25"/>
  <c r="C23"/>
  <c r="C20"/>
  <c r="C13"/>
  <c r="C10"/>
  <c r="C7" l="1"/>
  <c r="C30" s="1"/>
  <c r="C34" s="1"/>
  <c r="C22"/>
  <c r="G125" i="20" l="1"/>
  <c r="C32" i="5"/>
  <c r="C31" s="1"/>
  <c r="C35" s="1"/>
  <c r="G124" i="20" l="1"/>
  <c r="S124" s="1"/>
  <c r="I124" s="1"/>
  <c r="C33" i="13"/>
  <c r="C63" i="1"/>
  <c r="C38" i="4" s="1"/>
  <c r="C8"/>
  <c r="C74" i="1"/>
  <c r="C43" i="4" s="1"/>
  <c r="C36" l="1"/>
  <c r="C12" i="3" s="1"/>
  <c r="C7" i="37"/>
  <c r="F80" i="21"/>
  <c r="C28" i="13"/>
  <c r="C27" s="1"/>
  <c r="C39" s="1"/>
  <c r="G5" i="20"/>
  <c r="C70" i="1"/>
  <c r="C42" i="4" s="1"/>
  <c r="C41" s="1"/>
  <c r="C13" i="3" l="1"/>
  <c r="C10" s="1"/>
  <c r="F14" s="1"/>
  <c r="I5" i="20"/>
  <c r="S5"/>
  <c r="F88" i="21"/>
  <c r="F89" s="1"/>
  <c r="C80"/>
  <c r="C88" s="1"/>
  <c r="C89" s="1"/>
  <c r="C31" i="4"/>
  <c r="C41" i="1"/>
  <c r="C21" i="4" s="1"/>
  <c r="C14" i="3" l="1"/>
  <c r="C19" i="4"/>
  <c r="C6" i="1"/>
  <c r="C24"/>
  <c r="C13" i="4"/>
  <c r="C30" i="1"/>
  <c r="C15" i="4" s="1"/>
  <c r="C34" i="1"/>
  <c r="C39"/>
  <c r="C53"/>
  <c r="C57"/>
  <c r="C61"/>
  <c r="C69"/>
  <c r="C83"/>
  <c r="C93"/>
  <c r="C6" i="3" l="1"/>
  <c r="C10" i="4"/>
  <c r="C4" i="37" s="1"/>
  <c r="C11" s="1"/>
  <c r="C12" s="1"/>
  <c r="C30" s="1"/>
  <c r="C23" i="1"/>
  <c r="C5"/>
  <c r="C5" i="4"/>
  <c r="C4" s="1"/>
  <c r="C56" i="1"/>
  <c r="C4" l="1"/>
  <c r="C80" s="1"/>
  <c r="C9" i="4"/>
  <c r="C88" i="1"/>
  <c r="C52" i="4" s="1"/>
  <c r="C4" i="3"/>
  <c r="C5" l="1"/>
  <c r="C3" s="1"/>
  <c r="C3" i="4"/>
  <c r="C44" s="1"/>
  <c r="C46"/>
  <c r="C82" i="1"/>
  <c r="C81" s="1"/>
  <c r="C96" s="1"/>
  <c r="C15" i="3" l="1"/>
  <c r="C9"/>
  <c r="C18" s="1"/>
  <c r="C17" s="1"/>
  <c r="F9"/>
  <c r="C45" i="4"/>
  <c r="C62" s="1"/>
  <c r="C21" i="3" l="1"/>
  <c r="C20" s="1"/>
  <c r="C16" s="1"/>
  <c r="C23" s="1"/>
  <c r="D3" i="18"/>
  <c r="D21" s="1"/>
</calcChain>
</file>

<file path=xl/comments1.xml><?xml version="1.0" encoding="utf-8"?>
<comments xmlns="http://schemas.openxmlformats.org/spreadsheetml/2006/main">
  <authors>
    <author>lantoso</author>
  </authors>
  <commentList>
    <comment ref="K124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ÁROP PH finansz 4600</t>
        </r>
      </text>
    </comment>
  </commentList>
</comments>
</file>

<file path=xl/comments2.xml><?xml version="1.0" encoding="utf-8"?>
<comments xmlns="http://schemas.openxmlformats.org/spreadsheetml/2006/main">
  <authors>
    <author>lantoso</author>
  </authors>
  <commentList>
    <comment ref="C8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Áthúzódók (409/1 416 hrsz vízvezeték kiváltása, tervezés 267 és a kivitelezés becsült 30 M Ft</t>
        </r>
      </text>
    </comment>
  </commentList>
</comments>
</file>

<file path=xl/comments3.xml><?xml version="1.0" encoding="utf-8"?>
<comments xmlns="http://schemas.openxmlformats.org/spreadsheetml/2006/main">
  <authors>
    <author>lantoso</author>
  </authors>
  <commentList>
    <comment ref="E2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teljesítés csak 17 milla. Miért?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javaslatban szerepelt, nem volt teljesítés!</t>
        </r>
      </text>
    </comment>
    <comment ref="E5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Kötelező pótlékok</t>
        </r>
      </text>
    </comment>
    <comment ref="E11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teljesítés minimális</t>
        </r>
      </text>
    </comment>
    <comment ref="E25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teljesítés 356 ezer!</t>
        </r>
      </text>
    </comment>
    <comment ref="E42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Tervben 5500 ezer, szerintem elég lesz 4500 ezer.</t>
        </r>
      </text>
    </comment>
    <comment ref="E76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Szent István 2 is 500</t>
        </r>
      </text>
    </comment>
    <comment ref="E86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Szent István 2 is 100</t>
        </r>
      </text>
    </comment>
    <comment ref="E89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Szent István 2 150</t>
        </r>
      </text>
    </comment>
    <comment ref="E90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Szent István 2 400</t>
        </r>
      </text>
    </comment>
    <comment ref="E93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Szent István 150</t>
        </r>
      </text>
    </comment>
    <comment ref="E94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Szent István 250</t>
        </r>
      </text>
    </comment>
    <comment ref="E96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Szent István 100</t>
        </r>
      </text>
    </comment>
    <comment ref="E102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Szent István 500</t>
        </r>
      </text>
    </comment>
    <comment ref="E113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Szent  István 920</t>
        </r>
      </text>
    </comment>
    <comment ref="E144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Szent István 300</t>
        </r>
      </text>
    </comment>
    <comment ref="E145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Szent István 100</t>
        </r>
      </text>
    </comment>
  </commentList>
</comments>
</file>

<file path=xl/comments4.xml><?xml version="1.0" encoding="utf-8"?>
<comments xmlns="http://schemas.openxmlformats.org/spreadsheetml/2006/main">
  <authors>
    <author>lantoso</author>
  </authors>
  <commentList>
    <comment ref="K10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Vezetői pótlék</t>
        </r>
      </text>
    </comment>
    <comment ref="K11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Területi pótlék</t>
        </r>
      </text>
    </comment>
    <comment ref="G13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Tavalyi 4 300 E Ft</t>
        </r>
      </text>
    </comment>
    <comment ref="G18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Becsült keret felmentés esetére</t>
        </r>
      </text>
    </comment>
    <comment ref="S18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Simon P végkielégítés</t>
        </r>
      </text>
    </comment>
    <comment ref="Q27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5 fő *200e/fő cafeteria</t>
        </r>
      </text>
    </comment>
    <comment ref="G41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Garantált bérmin kieg</t>
        </r>
      </text>
    </comment>
    <comment ref="K41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Keresetkiegészítés éves összege</t>
        </r>
      </text>
    </comment>
    <comment ref="Q41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Garantált bérmin kiegészítés</t>
        </r>
      </text>
    </comment>
    <comment ref="G47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10 millió Ft biztonsági tartalék, szétosztható!!!</t>
        </r>
      </text>
    </comment>
    <comment ref="S53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Simon P és Tóth V szabi megv, felmentési idő</t>
        </r>
      </text>
    </comment>
    <comment ref="G64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Tavalyi ei</t>
        </r>
      </text>
    </comment>
    <comment ref="K64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Tavalyi ei</t>
        </r>
      </text>
    </comment>
    <comment ref="G112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Ingatlan 2000, egyéb tárgyi eszk 1800, jármű 500</t>
        </r>
      </text>
    </comment>
    <comment ref="G119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becsült keretösszeg</t>
        </r>
      </text>
    </comment>
    <comment ref="G122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becsült</t>
        </r>
      </text>
    </comment>
    <comment ref="G124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Postaktg 8600, Takarítás, rovarirtás, mosatás, kéményseprés 4600, szemétszáll 450, Egyéb pl GL Outlet 20000</t>
        </r>
      </text>
    </comment>
    <comment ref="G150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Biztonsági tartalék 10 000, szétosztható!!!!</t>
        </r>
      </text>
    </comment>
    <comment ref="Y182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Közgyógy</t>
        </r>
      </text>
    </comment>
    <comment ref="Y183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Fogl helyettesítő 20761, rendszeres szoc, egészségkárosodott 7479</t>
        </r>
      </text>
    </comment>
    <comment ref="Y184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Lakásfenntartási kötelezően adandó</t>
        </r>
      </text>
    </comment>
    <comment ref="Y186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Óvodáztatási tám</t>
        </r>
      </text>
    </comment>
  </commentList>
</comments>
</file>

<file path=xl/comments5.xml><?xml version="1.0" encoding="utf-8"?>
<comments xmlns="http://schemas.openxmlformats.org/spreadsheetml/2006/main">
  <authors>
    <author>lantoso</author>
  </authors>
  <commentList>
    <comment ref="I9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Víg patika rezsi</t>
        </r>
      </text>
    </comment>
    <comment ref="G14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Csenger Zalán 6600, Kálnoki 1350</t>
        </r>
      </text>
    </comment>
    <comment ref="U15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11/2014. (I.30.) ÖK határozatnak megfelelően 1500/1,27 = 1181 E Ft növelés</t>
        </r>
      </text>
    </comment>
    <comment ref="AP20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251422*0,27 = 67884</t>
        </r>
      </text>
    </comment>
    <comment ref="AQ20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27150*0,27 = 7331</t>
        </r>
      </text>
    </comment>
    <comment ref="Q24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Első olvasatnál gyanúsan kevés előirányzat ellensúlyozása 120 millió Ft. Szét kell osztani!!!!</t>
        </r>
      </text>
    </comment>
    <comment ref="AZ30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Ápolási díj méltányossági alapon</t>
        </r>
      </text>
    </comment>
    <comment ref="AZ32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Adósságkezelés 4004, tüzelőtám 5928, lakbértám 88</t>
        </r>
      </text>
    </comment>
    <comment ref="AL41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státusz: 2655, vez pótl 480, járulék 130, utazási ktgtér 80 dologi 800 kutatás 1 000</t>
        </r>
      </text>
    </comment>
    <comment ref="AM46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Areté 260*12= 3120, Haraszty 125*12 = 1500, lévay 60*12 = 720, SF 60*12=720, Urgent 125*12 = 1500, össz = 7560</t>
        </r>
      </text>
    </comment>
    <comment ref="AN46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tavalyi, Városőrség 6175, Hegyőrség 475 = 6650</t>
        </r>
      </text>
    </comment>
    <comment ref="AO46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Áthúzódó 2013. évről</t>
        </r>
      </text>
    </comment>
    <comment ref="AP46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2013. évről áthúzódó nettó 100569 + 2014. évi nettó 150 853 419/2013 (XII.12.) ÖK hat alapján</t>
        </r>
      </text>
    </comment>
    <comment ref="AQ46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420/2013 (XII.12.) ÖK hat alapján</t>
        </r>
      </text>
    </comment>
    <comment ref="AR46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Turay Ida színház 3 M a 217/2013 (Vi.27.) ÖK hat és az E/164/2013 szerz alapján</t>
        </r>
      </text>
    </comment>
    <comment ref="AS46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 előirányzat</t>
        </r>
      </text>
    </comment>
    <comment ref="AT46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 előirányzat</t>
        </r>
      </text>
    </comment>
    <comment ref="AU46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</t>
        </r>
      </text>
    </comment>
    <comment ref="AV46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</t>
        </r>
      </text>
    </comment>
    <comment ref="AX46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</t>
        </r>
      </text>
    </comment>
    <comment ref="Q47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Visszafiz köt 3700 + műk céltart + felhalm céltart + egyéb általános tart 50000</t>
        </r>
      </text>
    </comment>
    <comment ref="G49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TSZT/HÉSZ áthúzódó 8821, Tó park tanulmányterv 4880, DBU pályázat előkészítése 417, Felsővölgyi úti területfelhaszn kérelem 598, Tükörhegy IV szabályozás 2000 + az áfák</t>
        </r>
      </text>
    </comment>
    <comment ref="G50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Értékvédelmi keret</t>
        </r>
      </text>
    </comment>
    <comment ref="BC57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ÉTV 46494 Helytörténeti 10472 belter csapvíz elvez 950 Óvoda u. felújítás tervezése 350 áthúzódó</t>
        </r>
      </text>
    </comment>
    <comment ref="BC58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Informatikai felújítás 2362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130" authorId="0">
      <text>
        <r>
          <rPr>
            <sz val="10"/>
            <rFont val="Liberation Serif;Times New Roma"/>
            <family val="1"/>
            <charset val="128"/>
          </rPr>
          <t xml:space="preserve">a gyógyszerek, gyógyszernek nem minősülő gyógyhatású készítmények, tápszerek, vér- és vérkészítmények, a gyógyászati diagnosztikai segédanyagok beszerzése után fizetett vételárat, </t>
        </r>
      </text>
    </comment>
    <comment ref="A131" authorId="0">
      <text>
        <r>
          <rPr>
            <sz val="10"/>
            <rFont val="Liberation Serif;Times New Roma"/>
            <family val="1"/>
            <charset val="128"/>
          </rPr>
          <t xml:space="preserve">a gyógyszer alapanyagként használt vegyszerek, valamint a szakmai - termelési, oktatási, kutatási - felhasználású vegyszerek beszerzése után fizetett vételárat, </t>
        </r>
      </text>
    </comment>
    <comment ref="A132" authorId="0">
      <text>
        <r>
          <rPr>
            <sz val="10"/>
            <rFont val="Liberation Serif;Times New Roma"/>
            <family val="1"/>
            <charset val="128"/>
          </rPr>
          <t xml:space="preserve">a tevékenységét segítő és a napi, rendszeres tájékoztatást szolgáló, papír alapú eszközök - így különösen könyvek, közlönyök, jogi információk, napilapok, folyóiratok -beszerzése, előfizetése után fizetett vételárat, </t>
        </r>
      </text>
    </comment>
    <comment ref="A134" authorId="0">
      <text>
        <r>
          <rPr>
            <sz val="10"/>
            <rFont val="Liberation Serif;Times New Roma"/>
            <family val="1"/>
            <charset val="128"/>
          </rPr>
          <t xml:space="preserve">az olyan informatikai eszközök, elektronikus könyvek, egyéb információhordozók beszerzése után fizetett vételárat, amelyek a tevékenységet legfeljebb egy évig szolgálják. </t>
        </r>
      </text>
    </comment>
    <comment ref="A137" authorId="0">
      <text>
        <r>
          <rPr>
            <sz val="10"/>
            <rFont val="Liberation Serif;Times New Roma"/>
            <family val="1"/>
            <charset val="128"/>
          </rPr>
          <t xml:space="preserve">az élelmiszerek, élelmezési nyersanyagok beszerzése után fizetett vételárat, </t>
        </r>
      </text>
    </comment>
    <comment ref="A141" authorId="0">
      <text>
        <r>
          <rPr>
            <sz val="10"/>
            <rFont val="Liberation Serif;Times New Roma"/>
            <family val="1"/>
            <charset val="128"/>
          </rPr>
          <t xml:space="preserve">az irodai papír és a nyomtatványok beszerzése után fizetett vételárat, továbbá minden, irodai célt szolgáló anyag - így különösen irattartó, tűzőgép, irodai kapcsok, naptár, ceruza, toll, radír, ragasztó, lyukasztó - beszerzése után fizetett vételárat, a nyomtatási, sokszorosítási feladatokkal összefüggő anyagok - így különösen festék, festékpatron - beszerzése után fizetett vételárat, </t>
        </r>
      </text>
    </comment>
    <comment ref="A145" authorId="0">
      <text>
        <r>
          <rPr>
            <sz val="10"/>
            <rFont val="Liberation Serif;Times New Roma"/>
            <family val="1"/>
            <charset val="128"/>
          </rPr>
          <t>a tüzelőanyagok, folyékony és gáznemű energiahordozók beszerzése után fizetett vételár</t>
        </r>
      </text>
    </comment>
    <comment ref="A146" authorId="0">
      <text>
        <r>
          <rPr>
            <sz val="10"/>
            <rFont val="Liberation Serif;Times New Roma"/>
            <family val="1"/>
            <charset val="128"/>
          </rPr>
          <t xml:space="preserve">járművekhez hajtó- és kenőanyagok beszerzése után fizetett vételárat, </t>
        </r>
      </text>
    </comment>
    <comment ref="A147" authorId="0">
      <text>
        <r>
          <rPr>
            <sz val="10"/>
            <rFont val="Liberation Serif;Times New Roma"/>
            <family val="1"/>
            <charset val="128"/>
          </rPr>
          <t>a ruházati költségtérítésnél nem szerepeltethető munka- és védőruha beszerzése után fizetett vételárat</t>
        </r>
      </text>
    </comment>
    <comment ref="A148" authorId="0">
      <text>
        <r>
          <rPr>
            <sz val="10"/>
            <rFont val="Liberation Serif;Times New Roma"/>
            <family val="1"/>
            <charset val="128"/>
          </rPr>
          <t xml:space="preserve">mindazon anyagok beszerzése után fizetett vételárat, amelyek nem számolhatók el szakmai anyag beszerzéseként. </t>
        </r>
      </text>
    </comment>
    <comment ref="A150" authorId="0">
      <text>
        <r>
          <rPr>
            <sz val="10"/>
            <rFont val="Arial"/>
            <family val="2"/>
          </rPr>
          <t>300 alap, 500 hang és fény, 450 lift olajcsere</t>
        </r>
      </text>
    </comment>
    <comment ref="A158" authorId="0">
      <text>
        <r>
          <rPr>
            <sz val="10"/>
            <rFont val="Liberation Serif;Times New Roma"/>
            <family val="1"/>
            <charset val="128"/>
          </rPr>
          <t xml:space="preserve">a számítógépes rendszer tervezésére, az erre vonatkozó tanácsadásra, számítógéprendszer, illetve adatfeldolgozó berendezések kiépítésére, helyszíni irányítására, üzemeltetésére - ide értve a számítógépek üzembe helyezését, szoftverek telepítését is, ha azok nem részei azok vételárának -, valamint az ezeket segítő tevékenységekre irányuló szolgáltatás után fizetett vételárat, </t>
        </r>
      </text>
    </comment>
    <comment ref="A159" authorId="0">
      <text>
        <r>
          <rPr>
            <sz val="10"/>
            <rFont val="Liberation Serif;Times New Roma"/>
            <family val="1"/>
            <charset val="128"/>
          </rPr>
          <t xml:space="preserve">a számítógépes programozásra, így különösen adatbázisok készítésére, szoftverek írására, meglévő alkalmazások módosítására és konfigurálására, ezek tesztelésére irányuló szolgáltatás után fizetett vételárat, </t>
        </r>
      </text>
    </comment>
    <comment ref="A161" authorId="0">
      <text>
        <r>
          <rPr>
            <sz val="10"/>
            <rFont val="Liberation Serif;Times New Roma"/>
            <family val="1"/>
            <charset val="128"/>
          </rPr>
          <t xml:space="preserve">a világhálón megjelenő oldalak, internetes portálok tervezésére, elkészítésére, működtetésére irányuló szolgáltatás után fizetett vételárat, </t>
        </r>
      </text>
    </comment>
    <comment ref="A162" authorId="0">
      <text>
        <r>
          <rPr>
            <sz val="10"/>
            <rFont val="Liberation Serif;Times New Roma"/>
            <family val="1"/>
            <charset val="128"/>
          </rPr>
          <t xml:space="preserve">az informatikai eszközök, pénzkiadó automaták (ATM), nem mechanikus működésű bolti kártyaleolvasó (POS) terminálok kölcsönzése, bérlete, lízingelése, javítása, karbantartása vételárát, díját, a szoftverek kölcsönzésének, bérletének, lízingelésének vételárát, a felsőoktatási és a köznevelési intézmények jogtiszta szoftver licenc biztosításával összefüggésben kifizetett összegeket, </t>
        </r>
      </text>
    </comment>
    <comment ref="A164" authorId="0">
      <text>
        <r>
          <rPr>
            <sz val="10"/>
            <rFont val="Liberation Serif;Times New Roma"/>
            <family val="1"/>
            <charset val="128"/>
          </rPr>
          <t xml:space="preserve">a számítógépek között megvalósuló adatátviteli célú távközlési kapcsolatok díjait, és </t>
        </r>
      </text>
    </comment>
    <comment ref="A165" authorId="0">
      <text>
        <r>
          <rPr>
            <sz val="10"/>
            <rFont val="Liberation Serif;Times New Roma"/>
            <family val="1"/>
            <charset val="128"/>
          </rPr>
          <t xml:space="preserve">z adatrögzítésre, adatfeldolgozásra, web-hosztingra irányuló szolgáltatás után fizetett vételárat, </t>
        </r>
      </text>
    </comment>
    <comment ref="A167" authorId="0">
      <text>
        <r>
          <rPr>
            <sz val="10"/>
            <rFont val="Liberation Serif;Times New Roma"/>
            <family val="1"/>
            <charset val="128"/>
          </rPr>
          <t xml:space="preserve">a számítógépes oktatásra irányuló szolgáltatás után fizetett vételárat. </t>
        </r>
      </text>
    </comment>
    <comment ref="A169" authorId="0">
      <text>
        <r>
          <rPr>
            <sz val="10"/>
            <rFont val="Liberation Serif;Times New Roma"/>
            <family val="1"/>
            <charset val="128"/>
          </rPr>
          <t>Ezen a rovaton kell elszámolni a nem számítógépek között megvalósuló, nem adatátviteli célú távközlési - így különösen telefon, telefax, telex, mobil - díjakat,</t>
        </r>
      </text>
    </comment>
    <comment ref="A174" authorId="0">
      <text>
        <r>
          <rPr>
            <sz val="10"/>
            <rFont val="Liberation Serif;Times New Roma"/>
            <family val="1"/>
            <charset val="128"/>
          </rPr>
          <t xml:space="preserve">mobil telefonokhoz vásárolt kártyák vételárát, továbbá a műsorvételi, műsorközlési jogdíjak kiadásait. </t>
        </r>
      </text>
    </comment>
    <comment ref="A181" authorId="0">
      <text>
        <r>
          <rPr>
            <sz val="10"/>
            <rFont val="Liberation Serif;Times New Roma"/>
            <family val="1"/>
            <charset val="128"/>
          </rPr>
          <t xml:space="preserve">Ezen a rovaton kell elszámolni az étkeztetésről szolgáltatás vásárlásával gondoskodó szervnél a konyha, étterem, büfé vagy más vendéglátóipari helyiség üzemeltetésére irányuló szolgáltatásért fizetett vételárat. </t>
        </r>
      </text>
    </comment>
    <comment ref="A183" authorId="0">
      <text>
        <r>
          <rPr>
            <sz val="10"/>
            <rFont val="Liberation Serif;Times New Roma"/>
            <family val="1"/>
            <charset val="128"/>
          </rPr>
          <t xml:space="preserve">a közszféra és a magánszféra együttműködésén (PPP) alapuló szerződéses konstrukció keretében megvalósuló létesítmény igénybevétele miatt fizetett szolgáltatási díjat - ide értve a szolgáltatási díjrészét képező egyéb költségeket (fűtés, világítás, takarítás stb.) is. </t>
        </r>
      </text>
    </comment>
    <comment ref="A184" authorId="0">
      <text>
        <r>
          <rPr>
            <sz val="10"/>
            <rFont val="Liberation Serif;Times New Roma"/>
            <family val="1"/>
            <charset val="128"/>
          </rPr>
          <t>Ezen a rovaton kell elszámolni az informatikai eszközök kivételével a bérelt, operatív lízing keretében használt immateriális javak, tárgyi eszközök bérleti és lízingdíjait,</t>
        </r>
      </text>
    </comment>
    <comment ref="F190" authorId="0">
      <text>
        <r>
          <rPr>
            <sz val="10"/>
            <rFont val="Arial"/>
            <family val="2"/>
          </rPr>
          <t>900 tisztasági festés</t>
        </r>
      </text>
    </comment>
    <comment ref="A208" authorId="0">
      <text>
        <r>
          <rPr>
            <sz val="10"/>
            <rFont val="Liberation Serif;Times New Roma"/>
            <family val="1"/>
            <charset val="128"/>
          </rPr>
          <t xml:space="preserve">Ezen a rovaton kell elszámolni az Szt. 3. § (4) bekezdés 1. pontja (közvetített szolgáltatás: a gazdálkodó által saját nevében vásárolt és a harmadik személlyel (a megrendelővel) kötött szerződés alapján, a szerződésben rögzített módon részben vagy egészben, de változatlan formában továbbértékesített (továbbszámlázott) szolgáltatás; közvetített szolgáltatásnál a gazdálkodó vevője és nyújtója is a szolgáltatásnak, a gazdálkodó a vásárolt szolgáltatást részben vagy egészben közvetíti úgy, hogy a megrendelővel kötött szerződésből a közvetítés lehetősége, a számlából a közvetítés ténye, vagyis az, hogy a gazdálkodó nemcsak a saját, hanem az általa vásárolt szolgáltatást is értékesíti változatlan formában, de nem feltétlenül változatlan áron, egyértelműen megállapítható;) szerinti közvetített szolgáltatások beszerzése után fizetett vételárat. </t>
        </r>
      </text>
    </comment>
    <comment ref="A216" authorId="0">
      <text>
        <r>
          <rPr>
            <sz val="10"/>
            <rFont val="Liberation Serif;Times New Roma"/>
            <family val="1"/>
            <charset val="128"/>
          </rPr>
          <t>azokat az egyébként jellemzően az államháztartás által kibocsátott komplex szolgáltatások - így különösen egészségügyi, oktatási (az informatikai oktatás kivételével), szociális, útüzemeltetési, környezetvédelmi szolgáltatások - vételárát, amelyeket államháztartáson kívüli szervezetek, személyek teljesítenek,</t>
        </r>
      </text>
    </comment>
    <comment ref="A219" authorId="0">
      <text>
        <r>
          <rPr>
            <sz val="10"/>
            <rFont val="Liberation Serif;Times New Roma"/>
            <family val="1"/>
            <charset val="128"/>
          </rPr>
          <t xml:space="preserve">más szellemi jellegű tevékenység szolgáltatásvásárlással történő ellátása miatt fizetett vételárakat, így különösen a tervezői, tanácsadói, ügyvédi, jogi segítői, fordító-, közjegyzői, közbeszerzési irodai díjakat. </t>
        </r>
      </text>
    </comment>
    <comment ref="F272" authorId="0">
      <text>
        <r>
          <rPr>
            <sz val="10"/>
            <rFont val="Arial"/>
            <family val="2"/>
          </rPr>
          <t>Emelőgépek kezelésének oktatása, Éva konferenciája</t>
        </r>
      </text>
    </comment>
    <comment ref="A279" authorId="0">
      <text>
        <r>
          <rPr>
            <sz val="10"/>
            <rFont val="Liberation Serif;Times New Roma"/>
            <family val="1"/>
            <charset val="128"/>
          </rPr>
          <t xml:space="preserve">foglalkoztatottakon és a választott tisztségviselőkön kívüli harmadik személyek utazásai költségeinek - így különösen sportolók, tudományos szakemberek hazai vagy nemzetközi rendezvényekre történő utazása - átvállalását vagy megtérítését, ha arra nem a harmadik személy részére biztosított támogatás kifizetésével kerül sor. </t>
        </r>
      </text>
    </comment>
    <comment ref="A281" authorId="0">
      <text>
        <r>
          <rPr>
            <sz val="10"/>
            <rFont val="Liberation Serif;Times New Roma"/>
            <family val="1"/>
            <charset val="128"/>
          </rPr>
          <t xml:space="preserve">Ezen a rovaton kell elszámolni a tevékenységet bemutató, népszerűsítő, és egyéb ismeretterjesztő célokat szolgáló reklám, marketing, propaganda, hirdetés, valamint a közvélemény-kutatások, médiafigyelési és médiaelemzési szolgáltatások beszerzése után fizetett vételárat. </t>
        </r>
      </text>
    </comment>
    <comment ref="A287" authorId="0">
      <text>
        <r>
          <rPr>
            <sz val="10"/>
            <rFont val="Liberation Serif;Times New Roma"/>
            <family val="1"/>
            <charset val="128"/>
          </rPr>
          <t xml:space="preserve">Ezen a rovaton kell elszámolni a dologi kiadások és - a K1107. Béren kívüli juttatások, K1113. Foglalkoztatottak egyéb személyi juttatásai, K123. Egyéb külső személyi juttatások rovatok esetén - a személyi juttatások teljesítése során a termék, szolgáltatás beszerzőjére áthárított előzetesen felszámított általános forgalmi adót. </t>
        </r>
      </text>
    </comment>
    <comment ref="A290" authorId="0">
      <text>
        <r>
          <rPr>
            <sz val="10"/>
            <rFont val="Liberation Serif;Times New Roma"/>
            <family val="1"/>
            <charset val="128"/>
          </rPr>
          <t xml:space="preserve">Ezen a rovaton kell elszámolni a termékek értékesítése, szolgáltatások nyújtása után az egyenes vagy fordított adózás szabályai szerint - a levonható általános forgalmi adót is figyelembe véve - megállapított általános forgalmi adó fizetési kötelezettséget. </t>
        </r>
      </text>
    </comment>
    <comment ref="A303" authorId="0">
      <text>
        <r>
          <rPr>
            <sz val="10"/>
            <rFont val="Liberation Serif;Times New Roma"/>
            <family val="1"/>
            <charset val="128"/>
          </rPr>
          <t xml:space="preserve">a tevékenység ellátással kapcsolatban felmerülő adó-, vám-, illeték és más adójellegű befizetések, hozzájárulások teljesítését, ha azokat nem más rovaton kell elszámolni, </t>
        </r>
      </text>
    </comment>
    <comment ref="A307" authorId="0">
      <text>
        <r>
          <rPr>
            <sz val="10"/>
            <rFont val="Liberation Serif;Times New Roma"/>
            <family val="1"/>
          </rPr>
          <t xml:space="preserve">az adóhatóság által kiszabott szankciókat, a fizetett késedelmi és önellenőrzési pótlékokat, bírságokat, a perköltséget, a követelések vásárlására fordított kiadásokat, az OEP felé megtérített kiadásokat. </t>
        </r>
      </text>
    </comment>
    <comment ref="A308" authorId="0">
      <text>
        <r>
          <rPr>
            <sz val="10"/>
            <rFont val="Liberation Serif;Times New Roma"/>
            <family val="1"/>
            <charset val="128"/>
          </rPr>
          <t xml:space="preserve">a más rovaton nem szerepeltethető dologi jellegű kiadásokat, így különösen a szerződés megerősítésével, a szerződésszegéssel kapcsolatos kiadásokat (például foglaló, kötbér, jótállás, szavatosság, késedelmi kamat, a késedelmes vagy elmaradt teljesítés miatti kártérítés), a szerződésen kívüli károkozásért, személyiségi, dologi vagy más jog megsértéséért, jogalap nélküli gazdagodásért fizetett összegeket a K43. Pénzbeli kárpótlások, kártérítések rovaton elszámolandó kiadások kivételével, </t>
        </r>
      </text>
    </comment>
    <comment ref="A317" authorId="0">
      <text>
        <r>
          <rPr>
            <sz val="10"/>
            <rFont val="Liberation Serif;Times New Roma"/>
            <family val="1"/>
            <charset val="128"/>
          </rPr>
          <t xml:space="preserve">Ezen a rovaton kell elszámolni az immateriális javak vételárát. </t>
        </r>
      </text>
    </comment>
    <comment ref="F317" authorId="0">
      <text>
        <r>
          <rPr>
            <sz val="10"/>
            <rFont val="Arial"/>
            <family val="2"/>
          </rPr>
          <t>CorelDraw a grafikai feladatok miatt (plakátok)</t>
        </r>
      </text>
    </comment>
    <comment ref="A318" authorId="0">
      <text>
        <r>
          <rPr>
            <sz val="10"/>
            <rFont val="Liberation Serif;Times New Roma"/>
            <family val="1"/>
            <charset val="128"/>
          </rPr>
          <t xml:space="preserve">Ezen a rovaton kell elszámolni az ingatlanok és az ingatlanhoz kapcsolódó vagyoni értékű jogok bekerülési értékébe beszámító kiadásokat. </t>
        </r>
      </text>
    </comment>
    <comment ref="A319" authorId="0">
      <text>
        <r>
          <rPr>
            <sz val="10"/>
            <rFont val="Liberation Serif;Times New Roma"/>
            <family val="1"/>
            <charset val="128"/>
          </rPr>
          <t xml:space="preserve">Ezen a rovaton kell elszámolni a befektetett eszköznek minősülő informatikai eszközök, nem mechanikus működésű bolti kártyaleolvasó (POS) terminálok bekerülési értékébe beszámító kiadásokat. </t>
        </r>
      </text>
    </comment>
    <comment ref="A320" authorId="0">
      <text>
        <r>
          <rPr>
            <sz val="10"/>
            <rFont val="Liberation Serif;Times New Roma"/>
            <family val="1"/>
            <charset val="128"/>
          </rPr>
          <t xml:space="preserve">Ezen a rovaton kell elszámolni az ingatlannak és informatikai eszköznek nem minősülő tárgyi eszközök bekerülési értékébe beszámító kiadásokat. </t>
        </r>
      </text>
    </comment>
    <comment ref="F320" authorId="0">
      <text>
        <r>
          <rPr>
            <sz val="10"/>
            <rFont val="Arial"/>
            <family val="2"/>
          </rPr>
          <t>1960 szünetmentes tápegység akkumulátorainak cseréje, 190 sörgarnitúrák, 19 hordozható CD lejátszók, 97 1db számítógép, 97 kávéfőző rendezvényekhez, 18 mikrosütő, 8 vízforraló</t>
        </r>
      </text>
    </comment>
    <comment ref="A326" authorId="0">
      <text>
        <r>
          <rPr>
            <sz val="10"/>
            <rFont val="Liberation Serif;Times New Roma"/>
            <family val="1"/>
            <charset val="128"/>
          </rPr>
          <t xml:space="preserve">Ezen a rovaton kell elszámolni az ingatlanok értékét növelő felújítások kiadásait. </t>
        </r>
      </text>
    </comment>
    <comment ref="A327" authorId="0">
      <text>
        <r>
          <rPr>
            <sz val="10"/>
            <rFont val="Liberation Serif;Times New Roma"/>
            <family val="1"/>
            <charset val="128"/>
          </rPr>
          <t xml:space="preserve">Ezen a rovaton kell elszámolni az informatikai eszközök értékét növelő felújítások kiadásait. </t>
        </r>
      </text>
    </comment>
    <comment ref="A328" authorId="0">
      <text>
        <r>
          <rPr>
            <sz val="10"/>
            <rFont val="Liberation Serif;Times New Roma"/>
            <family val="1"/>
            <charset val="128"/>
          </rPr>
          <t xml:space="preserve">Ezen a rovaton kell elszámolni az ingatlannak és informatikai eszköznek nem minősülő tárgyi eszközök értékét növelő felújítások kiadásait. </t>
        </r>
      </text>
    </comment>
  </commentList>
</comments>
</file>

<file path=xl/comments7.xml><?xml version="1.0" encoding="utf-8"?>
<comments xmlns="http://schemas.openxmlformats.org/spreadsheetml/2006/main">
  <authors>
    <author>lantoso</author>
  </authors>
  <commentList>
    <comment ref="E145" authorId="0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Kis értékű + fűkasza + mosógép 142 nettó + 38 áfa</t>
        </r>
      </text>
    </comment>
  </commentList>
</comments>
</file>

<file path=xl/sharedStrings.xml><?xml version="1.0" encoding="utf-8"?>
<sst xmlns="http://schemas.openxmlformats.org/spreadsheetml/2006/main" count="5892" uniqueCount="1873">
  <si>
    <t>Adatok ezer forintban</t>
  </si>
  <si>
    <t>I.</t>
  </si>
  <si>
    <t>MŰKÖDÉSI KÖLTSÉGVETÉSI BEVÉTELEK</t>
  </si>
  <si>
    <t>1.</t>
  </si>
  <si>
    <t>2.</t>
  </si>
  <si>
    <t>3.</t>
  </si>
  <si>
    <t>4.</t>
  </si>
  <si>
    <t>Működési célú támogatások államháztartáson belülről</t>
  </si>
  <si>
    <t>A helyi önkormányzatok működésének általános támogatása</t>
  </si>
  <si>
    <t xml:space="preserve"> Egyes köznevelési feladatok támogatása</t>
  </si>
  <si>
    <t>Szociális, gyermekjóléti és gyermekétkeztetési feladatok támogatása</t>
  </si>
  <si>
    <t>Kulturális feladatok támogatása</t>
  </si>
  <si>
    <t>Működési célú központosított előirányzatok</t>
  </si>
  <si>
    <t>II.</t>
  </si>
  <si>
    <t>FELHALMOZÁSI KÖLTSÉGVETÉSI BEVÉTELEK</t>
  </si>
  <si>
    <t>1.1. Önkormányzatok működési támogatásai</t>
  </si>
  <si>
    <t>Helyi önkormányzatok kiegészítő támogatásai</t>
  </si>
  <si>
    <t>1.2. Elvonások és befizetések bevételei</t>
  </si>
  <si>
    <t>Felhalmozási célú támogatások államháztartáson belülről</t>
  </si>
  <si>
    <t>1.1. Felhalmozási célú önkormányzati támogatások</t>
  </si>
  <si>
    <t>Közhatalmi bevételek</t>
  </si>
  <si>
    <t>2.1. Vagyoni típusú adók</t>
  </si>
  <si>
    <t>Építményadó</t>
  </si>
  <si>
    <t>Telekadó</t>
  </si>
  <si>
    <t>2.2. Termékek és szolgáltatások adói</t>
  </si>
  <si>
    <t>Helyi iparűzési adó</t>
  </si>
  <si>
    <t>Talajterhelési díj</t>
  </si>
  <si>
    <t>Egyéb adóbevételek</t>
  </si>
  <si>
    <t>Igazgatási szolgáltatási díjak</t>
  </si>
  <si>
    <t>Környezetvédelmi bírság</t>
  </si>
  <si>
    <t>Adóbírság</t>
  </si>
  <si>
    <t>Pótlékok, közhatalmi tevékenység egyéb bevételei</t>
  </si>
  <si>
    <t>Működési bevételek</t>
  </si>
  <si>
    <t>3.2. Szolgáltatások ellenértéke</t>
  </si>
  <si>
    <t>3.4. Tulajdonosi bevételek</t>
  </si>
  <si>
    <t>3.5. Ellátási díjak</t>
  </si>
  <si>
    <t>3.6. Kiszámlázott általános forgalmi adó</t>
  </si>
  <si>
    <t>3.7. Általános forgalmi adó visszatérítése</t>
  </si>
  <si>
    <t>3.8. Kamatbevételek</t>
  </si>
  <si>
    <t>3.9. Egyéb működési bevételek</t>
  </si>
  <si>
    <t>Felhalmozási bevételek</t>
  </si>
  <si>
    <t>Működési célú átvett pénzeszközök</t>
  </si>
  <si>
    <t>4.2. Egyéb működési célú átvett pénzeszközök</t>
  </si>
  <si>
    <t>Felhalmozási célú átvett pénzeszközök</t>
  </si>
  <si>
    <t>III.</t>
  </si>
  <si>
    <t>FINANSZÍROZÁSI BEVÉTELEK</t>
  </si>
  <si>
    <t>Belföldi finanszírozás bevételei</t>
  </si>
  <si>
    <t>1.1. Hitel-, kölcsönfelvétel államháztartáson kívülről</t>
  </si>
  <si>
    <t>Hosszú lejáratú hitel, kölcsön felvétele</t>
  </si>
  <si>
    <t>Rövid lejáratú hitel, kölcsön felvétele</t>
  </si>
  <si>
    <t>1.3. Maradvány igénybevétele</t>
  </si>
  <si>
    <t>1.4. Irányító szervi támogatás</t>
  </si>
  <si>
    <t>1.5. Betétek megszüntetése</t>
  </si>
  <si>
    <t>Külföldi finanszírozás bevételei</t>
  </si>
  <si>
    <t>2.1. Külföldi értékpapírók bevételei</t>
  </si>
  <si>
    <t>2.2. Külföldi hitel, kölcsön felvétele</t>
  </si>
  <si>
    <t>TÁRGYÉVI BEVÉTELEK ÖSSZESEN</t>
  </si>
  <si>
    <t>2014. évi eredeti előirányzat</t>
  </si>
  <si>
    <t>Megnevezés</t>
  </si>
  <si>
    <t>Bevételek</t>
  </si>
  <si>
    <t>Sor-szám</t>
  </si>
  <si>
    <t>2013. évi módosított előirányzat</t>
  </si>
  <si>
    <t>2.1. Immateriális javak értékesítése</t>
  </si>
  <si>
    <t xml:space="preserve">2.2. Ingatlanok értékesítése </t>
  </si>
  <si>
    <t>2.3. Egyéb tárgyi eszközök értékesítése</t>
  </si>
  <si>
    <t>2.4. Részesedések értékesítése</t>
  </si>
  <si>
    <t>Egyéb működési célú központi támogatás</t>
  </si>
  <si>
    <t>Lakbér</t>
  </si>
  <si>
    <t>Közterület használat</t>
  </si>
  <si>
    <t>ÉTV bérleti díj</t>
  </si>
  <si>
    <t>Egyéb bérleti díj</t>
  </si>
  <si>
    <t>Egyéb szolgáltatások bevétele</t>
  </si>
  <si>
    <t>Továbbszámlázott szolgáltatások bevétele</t>
  </si>
  <si>
    <t>Idegenforgalmi adó</t>
  </si>
  <si>
    <t>Önkormányzati lakás értékesítés</t>
  </si>
  <si>
    <t>Telekértékesítés</t>
  </si>
  <si>
    <t>Egyéb ingatlan értékesítés</t>
  </si>
  <si>
    <t>Társadalombiztosítás pénzügyi alapjaiból (OEP támogatás)</t>
  </si>
  <si>
    <t>Nemzetiségi önkormányzattól</t>
  </si>
  <si>
    <t>3.2. Egyéb felhalmozási célú átvett pénzeszközök</t>
  </si>
  <si>
    <t>Lakáscélú hitel visszafizetése</t>
  </si>
  <si>
    <t>Annahegyi közműberuházás I. ütem</t>
  </si>
  <si>
    <t>Annahegyi közműberuházás II. ütem</t>
  </si>
  <si>
    <t>Felsővölgyi úti szennyvízcsatorna csatlakozás</t>
  </si>
  <si>
    <t>Szőlő utcai szennyvízcsatorna csatlakozás</t>
  </si>
  <si>
    <t>ÉTV alapdíj</t>
  </si>
  <si>
    <t>Munkáltatói hitel visszafizetése</t>
  </si>
  <si>
    <t>2013. évi eredeti előirányzat</t>
  </si>
  <si>
    <t>1.1. Igazgatási szolgáltatási díjak</t>
  </si>
  <si>
    <t>1.2. Egyéb közhatalmi bevételek</t>
  </si>
  <si>
    <t>2.2. Szolgáltatások ellenértéke</t>
  </si>
  <si>
    <t>2.3. Kiszámlázott általános forgalmi adó</t>
  </si>
  <si>
    <t>2.4. Általános forgalmi adó visszatérítése</t>
  </si>
  <si>
    <t>2.5. Kamatbevételek</t>
  </si>
  <si>
    <t>2.6. Egyéb működési bevételek</t>
  </si>
  <si>
    <t>3.1. Egyéb működési célú átvett pénzeszközök</t>
  </si>
  <si>
    <t>2.2. Egyéb tárgyi eszközök értékesítése</t>
  </si>
  <si>
    <t>3.1. Egyéb felhalmozási célú átvett pénzeszközök</t>
  </si>
  <si>
    <t>1.1. Maradvány igénybevétele</t>
  </si>
  <si>
    <t>1.2. Irányító szervi támogatás</t>
  </si>
  <si>
    <t>KÖLTSÉGVETÉSI BEVÉTELEK ÖSSZESEN</t>
  </si>
  <si>
    <t>MŰKÖDÉSI KÖLTSÉGVETÉSI KIADÁSOK</t>
  </si>
  <si>
    <t>Személyi juttatások</t>
  </si>
  <si>
    <t>Munkaadókat terhelő járulékok és szociális hozzájárulási adó</t>
  </si>
  <si>
    <t>Dologi kiadások</t>
  </si>
  <si>
    <t>Ellátottak pénzbeli juttatásai</t>
  </si>
  <si>
    <t>5.</t>
  </si>
  <si>
    <t>Egyéb működési célú kiadások</t>
  </si>
  <si>
    <t>FELHALMOZÁSI KÖLTSÉGVETÉSI KIADÁSOK</t>
  </si>
  <si>
    <t>Intézményi beruházások</t>
  </si>
  <si>
    <t>Felújítások</t>
  </si>
  <si>
    <t>Egyéb felhalmozási célú kiadások</t>
  </si>
  <si>
    <t>TÁRGYÉVI KIADÁSOK ÖSSZESEN</t>
  </si>
  <si>
    <t>Engedélyezett létszámkeret</t>
  </si>
  <si>
    <t>Közfoglalkoztatottak engedélyezett létszáma</t>
  </si>
  <si>
    <t>1.2. Szolgáltatások ellenértéke</t>
  </si>
  <si>
    <t>Walla József Óvoda</t>
  </si>
  <si>
    <t>Munkácsy Mihály Művelődési Ház</t>
  </si>
  <si>
    <t>Segítő Kéz Szolgálat</t>
  </si>
  <si>
    <t>MŰKÖDÉSI KÖLTSÉGVETÉSI KIADÁS</t>
  </si>
  <si>
    <t>FELHALMOZÁSI KÖLTSÉGVETÉSI KIADÁS</t>
  </si>
  <si>
    <t>Általános tartalék</t>
  </si>
  <si>
    <t>KÖLTSÉGVETÉSI KIADÁSOK ÖSSZESEN</t>
  </si>
  <si>
    <t>FINANSZÍROZÁSI KIADÁSOK</t>
  </si>
  <si>
    <t>Belföldi finanszírozás kiadásai</t>
  </si>
  <si>
    <t>Hosszú lejáratú hitel, kölcsön törlesztése</t>
  </si>
  <si>
    <t>Rövid lejáratú hitel, kölcsön törlesztése</t>
  </si>
  <si>
    <t>5.2. Egyéb működési célú támogatások államháztartáson belülre</t>
  </si>
  <si>
    <t>5.3.  Egyéb működési célú támogatások államháztartáson kívülre</t>
  </si>
  <si>
    <t>5.4. Tartalékok</t>
  </si>
  <si>
    <t>Beruházások</t>
  </si>
  <si>
    <t>3.3. Lakástámogatás</t>
  </si>
  <si>
    <t>3.4. Felhalmozási célú támogatások államháztartáson belülre</t>
  </si>
  <si>
    <t>3.5. Felhalmozási célú támogatások államháztartáson kívülre</t>
  </si>
  <si>
    <t>Külföldi finanszírozás kiadásai</t>
  </si>
  <si>
    <t>2.2. Külföldi hitel, kölcsön törlesztése</t>
  </si>
  <si>
    <t>2.1. Külföldi értékpapírok bevételei</t>
  </si>
  <si>
    <t>2.1. Külföldi értékpapírok kiadásai</t>
  </si>
  <si>
    <t>Kiadások</t>
  </si>
  <si>
    <t>1.1. Hitel-, kölcsöntörlesztés államháztartáson kívülre</t>
  </si>
  <si>
    <t>1.4. Pénzügyi lízing kiadásai</t>
  </si>
  <si>
    <t>1.3. Irányító szervi támogatás folyósítása</t>
  </si>
  <si>
    <t>1.5. Pénzügyi lízing kiadásai</t>
  </si>
  <si>
    <t>MŰKÖDÉSI KÖLTSÉGVETÉSI HIÁNY</t>
  </si>
  <si>
    <t>MŰKÖDÉSI KÖLTSÉGVETÉSI TÖBBLET</t>
  </si>
  <si>
    <t>FELHALMOZÁSI KÖLTSÉGVETÉSI HIÁNY</t>
  </si>
  <si>
    <t>FELHALMOZÁSI KÖLTSÉGVETÉSI TÖBBLET</t>
  </si>
  <si>
    <t>MŰKÖDÉSI FINANSZÍROZÁSI BEVÉTELEK</t>
  </si>
  <si>
    <t>Maradvány igénybevétele</t>
  </si>
  <si>
    <t>MŰKÖDÉSI FINANSZÍROZÁSI KIADÁSOK</t>
  </si>
  <si>
    <t>FELHALMOZÁSI FINANSZÍROZÁSI BEVÉTELEK</t>
  </si>
  <si>
    <t>FELHALMOZÁSI FINANSZÍROZÁSI KIADÁSOK</t>
  </si>
  <si>
    <t>Cím/ alcím</t>
  </si>
  <si>
    <t>KÖTELEZŐ FELADATOK</t>
  </si>
  <si>
    <t>Egyéb feladatok</t>
  </si>
  <si>
    <t>ÖNKÉNT VÁLLALT FELADATOK</t>
  </si>
  <si>
    <t>ÖNKORMÁNYZAT DOLOGI KIADÁSAI FELADATONKÉNT</t>
  </si>
  <si>
    <t>2011. e. ei.</t>
  </si>
  <si>
    <t>Összesen:</t>
  </si>
  <si>
    <t>1/1</t>
  </si>
  <si>
    <t>ZED kártérítés (8414031)</t>
  </si>
  <si>
    <t>Kerékpár koncepció (8414031)</t>
  </si>
  <si>
    <t>Kaposvári Egyetem együttműködés terapeuta képzés (8414031)</t>
  </si>
  <si>
    <t>Kulturális Fesztivál és Városmarketing Konferencia (8414031)</t>
  </si>
  <si>
    <t>Közvilágítás (8414021)</t>
  </si>
  <si>
    <t>Járóbeteg ellátás - nőgyógyászat (8622401)</t>
  </si>
  <si>
    <t>Ifjúság és egészségügyi gondozás - védőnői szolgálat (8690421)</t>
  </si>
  <si>
    <t>Választás, népszavazás (84111)</t>
  </si>
  <si>
    <t>Egyéb településüzemeltetési feladatok (8414031)</t>
  </si>
  <si>
    <t>Közparkok kialakítása, fenntartása (8130001)</t>
  </si>
  <si>
    <t>Egészségügyi alapellátás (8621011)</t>
  </si>
  <si>
    <t>Helyi közösségi közlekedés biztosítása (8413761)</t>
  </si>
  <si>
    <t>Településfejlesztés, településrendezés (8413831)</t>
  </si>
  <si>
    <t>Ifjúsági önkormányzat (8902161)</t>
  </si>
  <si>
    <t>Elhelyezés családok átmeneti otthonában</t>
  </si>
  <si>
    <t>Fogyatékos személyek nappali ellátása (8414031)</t>
  </si>
  <si>
    <t>Gyermekek átmeneti otthona</t>
  </si>
  <si>
    <t>Duna Szimfonikus Zenekar hangversenysorozat (8414031)</t>
  </si>
  <si>
    <t>Bursa Hungarica felsőoktatási ösztöndíj (8414031)</t>
  </si>
  <si>
    <t>Civil koncepció kidolgozása (8414031)</t>
  </si>
  <si>
    <t>Kábítószerellenes Egyeztető Fórum</t>
  </si>
  <si>
    <t>Korai fejlesztés, gondozás (dr. Vass Miklós Alapítvány)</t>
  </si>
  <si>
    <t>Könyvvizsgálat</t>
  </si>
  <si>
    <t>Közterület-felügyelet</t>
  </si>
  <si>
    <t>Lovas járőrszolgálat</t>
  </si>
  <si>
    <t>Módszertani Központ működése</t>
  </si>
  <si>
    <t>Természetbeni közlekedési támogatás (betegszállítás)</t>
  </si>
  <si>
    <t>Tervtanács működése</t>
  </si>
  <si>
    <t>Törökbálinti Hírlevél</t>
  </si>
  <si>
    <t>Testületi ülés videofelvétele, médiaszolgáltatás</t>
  </si>
  <si>
    <t>Cím</t>
  </si>
  <si>
    <t>Alcím</t>
  </si>
  <si>
    <t>1</t>
  </si>
  <si>
    <t>2</t>
  </si>
  <si>
    <t>Polgármesteri Hivatal</t>
  </si>
  <si>
    <t>Városgondnokság</t>
  </si>
  <si>
    <t>3</t>
  </si>
  <si>
    <t>4</t>
  </si>
  <si>
    <t>5</t>
  </si>
  <si>
    <t>Volf György Könyvtár és Helytörténeti Gyűjtemény</t>
  </si>
  <si>
    <t>6</t>
  </si>
  <si>
    <t>Önkormányzat</t>
  </si>
  <si>
    <t>Törökbálinti Nyitnikék Óvoda</t>
  </si>
  <si>
    <t>Törökbálinti Bóbita Óvoda</t>
  </si>
  <si>
    <t>Kiadási előirányzat</t>
  </si>
  <si>
    <t>Bevételi előirányzat</t>
  </si>
  <si>
    <t>Központi támogatás</t>
  </si>
  <si>
    <t>Saját bevétel</t>
  </si>
  <si>
    <t>Önkormányzat hozzájárulása</t>
  </si>
  <si>
    <t>ÖNKOMÁNYZAT</t>
  </si>
  <si>
    <t>1/2/05</t>
  </si>
  <si>
    <t>Kaposvári Egyetem Módszertani Kp. dologi (122005)</t>
  </si>
  <si>
    <t>Háztartások működési célú támogatása (122040)</t>
  </si>
  <si>
    <t>Összesen</t>
  </si>
  <si>
    <t>Dologi kiadás</t>
  </si>
  <si>
    <t>Rovatkód</t>
  </si>
  <si>
    <t>2014. évi előirányzat</t>
  </si>
  <si>
    <t>Kötelező összesen</t>
  </si>
  <si>
    <t>Önként vállalt össz</t>
  </si>
  <si>
    <t>Településrendezés 121001</t>
  </si>
  <si>
    <t>Közparkok 121002</t>
  </si>
  <si>
    <t>Eü alapellátás 121004</t>
  </si>
  <si>
    <t>Védőnők 121005</t>
  </si>
  <si>
    <t>Fogy sz nappali ell 121006</t>
  </si>
  <si>
    <t>Választás 121007</t>
  </si>
  <si>
    <t>Helyiséggazd 121008</t>
  </si>
  <si>
    <t>Környezet-eü 121009</t>
  </si>
  <si>
    <t>H körny és term véd 121010</t>
  </si>
  <si>
    <t>K311</t>
  </si>
  <si>
    <t>Szakmai anyagok beszerzése</t>
  </si>
  <si>
    <t>K312</t>
  </si>
  <si>
    <t>Üzemeltetési anyagok beszerzése</t>
  </si>
  <si>
    <t>K313</t>
  </si>
  <si>
    <t>Árubeszerzés</t>
  </si>
  <si>
    <t>K31</t>
  </si>
  <si>
    <t>Készletbeszerzés</t>
  </si>
  <si>
    <t>K321</t>
  </si>
  <si>
    <t>Informatikai szolgáltatások igénybevétele</t>
  </si>
  <si>
    <t>K322</t>
  </si>
  <si>
    <t>Egyéb kommunikációs szolgáltatások</t>
  </si>
  <si>
    <t>K32</t>
  </si>
  <si>
    <t>Kommunikációs szolgáltatások</t>
  </si>
  <si>
    <t>K331</t>
  </si>
  <si>
    <t>Közüzemi díjak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</si>
  <si>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</si>
  <si>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</si>
  <si>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</si>
  <si>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</si>
  <si>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</si>
  <si>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</si>
  <si>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</si>
  <si>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</si>
  <si>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</si>
  <si>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>Szakmai tevékenységet segítő szolgáltatások</t>
  </si>
  <si>
    <t>K337</t>
  </si>
  <si>
    <t>Egyéb szolgáltatások</t>
  </si>
  <si>
    <t>K33</t>
  </si>
  <si>
    <t>Szolgáltatási kiadások</t>
  </si>
  <si>
    <t>K341</t>
  </si>
  <si>
    <t>Kiküldetések kiadásai</t>
  </si>
  <si>
    <t>K342</t>
  </si>
  <si>
    <t>Reklám- és propagandakiadások</t>
  </si>
  <si>
    <t>K34</t>
  </si>
  <si>
    <t>Kiküldetések, reklám-, propaganda kiadások</t>
  </si>
  <si>
    <t>K351</t>
  </si>
  <si>
    <t>Működési célú előzetesen felszámított általános forgalmi adó</t>
  </si>
  <si>
    <t>K352</t>
  </si>
  <si>
    <t>Fizetendő általános forgalmi adó</t>
  </si>
  <si>
    <t>K353</t>
  </si>
  <si>
    <t>Kamatkiadások</t>
  </si>
  <si>
    <t>K354</t>
  </si>
  <si>
    <t>Egyéb pénzügyi műveletek kiadásai</t>
  </si>
  <si>
    <t>K355</t>
  </si>
  <si>
    <t>Egyéb dologi kiadások</t>
  </si>
  <si>
    <t>K35</t>
  </si>
  <si>
    <t>Különféle befizetések, egyéb dologi kiadások</t>
  </si>
  <si>
    <t>K3</t>
  </si>
  <si>
    <t>Dologi kiadások összesen</t>
  </si>
  <si>
    <t>K41</t>
  </si>
  <si>
    <t>Társadalombiztosítási ellátások</t>
  </si>
  <si>
    <t>K42</t>
  </si>
  <si>
    <t>Családi támogatások</t>
  </si>
  <si>
    <t>K43</t>
  </si>
  <si>
    <t>Pénzbeli kárpótlások, kártérítések</t>
  </si>
  <si>
    <t>K44</t>
  </si>
  <si>
    <t>Betegséggel kapcsolatos (nem társadalombiztosítási) ellátások</t>
  </si>
  <si>
    <t>K45</t>
  </si>
  <si>
    <t>Foglalkoztatással, munkanélküliséggel kapcsolatos ellátások</t>
  </si>
  <si>
    <t>K46</t>
  </si>
  <si>
    <t>Lakhatással kapcsolatos ellátások</t>
  </si>
  <si>
    <t>K47</t>
  </si>
  <si>
    <t>Intézményi ellátottak pénzbeli juttatásai</t>
  </si>
  <si>
    <t>K48</t>
  </si>
  <si>
    <t>Egyéb nem intézményi ellátások</t>
  </si>
  <si>
    <t>K4</t>
  </si>
  <si>
    <t>K501</t>
  </si>
  <si>
    <t>Nemzetközi kötelezettségek</t>
  </si>
  <si>
    <t>K502</t>
  </si>
  <si>
    <t>Elvonások és befizetések</t>
  </si>
  <si>
    <t>K503</t>
  </si>
  <si>
    <t>Működési célú garancia- és kezességvállalás áht belülre</t>
  </si>
  <si>
    <t>K504</t>
  </si>
  <si>
    <t>Működési célú visszatérítendő kölcsön nyújtás áht belülre</t>
  </si>
  <si>
    <t>K505</t>
  </si>
  <si>
    <t>Működési célú visszatérítendő kölcsöntörlesztés áht belülre</t>
  </si>
  <si>
    <t>K506</t>
  </si>
  <si>
    <t>Egyéb működési célú támogatások államháztartáson belülre</t>
  </si>
  <si>
    <t>K507</t>
  </si>
  <si>
    <t>Működési célú garancia- és kezességvállalás áht kívülre</t>
  </si>
  <si>
    <t>K508</t>
  </si>
  <si>
    <t>Működési célú visszatérítendő kölcsön nyújtás áht kívülre</t>
  </si>
  <si>
    <t>K509</t>
  </si>
  <si>
    <t>Árkiegészítések, ártámogatások</t>
  </si>
  <si>
    <t>K510</t>
  </si>
  <si>
    <t>Kamattámogatások</t>
  </si>
  <si>
    <t>K511</t>
  </si>
  <si>
    <t>Egyéb működési célú támogatások államháztartáson kívülre</t>
  </si>
  <si>
    <t>K512</t>
  </si>
  <si>
    <t>Tartalékok</t>
  </si>
  <si>
    <t>K5</t>
  </si>
  <si>
    <t>K61</t>
  </si>
  <si>
    <t>Immateriális javak beszerzése, létesítése</t>
  </si>
  <si>
    <t>K62</t>
  </si>
  <si>
    <t>Ingatlanok beszerzése, létesítése</t>
  </si>
  <si>
    <t>K63</t>
  </si>
  <si>
    <t>Informatikai eszközök beszerzése, létesítése</t>
  </si>
  <si>
    <t>K64</t>
  </si>
  <si>
    <t>Egyéb tárgyi eszközök beszerzése, létesítése</t>
  </si>
  <si>
    <t>K65</t>
  </si>
  <si>
    <t>Részesedések beszerzése</t>
  </si>
  <si>
    <t>K66</t>
  </si>
  <si>
    <t>Meglévő részesedések növeléséhez kapcsolódó kiadások</t>
  </si>
  <si>
    <t>K67</t>
  </si>
  <si>
    <t>Beruházási célú előzetesen felszámított általános forgalmi adó</t>
  </si>
  <si>
    <t>K6</t>
  </si>
  <si>
    <t>K71</t>
  </si>
  <si>
    <t>Ingatlanok felújítása</t>
  </si>
  <si>
    <t>K72</t>
  </si>
  <si>
    <t>Informatikai eszközök felújítása</t>
  </si>
  <si>
    <t>K73</t>
  </si>
  <si>
    <t>Egyéb tárgyi eszközök felújítása</t>
  </si>
  <si>
    <t>K74</t>
  </si>
  <si>
    <t>Felújítási célú előzetesen felszámított általános forgalmi adó</t>
  </si>
  <si>
    <t>K7</t>
  </si>
  <si>
    <t>K81</t>
  </si>
  <si>
    <t>Felhalmozási célú garancia- és kezességváll áht belül</t>
  </si>
  <si>
    <t>K82</t>
  </si>
  <si>
    <t>Felhalmozási célú kölcsön nyújtás áht belül</t>
  </si>
  <si>
    <t>K83</t>
  </si>
  <si>
    <t>Felhalmozási célú kölcsönök törlesztése áht belül</t>
  </si>
  <si>
    <t>K84</t>
  </si>
  <si>
    <t>Egyéb felhalmozási célú támogatások államháztartáson belülre</t>
  </si>
  <si>
    <t>K85</t>
  </si>
  <si>
    <t>Felhalmozási célú garancia- és kezességváll áht kívül</t>
  </si>
  <si>
    <t>K86</t>
  </si>
  <si>
    <t>Felhalmozási célú kölcsönök nyújtása államháztartáson kívülre</t>
  </si>
  <si>
    <t>K87</t>
  </si>
  <si>
    <t>Lakástámogatás</t>
  </si>
  <si>
    <t>K88</t>
  </si>
  <si>
    <t>Egyéb felhalmozási célú támogatások államháztartáson kívülre</t>
  </si>
  <si>
    <t>K8</t>
  </si>
  <si>
    <t>K9111</t>
  </si>
  <si>
    <t>Hosszú lejáratú hitelek, kölcsönök törlesztése</t>
  </si>
  <si>
    <t>K9112</t>
  </si>
  <si>
    <t>Likviditási célú hitelek, kölcsönök törlesztése p váll.nak</t>
  </si>
  <si>
    <t>K9113</t>
  </si>
  <si>
    <t>Rövid lejáratú hitelek, kölcsönök törlesztése</t>
  </si>
  <si>
    <t>K9121</t>
  </si>
  <si>
    <t>Forgatási célú belföldi értékpapírok vásárlása</t>
  </si>
  <si>
    <t>K9122</t>
  </si>
  <si>
    <t>Forgatási célú belföldi értékpapírok beváltása</t>
  </si>
  <si>
    <t>K9123</t>
  </si>
  <si>
    <t>Befektetési célú belföldi értékpapírok vásárlása</t>
  </si>
  <si>
    <t>K9124</t>
  </si>
  <si>
    <t>Befektetési célú belföldi értékpapírok beváltása</t>
  </si>
  <si>
    <t>K913</t>
  </si>
  <si>
    <t>Államháztartáson belüli megelőlegezések folyósítása</t>
  </si>
  <si>
    <t>K914</t>
  </si>
  <si>
    <t>Államháztartáson belüli megelőlegezések visszafizetése</t>
  </si>
  <si>
    <t>K915</t>
  </si>
  <si>
    <t>Központi, irányító szervi támogatás folyósítása</t>
  </si>
  <si>
    <t>K916</t>
  </si>
  <si>
    <t>Pénzeszközök betétként elhelyezése</t>
  </si>
  <si>
    <t>K917</t>
  </si>
  <si>
    <t>Pénzügyi lízing kiadásai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</si>
  <si>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</si>
  <si>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</si>
  <si>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</si>
  <si>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</si>
  <si>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</si>
  <si>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</si>
  <si>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</si>
  <si>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Külföldi hitelek, kölcsönök törlesztése</t>
  </si>
  <si>
    <t>K93</t>
  </si>
  <si>
    <t>Adóssághoz nem kapcsolódó származékos ügyletek kiadásai</t>
  </si>
  <si>
    <t>K9</t>
  </si>
  <si>
    <t>Finanszírozási kiadások</t>
  </si>
  <si>
    <t>KIADÁSOK MINDÖSSZESEN</t>
  </si>
  <si>
    <t>Beruházás (kis értékű)</t>
  </si>
  <si>
    <t>Környezetegészségügy</t>
  </si>
  <si>
    <t>Működési célú támogatás államháztartáson belülre</t>
  </si>
  <si>
    <t>Működési célú támogatás államháztartáson kívülre</t>
  </si>
  <si>
    <t>Járóbeteg (nőgyógy) 122001</t>
  </si>
  <si>
    <t>ZED kártérítés 122002</t>
  </si>
  <si>
    <t>Kerékpár koncepció 122004</t>
  </si>
  <si>
    <t>Közfogl. Létszám</t>
  </si>
  <si>
    <r>
      <rPr>
        <b/>
        <sz val="11"/>
        <color theme="1"/>
        <rFont val="Calibri"/>
        <family val="2"/>
        <charset val="238"/>
        <scheme val="minor"/>
      </rPr>
      <t>Bontása:</t>
    </r>
    <r>
      <rPr>
        <sz val="11"/>
        <color theme="1"/>
        <rFont val="Calibri"/>
        <family val="2"/>
        <charset val="238"/>
        <scheme val="minor"/>
      </rPr>
      <t xml:space="preserve"> iskola-eü: 1257 E, Védőnő: 24377 E</t>
    </r>
  </si>
  <si>
    <t>Fejezeti kezelésű előirányzatból</t>
  </si>
  <si>
    <t>Intézményfinanszírozás</t>
  </si>
  <si>
    <t>Hitel törlesztés</t>
  </si>
  <si>
    <t>Egyéb kölcsön visszafizetése (csatornabekötésre adott, egyéb)</t>
  </si>
  <si>
    <t>Intézmény finanszírozás</t>
  </si>
  <si>
    <t>VÁROSGONDNOKSÁG</t>
  </si>
  <si>
    <t>Zöldterület kezelés</t>
  </si>
  <si>
    <t>Személyi juttatás</t>
  </si>
  <si>
    <t>Munkaadót terhelő járulékok</t>
  </si>
  <si>
    <t>Települési hulladék begyűjtése</t>
  </si>
  <si>
    <t>Közvilágítás</t>
  </si>
  <si>
    <t>Közutak, járdák üzemeltetése, fenntartása</t>
  </si>
  <si>
    <t>Temető-fenntartás</t>
  </si>
  <si>
    <t>Orvosi rendelők fenntartása</t>
  </si>
  <si>
    <t>Sportpálya működtetése</t>
  </si>
  <si>
    <t>Kulturális rendezvények</t>
  </si>
  <si>
    <t>Lakó és nem lakó ingatlan bérbeadása, üzemeltetése</t>
  </si>
  <si>
    <t>Városgondnokság központi kiadásai</t>
  </si>
  <si>
    <t>Intézmények karbantartása</t>
  </si>
  <si>
    <t>Zimándy Iskola üzemeltetés</t>
  </si>
  <si>
    <t>Bálint M. Iskola + Sportközpont üzemeltetés</t>
  </si>
  <si>
    <t>Iskolai étkeztetés</t>
  </si>
  <si>
    <t>Zimándy Iskola oktatás támogatása</t>
  </si>
  <si>
    <t>Bálint M. Iskola oktatás támogatása</t>
  </si>
  <si>
    <t>1.3. Tulajdonosi bevételek</t>
  </si>
  <si>
    <t>1.4. Ellátási díjak</t>
  </si>
  <si>
    <t>1.5. Kiszámlázott általános forgalmi adó</t>
  </si>
  <si>
    <t>1.6. Általános forgalmi adó visszatérítése</t>
  </si>
  <si>
    <t>1.7. Kamatbevételek</t>
  </si>
  <si>
    <t>1.8. Egyéb működési bevételek</t>
  </si>
  <si>
    <t>Eredeti előirányzat</t>
  </si>
  <si>
    <t>Sorszám</t>
  </si>
  <si>
    <t>FELADATOK ÖSSZESEN</t>
  </si>
  <si>
    <t>POLGÁRMESTERI HIVATAL</t>
  </si>
  <si>
    <t xml:space="preserve">Cím: </t>
  </si>
  <si>
    <t>4. Gazdasági szervezettel nem rendelkező költségvetési szervek</t>
  </si>
  <si>
    <t>Gazdasági szervezettel nem rendelkező költségvetési szervek</t>
  </si>
  <si>
    <t>Az Önkormányzat költségvetési szerveinek létszámkerete</t>
  </si>
  <si>
    <t>Intézmény megnevezése</t>
  </si>
  <si>
    <t>Engedélyezett létszám</t>
  </si>
  <si>
    <t>Ebből köz-foglalkoz-tatott</t>
  </si>
  <si>
    <t>Teljes munkaidős</t>
  </si>
  <si>
    <t>Rész-munkaidős</t>
  </si>
  <si>
    <t>2012. e. ei.</t>
  </si>
  <si>
    <t>2012. m. ei.</t>
  </si>
  <si>
    <t>Önkormányzat összesen:</t>
  </si>
  <si>
    <t>2014. január 1-i tényleges nyitólétszám (fő)</t>
  </si>
  <si>
    <t>Közfoglal-koztatotti létszám</t>
  </si>
  <si>
    <t>2014. év</t>
  </si>
  <si>
    <t>Gazdasági szervezettel rendelkező költségvetési szervek</t>
  </si>
  <si>
    <t>ezer Ft-ban</t>
  </si>
  <si>
    <t>Ssz.</t>
  </si>
  <si>
    <t>M0-M7 le- és felhajtó tervezése</t>
  </si>
  <si>
    <t>Szabadság tér alatti csapadékvíz átvezetés</t>
  </si>
  <si>
    <t>Önkormányzat számítógépes rendszerének korszerűsítése</t>
  </si>
  <si>
    <t>Józsefhegy utcai hegyoldal megtámasztása</t>
  </si>
  <si>
    <t>Beruházások  feladatonként</t>
  </si>
  <si>
    <t>Önkormányzat számítógépes rendszerének felújítása</t>
  </si>
  <si>
    <t>Helytörténeti Gyűjtemény kialakítása (Munkácsy M. utca 72. felújítása)</t>
  </si>
  <si>
    <t>Felújítások célonként</t>
  </si>
  <si>
    <t>Ft hitelek</t>
  </si>
  <si>
    <t>Hitelek összesen</t>
  </si>
  <si>
    <t>35035  Fejlesztési hitel</t>
  </si>
  <si>
    <t>35123 Fejlesztési hitel</t>
  </si>
  <si>
    <t>E Ft-ban</t>
  </si>
  <si>
    <t xml:space="preserve">tőke </t>
  </si>
  <si>
    <t xml:space="preserve">kamat </t>
  </si>
  <si>
    <t>2018. után (2029-ig)</t>
  </si>
  <si>
    <t>Mindösszesen:</t>
  </si>
  <si>
    <t>Hitel tőke tartozás állomány 2014.01.01</t>
  </si>
  <si>
    <t xml:space="preserve">A Stabilitási tv. 3. § (1) bekezdése szerinti adósságot keletkeztető ügyletek és a kezességvállalásokból fennálló kötelezettségek </t>
  </si>
  <si>
    <t>01</t>
  </si>
  <si>
    <t>Helyi adók</t>
  </si>
  <si>
    <t>02</t>
  </si>
  <si>
    <t>Osztalékok, koncessziós díjak</t>
  </si>
  <si>
    <t>03</t>
  </si>
  <si>
    <t>Díjak, pótlékok, bírságok</t>
  </si>
  <si>
    <t>04</t>
  </si>
  <si>
    <t>Tárgyi eszközök, immateriális javak, vagyoni értékű jog értékesítése, vagyonhasznosítás</t>
  </si>
  <si>
    <t>05</t>
  </si>
  <si>
    <t>Részvények, részesedések értékesítése</t>
  </si>
  <si>
    <t>06</t>
  </si>
  <si>
    <t>Vállalat értékesítéséből, privatizációból származó bevételek</t>
  </si>
  <si>
    <t>07</t>
  </si>
  <si>
    <t>Kezességvállalással kapcsolatos megtérülés</t>
  </si>
  <si>
    <t>08</t>
  </si>
  <si>
    <t>Saját bevételek összesen (01+…+07)</t>
  </si>
  <si>
    <t>09</t>
  </si>
  <si>
    <t>Saját bevételek 50%-a</t>
  </si>
  <si>
    <t>10</t>
  </si>
  <si>
    <t>Előző év(ek)ben keletkezett, tárgyévet terhelő fizetési kötelezettség (11+…+17)</t>
  </si>
  <si>
    <t>11</t>
  </si>
  <si>
    <t>Felvett, átvállalt hitel és annak tőketartozása</t>
  </si>
  <si>
    <t>12</t>
  </si>
  <si>
    <t>Felvett, átvállalt kölcsön és annak tőketartozása</t>
  </si>
  <si>
    <t>13</t>
  </si>
  <si>
    <t>Hitelviszonyt megtestesítő értékpapír</t>
  </si>
  <si>
    <t>14</t>
  </si>
  <si>
    <t>Adott váltó</t>
  </si>
  <si>
    <t>15</t>
  </si>
  <si>
    <t>Pénzügyi lízing</t>
  </si>
  <si>
    <t>16</t>
  </si>
  <si>
    <t>Halasztott fizetés</t>
  </si>
  <si>
    <t>17</t>
  </si>
  <si>
    <t>Kezességvállalásból eredő fizetési kötelezettség</t>
  </si>
  <si>
    <t>18</t>
  </si>
  <si>
    <t>Tárgyévben keletkezett (keletkező) fizetési kötelezettség összesen (19+…+25)</t>
  </si>
  <si>
    <t>19</t>
  </si>
  <si>
    <t>20</t>
  </si>
  <si>
    <t>21</t>
  </si>
  <si>
    <t>22</t>
  </si>
  <si>
    <t>23</t>
  </si>
  <si>
    <t>24</t>
  </si>
  <si>
    <t>25</t>
  </si>
  <si>
    <t>26</t>
  </si>
  <si>
    <t>Fizetési kötelezettség összesen (10+18)</t>
  </si>
  <si>
    <t>27</t>
  </si>
  <si>
    <t>Fizetési kötelezettséggel csökkentett saját bevétel (09-26)</t>
  </si>
  <si>
    <t>Működési célú maradvány igénybevétel</t>
  </si>
  <si>
    <t>Felhalmozási célú maradvány igénybevétel</t>
  </si>
  <si>
    <t>Maradvány</t>
  </si>
  <si>
    <t>Egyéb működési célú kiadások (tartalékok, egyéb)</t>
  </si>
  <si>
    <t>Segélyek kötelező 121029</t>
  </si>
  <si>
    <t>Ifjúsági ÖK 122006</t>
  </si>
  <si>
    <t>Finansz</t>
  </si>
  <si>
    <t>Bursa ösztöndíj 122007</t>
  </si>
  <si>
    <t>Civil koncepció 122008</t>
  </si>
  <si>
    <t>Családok átm otthona 122009</t>
  </si>
  <si>
    <t>Gyermekek átm otthona 122010</t>
  </si>
  <si>
    <t>Duna Szimf 122011</t>
  </si>
  <si>
    <t>Kábszer Egyeztető F 122012</t>
  </si>
  <si>
    <t>Korai fejlesztés 122013</t>
  </si>
  <si>
    <t>Könyvvizsgálat 122014</t>
  </si>
  <si>
    <t>Lovas járőr 122017</t>
  </si>
  <si>
    <t>Betegszáll 122018</t>
  </si>
  <si>
    <t>Tervtanács 122019</t>
  </si>
  <si>
    <t>Médiaszolg 122020</t>
  </si>
  <si>
    <t>Jelzőrendszeres,, támog szolg 122021</t>
  </si>
  <si>
    <t>Rendőrség tám 122023</t>
  </si>
  <si>
    <t>TNÖ tám 122025</t>
  </si>
  <si>
    <t>CNÖ tám 122026</t>
  </si>
  <si>
    <t>Kaposvári E tám 122027</t>
  </si>
  <si>
    <t>Főkönyvi szám</t>
  </si>
  <si>
    <t>Óvodai étkeztetés 562912</t>
  </si>
  <si>
    <t>Óvodai nevelés 851011</t>
  </si>
  <si>
    <t>Közfoglal-koztatás</t>
  </si>
  <si>
    <t>05110111</t>
  </si>
  <si>
    <t>Alapilletmények</t>
  </si>
  <si>
    <t>05110112</t>
  </si>
  <si>
    <t>Illetménykiegészítések</t>
  </si>
  <si>
    <t>05110113</t>
  </si>
  <si>
    <t>Nyelvpótlékok</t>
  </si>
  <si>
    <t>05110114</t>
  </si>
  <si>
    <t>Egyéb kötelező pótlékok</t>
  </si>
  <si>
    <t>05110115</t>
  </si>
  <si>
    <t>Egyéb feltételektől függő pótlékok és juttatások</t>
  </si>
  <si>
    <t>05110119</t>
  </si>
  <si>
    <t>Egyéb juttatások</t>
  </si>
  <si>
    <t>0511011</t>
  </si>
  <si>
    <t>Törvény szerinti illetmények, munkabérek</t>
  </si>
  <si>
    <t>0511021</t>
  </si>
  <si>
    <t>Normatív jutalmak</t>
  </si>
  <si>
    <t>0511031</t>
  </si>
  <si>
    <t>Céljuttatás, projektprémium</t>
  </si>
  <si>
    <t>05110411</t>
  </si>
  <si>
    <t>Készenléti, ügyeleti, helyettesítési díj</t>
  </si>
  <si>
    <t>05110412</t>
  </si>
  <si>
    <t>Túlóra, túlszolgálat</t>
  </si>
  <si>
    <t>0511041</t>
  </si>
  <si>
    <t>Készenlét, ügyelet, helyettesítés, túlóra</t>
  </si>
  <si>
    <t>0511051</t>
  </si>
  <si>
    <t>Végkielégítés</t>
  </si>
  <si>
    <t>0511061</t>
  </si>
  <si>
    <t>Jubileumi jutalom</t>
  </si>
  <si>
    <t>25 év/2fő</t>
  </si>
  <si>
    <t>05110711</t>
  </si>
  <si>
    <t>Étkezési hozzájárulás</t>
  </si>
  <si>
    <t>05110712</t>
  </si>
  <si>
    <t>Üdülési hozzájárulás</t>
  </si>
  <si>
    <t>05110713</t>
  </si>
  <si>
    <t>Erzsébet-utalvány kiadásai</t>
  </si>
  <si>
    <t>05110714</t>
  </si>
  <si>
    <t>Széchenyi Pihenő Kártya kiadásai</t>
  </si>
  <si>
    <t>05110715</t>
  </si>
  <si>
    <t xml:space="preserve">Iskolakezdési támogatás </t>
  </si>
  <si>
    <t>05110716</t>
  </si>
  <si>
    <t>Önkéntes biztosító pénztárakba befizetés</t>
  </si>
  <si>
    <t>05110719</t>
  </si>
  <si>
    <t>Egyéb béren kívüli juttatások</t>
  </si>
  <si>
    <t>0511071</t>
  </si>
  <si>
    <t>Béren kívüli juttatások</t>
  </si>
  <si>
    <t>0511081</t>
  </si>
  <si>
    <t>Ruházati költségtérítés</t>
  </si>
  <si>
    <t>0511091</t>
  </si>
  <si>
    <t>Közlekedési költségtérítés</t>
  </si>
  <si>
    <t>mba jár+</t>
  </si>
  <si>
    <t>0511101</t>
  </si>
  <si>
    <t>Egyéb költségtérítések</t>
  </si>
  <si>
    <t>05111111</t>
  </si>
  <si>
    <t>Albérleti díj hozzájárulás</t>
  </si>
  <si>
    <t>05111112</t>
  </si>
  <si>
    <t>Családalapítási támogatás</t>
  </si>
  <si>
    <t>0511111</t>
  </si>
  <si>
    <t>Lakhatási támogatások</t>
  </si>
  <si>
    <t>0511121</t>
  </si>
  <si>
    <t>Szociális támogatások</t>
  </si>
  <si>
    <t>05111311</t>
  </si>
  <si>
    <t>Belföldi napidíj</t>
  </si>
  <si>
    <t>05111312</t>
  </si>
  <si>
    <t>Külföldi napidíj</t>
  </si>
  <si>
    <t>05111313</t>
  </si>
  <si>
    <t>Biztosítási díjak</t>
  </si>
  <si>
    <t>05111314</t>
  </si>
  <si>
    <t>Kereset-kiegészítés fedezete</t>
  </si>
  <si>
    <t>05111315</t>
  </si>
  <si>
    <t>Munkáltatói kártérítés egyéb kiegészítések</t>
  </si>
  <si>
    <t>05111319</t>
  </si>
  <si>
    <t>Egyéb sajátos juttatások</t>
  </si>
  <si>
    <t>0511131</t>
  </si>
  <si>
    <t>foglalkoztatottak egyéb személyi juttatásai</t>
  </si>
  <si>
    <t>0511</t>
  </si>
  <si>
    <t>Foglalkoztatottak személyi juttatásai</t>
  </si>
  <si>
    <t>0512113</t>
  </si>
  <si>
    <t>Képviselők, polgármesterek juttatásai</t>
  </si>
  <si>
    <t>0512119</t>
  </si>
  <si>
    <t>Egyéb választott tisztségviselők juttatásai</t>
  </si>
  <si>
    <t>051211</t>
  </si>
  <si>
    <t>Választott tisztviselők juttatásai</t>
  </si>
  <si>
    <t>0512211</t>
  </si>
  <si>
    <t>Állományba nem tartozók megbízási díja</t>
  </si>
  <si>
    <t>honlap, gyvéd fel.</t>
  </si>
  <si>
    <t>0512212</t>
  </si>
  <si>
    <t>Tiszteletdíj, szerzői díj, honorárium</t>
  </si>
  <si>
    <t>051221</t>
  </si>
  <si>
    <t>Nem saját foglalkoztatottnak fizetett juttatás</t>
  </si>
  <si>
    <t>0512311</t>
  </si>
  <si>
    <t>Prémiumévek program résztvevőinek juttatása</t>
  </si>
  <si>
    <t>0512312</t>
  </si>
  <si>
    <t>Egyszerűsített fogl. alá tartozó mváll. juttatásai</t>
  </si>
  <si>
    <t>0512314</t>
  </si>
  <si>
    <t>További munkaviszonyt létesítők juttatásai</t>
  </si>
  <si>
    <t>0512315</t>
  </si>
  <si>
    <t>Felmentett munkavállalók egyéb juttatásai</t>
  </si>
  <si>
    <t>0512316</t>
  </si>
  <si>
    <t>Adományozott kitüntetések, díjak, pénzjutalmak</t>
  </si>
  <si>
    <t>0512318</t>
  </si>
  <si>
    <t>Reprezentációs kiadások</t>
  </si>
  <si>
    <t>városi ped.nap</t>
  </si>
  <si>
    <t>0512319</t>
  </si>
  <si>
    <t>Egyéb külső személyi juttatások</t>
  </si>
  <si>
    <t>051231</t>
  </si>
  <si>
    <t>Egyéb külső személyi juttatások összesen</t>
  </si>
  <si>
    <t>0512</t>
  </si>
  <si>
    <t>Külső személyi juttatások</t>
  </si>
  <si>
    <t>051</t>
  </si>
  <si>
    <t>Személyi juttatások összesen</t>
  </si>
  <si>
    <t>05211</t>
  </si>
  <si>
    <t>Szociális hozzájárulási adó</t>
  </si>
  <si>
    <t>05212</t>
  </si>
  <si>
    <t>EKHO</t>
  </si>
  <si>
    <t>05213</t>
  </si>
  <si>
    <t>Egészségügyi hozzájárulás</t>
  </si>
  <si>
    <t>05214</t>
  </si>
  <si>
    <t>Táppénz hozzájárulás</t>
  </si>
  <si>
    <t>05215</t>
  </si>
  <si>
    <t>Korkedvezmény-biztosítási járulék</t>
  </si>
  <si>
    <t>05216</t>
  </si>
  <si>
    <t>Rehabilitációs hozzájárulás</t>
  </si>
  <si>
    <t>05217</t>
  </si>
  <si>
    <t>Munkáltatót terhelő SZJA</t>
  </si>
  <si>
    <t>05219</t>
  </si>
  <si>
    <t>Egyéb munkaadókat terhelő járulékok</t>
  </si>
  <si>
    <t>052</t>
  </si>
  <si>
    <t>Munkaadókat terhelő járulékok összesen</t>
  </si>
  <si>
    <t>0531111</t>
  </si>
  <si>
    <t>Gyógyszerbeszerzés</t>
  </si>
  <si>
    <t>0531112</t>
  </si>
  <si>
    <t>Vegyszerbeszerzés</t>
  </si>
  <si>
    <t>0531113</t>
  </si>
  <si>
    <t>Könyvbeszerzés</t>
  </si>
  <si>
    <t>sz.könyv</t>
  </si>
  <si>
    <t>0531114</t>
  </si>
  <si>
    <t>Folyóirat-beszerzés</t>
  </si>
  <si>
    <t>0531115</t>
  </si>
  <si>
    <t>Egyéb információhordozó-beszerzés</t>
  </si>
  <si>
    <t>0531119</t>
  </si>
  <si>
    <t>Egyéb szakmai anyagbeszerzés</t>
  </si>
  <si>
    <t>foglalk.a.játék</t>
  </si>
  <si>
    <t>053111</t>
  </si>
  <si>
    <t>Szakmai anyagok beszerzése összesen</t>
  </si>
  <si>
    <t>0531211</t>
  </si>
  <si>
    <t>Élelmiszer-beszerzés</t>
  </si>
  <si>
    <t>0531212</t>
  </si>
  <si>
    <t>Irodaszer-, nyomtatványbeszerzés</t>
  </si>
  <si>
    <t>0531213</t>
  </si>
  <si>
    <t>Tüzelőanyag-beszerzés</t>
  </si>
  <si>
    <t>0531214</t>
  </si>
  <si>
    <t>Hajtó- és kenőanyag-beszerzés</t>
  </si>
  <si>
    <t>0531215</t>
  </si>
  <si>
    <t>Munkaruha, védőruha, formaruha, egyenruha</t>
  </si>
  <si>
    <t>13x15e</t>
  </si>
  <si>
    <t>0531219</t>
  </si>
  <si>
    <t>Egyéb üzemeltetési, fenntartási anyagbeszerzés</t>
  </si>
  <si>
    <t>text,tisztsz,edény</t>
  </si>
  <si>
    <t>053121</t>
  </si>
  <si>
    <t>Üzemeltetési anyagok beszerzése összesen</t>
  </si>
  <si>
    <t>0531311</t>
  </si>
  <si>
    <t>0531312</t>
  </si>
  <si>
    <t>Göngyölegbeszerzés</t>
  </si>
  <si>
    <t>053131</t>
  </si>
  <si>
    <t>Árubeszerzés összesen</t>
  </si>
  <si>
    <t>0531</t>
  </si>
  <si>
    <t>Készletbeszerzés összesen</t>
  </si>
  <si>
    <t>0532111</t>
  </si>
  <si>
    <t>Informatika tanácsadás, üzembe helyezés</t>
  </si>
  <si>
    <t>0532112</t>
  </si>
  <si>
    <t>Informatikai szolgáltatások</t>
  </si>
  <si>
    <t>webtárhely</t>
  </si>
  <si>
    <t>0532113</t>
  </si>
  <si>
    <t>Informatikai eszköz, szolg. bérlés, lízing</t>
  </si>
  <si>
    <t>0532114</t>
  </si>
  <si>
    <t>Informatikai eszközök karbantartása</t>
  </si>
  <si>
    <t>0532115</t>
  </si>
  <si>
    <t>Adatátviteli célú távközlési díjak</t>
  </si>
  <si>
    <t>internet 6 eFt/=hó</t>
  </si>
  <si>
    <t>0532119</t>
  </si>
  <si>
    <t>Egyéb informatikai szolgáltatás</t>
  </si>
  <si>
    <t>053211</t>
  </si>
  <si>
    <t>0532211</t>
  </si>
  <si>
    <t>Nem adatátviteli célú távközlési díjak</t>
  </si>
  <si>
    <t>0532219</t>
  </si>
  <si>
    <t>053221</t>
  </si>
  <si>
    <t>Egyéb kommunilációs szolgáltatás összesen</t>
  </si>
  <si>
    <t>0532</t>
  </si>
  <si>
    <t>Kommunikációs szolgáltatások összesen</t>
  </si>
  <si>
    <t>0533111</t>
  </si>
  <si>
    <t>Villamosenergia-szolgáltatási díjak</t>
  </si>
  <si>
    <t>2013-as</t>
  </si>
  <si>
    <t>0533112</t>
  </si>
  <si>
    <t>Gázenergia-szolgáltatási díjak</t>
  </si>
  <si>
    <t>közmű ei.</t>
  </si>
  <si>
    <t>0533113</t>
  </si>
  <si>
    <t>Távkő- és melegvíz-szolgáltatási díjak</t>
  </si>
  <si>
    <t>0533114</t>
  </si>
  <si>
    <t>Víz- és csatornadíjak</t>
  </si>
  <si>
    <t>053311</t>
  </si>
  <si>
    <t>Közüzemi díjak összesen</t>
  </si>
  <si>
    <t>053321</t>
  </si>
  <si>
    <t>0533311</t>
  </si>
  <si>
    <t>PPP konstrukcióhoz kapcs. szolgáltatási díjak</t>
  </si>
  <si>
    <t>0533312</t>
  </si>
  <si>
    <t>Egyéb bérleti és lízing díjak</t>
  </si>
  <si>
    <t>Bérleti és lízing díjak összesen</t>
  </si>
  <si>
    <t>053341</t>
  </si>
  <si>
    <t>festés, faház, gumikő jav.</t>
  </si>
  <si>
    <t>0533511</t>
  </si>
  <si>
    <t>Államháztartáson belüli közvetített szolgáltatások</t>
  </si>
  <si>
    <t>0533512</t>
  </si>
  <si>
    <t>Államháztartáson kívüli közvetített szolgáltatások</t>
  </si>
  <si>
    <t>053351</t>
  </si>
  <si>
    <t>Közvetített szolgáltatások összesen</t>
  </si>
  <si>
    <t>0533611</t>
  </si>
  <si>
    <t>Vásárolt közszolgáltatások</t>
  </si>
  <si>
    <t>0533612</t>
  </si>
  <si>
    <t>Számlázott szellemi tevékenység</t>
  </si>
  <si>
    <t>0533619</t>
  </si>
  <si>
    <t>Egyéb szakmai szolgáltatások</t>
  </si>
  <si>
    <t>053361</t>
  </si>
  <si>
    <t>Szakmai tevékenységet segítő szolg összesen</t>
  </si>
  <si>
    <t>0533711</t>
  </si>
  <si>
    <t>Biztosítási szolgáltatási díjak</t>
  </si>
  <si>
    <t>0533712</t>
  </si>
  <si>
    <t>Pénzügyi szolgáltatási díjak</t>
  </si>
  <si>
    <t>0533713</t>
  </si>
  <si>
    <t>Szállítási szolgáltatási díjak</t>
  </si>
  <si>
    <t>0533719</t>
  </si>
  <si>
    <t>Egyéb üzemeltetési, fenntartási szolgáltatások</t>
  </si>
  <si>
    <t>053371</t>
  </si>
  <si>
    <t>Egyéb szolgáltatások összesen</t>
  </si>
  <si>
    <t>0533</t>
  </si>
  <si>
    <t>Szolgáltatási kiadások összesen</t>
  </si>
  <si>
    <t>0534111</t>
  </si>
  <si>
    <t>Belföldi kiküldetések kiadásai</t>
  </si>
  <si>
    <t>0534112</t>
  </si>
  <si>
    <t>Külföldi kiküldetések kiadásai</t>
  </si>
  <si>
    <t>053411</t>
  </si>
  <si>
    <t>Kiküldetések kiadásai összesen</t>
  </si>
  <si>
    <t>053421</t>
  </si>
  <si>
    <t>0534</t>
  </si>
  <si>
    <t>Kiküldetés, reklám, propaganda összesen</t>
  </si>
  <si>
    <t>0535111</t>
  </si>
  <si>
    <t>Működési célú felszámított, levonható ÁFA</t>
  </si>
  <si>
    <t>0535112</t>
  </si>
  <si>
    <t>Működési célú felszámított le nem vonható ÁFA</t>
  </si>
  <si>
    <t>053511</t>
  </si>
  <si>
    <t>Működési célú áfa összesen</t>
  </si>
  <si>
    <t>0535211</t>
  </si>
  <si>
    <t>ÁFA befizetés</t>
  </si>
  <si>
    <t>0535212</t>
  </si>
  <si>
    <t>Ért tárgyi eszk. Immat. javak egyenes ÁFA befiz</t>
  </si>
  <si>
    <t>0535213</t>
  </si>
  <si>
    <t>Fordított ÁFA befizetés</t>
  </si>
  <si>
    <t>053521</t>
  </si>
  <si>
    <t>Fizetendő áfa összesen</t>
  </si>
  <si>
    <t>05353119</t>
  </si>
  <si>
    <t>Államháztartáson belüli egyéb kamat</t>
  </si>
  <si>
    <t>05353122</t>
  </si>
  <si>
    <t>Hitelek kamatai</t>
  </si>
  <si>
    <t>05353123</t>
  </si>
  <si>
    <t>Pénzügyi lízing kiadások</t>
  </si>
  <si>
    <t>05353129</t>
  </si>
  <si>
    <t>Államháztartáson kívüli egyéb kamatok</t>
  </si>
  <si>
    <t>053531</t>
  </si>
  <si>
    <t>0535411</t>
  </si>
  <si>
    <t>Árfolyamveszteség</t>
  </si>
  <si>
    <t>0535419</t>
  </si>
  <si>
    <t>Egyéb különféle pénzügyi műveletek kiadásai</t>
  </si>
  <si>
    <t>053541</t>
  </si>
  <si>
    <t>0535511</t>
  </si>
  <si>
    <t>Adók, adójellegű befizetések</t>
  </si>
  <si>
    <t>0535512</t>
  </si>
  <si>
    <t>Díjak, egyéb befizetések</t>
  </si>
  <si>
    <t>0535513</t>
  </si>
  <si>
    <t>Késedelmi kamat, kötbér, egyéb kártérítés</t>
  </si>
  <si>
    <t>0535519</t>
  </si>
  <si>
    <t>Egyéb különféle dologi kiadások</t>
  </si>
  <si>
    <t>053551</t>
  </si>
  <si>
    <t>0535</t>
  </si>
  <si>
    <t>053</t>
  </si>
  <si>
    <t>Működési kiadások összesen</t>
  </si>
  <si>
    <t>056311</t>
  </si>
  <si>
    <t>Informatikai eszköz beszerzés</t>
  </si>
  <si>
    <t>056411</t>
  </si>
  <si>
    <t>Egyéb eszköz beszerzés</t>
  </si>
  <si>
    <t>056415</t>
  </si>
  <si>
    <t>Jármű beszerzés</t>
  </si>
  <si>
    <t>05671</t>
  </si>
  <si>
    <t>Beruházás le nem vonható ÁFA</t>
  </si>
  <si>
    <t>056</t>
  </si>
  <si>
    <t>Beruházások összesen</t>
  </si>
  <si>
    <t>057211</t>
  </si>
  <si>
    <t>Informatikai eszköz felújítása</t>
  </si>
  <si>
    <t>057311</t>
  </si>
  <si>
    <t>Egyéb eszköz felújítása</t>
  </si>
  <si>
    <t>057315</t>
  </si>
  <si>
    <t>Jármű felújítása</t>
  </si>
  <si>
    <t>05741</t>
  </si>
  <si>
    <t>Felújítás le nem vonfható ÁFA</t>
  </si>
  <si>
    <t>057</t>
  </si>
  <si>
    <t>Felújítások összesen</t>
  </si>
  <si>
    <t>Felhalmozási kiadások összesen</t>
  </si>
  <si>
    <t>Kiadások mindösszesen</t>
  </si>
  <si>
    <t>Rovat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</si>
  <si>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</si>
  <si>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</si>
  <si>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</si>
  <si>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</si>
  <si>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</si>
  <si>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</si>
  <si>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</si>
  <si>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</si>
  <si>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</si>
  <si>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</si>
  <si>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</si>
  <si>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</si>
  <si>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</si>
  <si>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</si>
  <si>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K121</t>
  </si>
  <si>
    <t>K122</t>
  </si>
  <si>
    <t>K123</t>
  </si>
  <si>
    <t>K12</t>
  </si>
  <si>
    <t>K1</t>
  </si>
  <si>
    <t>K2</t>
  </si>
  <si>
    <t>Iskolakezdési támogatás</t>
  </si>
  <si>
    <t>sz.gép karbt.</t>
  </si>
  <si>
    <t>internet</t>
  </si>
  <si>
    <t>fűtés, vízmelegítő,tűzjelző</t>
  </si>
  <si>
    <t>tak, rovar, szemét, posta stb</t>
  </si>
  <si>
    <t>tavalyi telj.sz</t>
  </si>
  <si>
    <t>MUNKÁCSY MIHÁLY MŰVELŐDÉSI HÁZ 2014 (az adatok ezer forintban)</t>
  </si>
  <si>
    <t>rovat</t>
  </si>
  <si>
    <t>főkönyvi szám</t>
  </si>
  <si>
    <t>megnevezés</t>
  </si>
  <si>
    <t>2013 előir.</t>
  </si>
  <si>
    <t>2014 előir.</t>
  </si>
  <si>
    <t>2014 tény</t>
  </si>
  <si>
    <t>%</t>
  </si>
  <si>
    <t>közműv.tev.</t>
  </si>
  <si>
    <t>közm.int.műk.</t>
  </si>
  <si>
    <t>nemz.ünn.prog.</t>
  </si>
  <si>
    <t>előir</t>
  </si>
  <si>
    <t>tény</t>
  </si>
  <si>
    <t>SZEMÉLYI JUTTATÁSOK ÉS JÁRULÉKOK</t>
  </si>
  <si>
    <t>Egyéb feltételektől függő pótlékok és jutt</t>
  </si>
  <si>
    <t>Önkéntes biztosítópénztárakba befizetés</t>
  </si>
  <si>
    <t>Foglalkoztatottak egyéb személyi juttatásai</t>
  </si>
  <si>
    <t>Nem saját foglalkoztatottnak fizetett jutt</t>
  </si>
  <si>
    <t>Prémiumévek program résztvevőinek jutt</t>
  </si>
  <si>
    <t>Egyszerűsített fogl alá tartozó mváll juttatásai</t>
  </si>
  <si>
    <t>0512313</t>
  </si>
  <si>
    <t>Adományozott kitüntetések, díjak, pénzjut</t>
  </si>
  <si>
    <t xml:space="preserve">Egyéb külső személyi juttatások </t>
  </si>
  <si>
    <t>Egyéb, munkaadókat terhelő jáulékok</t>
  </si>
  <si>
    <t>SZEMÉLYI JUTTATÁSOK ÉS JÁRULÉKOK ÖSSZESEN:</t>
  </si>
  <si>
    <t>DOLOGI ÉS EGYÉB FOLYÓ KIADÁSOK</t>
  </si>
  <si>
    <t>Egyéb információhordozó beszerzés</t>
  </si>
  <si>
    <t>Irodaszer-nyomtatvány beszerzés</t>
  </si>
  <si>
    <t>Hajtó- és kenőanyag beszerzés</t>
  </si>
  <si>
    <t>Egyéb üzemeltetési, fennt anyagbeszerzés</t>
  </si>
  <si>
    <t>Informatikai tanácsadás, üzembehelyezés</t>
  </si>
  <si>
    <t>Informatikai eszköz, szolg bérlése, lízing</t>
  </si>
  <si>
    <t>Egyéb kommunikációs szolg összesen</t>
  </si>
  <si>
    <t>0532212</t>
  </si>
  <si>
    <t>Villamos energia szolgáltatási díjak</t>
  </si>
  <si>
    <t>Gázenergia szolgáltatási díjak</t>
  </si>
  <si>
    <t>Távhő- és melegvíz szolgáltatási díjak</t>
  </si>
  <si>
    <t>Víz- és csatorna díjak</t>
  </si>
  <si>
    <t>053331</t>
  </si>
  <si>
    <t>Bérleti és lízing-díjak összesen</t>
  </si>
  <si>
    <t>PPP konstrukcióhoz kapcsolódó szolg díjak</t>
  </si>
  <si>
    <t>Államháztartások belüli közvetített szolg</t>
  </si>
  <si>
    <t>Államháztartások kívüli közvetített szolg</t>
  </si>
  <si>
    <t>Számlázott szellemi tevékenységek</t>
  </si>
  <si>
    <t>Egyéb üzemeltetési, fennt szolgáltatások</t>
  </si>
  <si>
    <t>Reklám- és propaganda kiadások</t>
  </si>
  <si>
    <t>Működési célú ÁFA összesen</t>
  </si>
  <si>
    <t>Működési célú felszám, levonható ÁFA</t>
  </si>
  <si>
    <t>Működési célú felszám, le nem vonható ÁFA</t>
  </si>
  <si>
    <t>Fizetendő ÁFA összesen</t>
  </si>
  <si>
    <t>Ért tárgyi eszk, imm javak egyenes ÁFA bef</t>
  </si>
  <si>
    <t>Fordított ÁFA befizetése</t>
  </si>
  <si>
    <t>Egyéb, különféle pénzügyi műveletek kiad</t>
  </si>
  <si>
    <t>DOLOGI KIADÁSOK ÖSSZESEN</t>
  </si>
  <si>
    <t>FELHALMOZÁSI KIADÁSOK</t>
  </si>
  <si>
    <t>056111</t>
  </si>
  <si>
    <t>056211</t>
  </si>
  <si>
    <t>Egyéb tárgyi eszköz beszerzése, létesítése</t>
  </si>
  <si>
    <t>056511</t>
  </si>
  <si>
    <t>056611</t>
  </si>
  <si>
    <t>Meglévő részesedések növeléséhez kapcs kiad</t>
  </si>
  <si>
    <t>Beruházási célú előzetesen felszámított ÁFA</t>
  </si>
  <si>
    <t>057111</t>
  </si>
  <si>
    <t>Egyéb tárgyi eszköz felújítása</t>
  </si>
  <si>
    <t>Felújítási célú előzetesen felszámított ÁFA</t>
  </si>
  <si>
    <t>MŰKÖDÉSI KIADÁSOK ÖSSZESEN:</t>
  </si>
  <si>
    <t>BEVÉTELEK</t>
  </si>
  <si>
    <t>B4</t>
  </si>
  <si>
    <t>Működési Bevételek</t>
  </si>
  <si>
    <t>B401</t>
  </si>
  <si>
    <t>Készletértékesítés ellenértéke</t>
  </si>
  <si>
    <t>B402</t>
  </si>
  <si>
    <t>Szolgáltatások ellenértéke</t>
  </si>
  <si>
    <t>B403</t>
  </si>
  <si>
    <t>Közvetített szolgáltatások ellenértéke</t>
  </si>
  <si>
    <t>B404</t>
  </si>
  <si>
    <t>Tulajdonosi bevételek</t>
  </si>
  <si>
    <t>B406</t>
  </si>
  <si>
    <t>Kiszámlázott általános forgalmi adó</t>
  </si>
  <si>
    <t>B408</t>
  </si>
  <si>
    <t>Kamatbevételek</t>
  </si>
  <si>
    <t>B410</t>
  </si>
  <si>
    <t>Egyéb működési bevételek</t>
  </si>
  <si>
    <t>B5</t>
  </si>
  <si>
    <t>BEVÉTELEK ÖSSZESEN</t>
  </si>
  <si>
    <t>MUNKÁCSY MIHÁLY MŰVELŐDÉSI HÁZ 2014</t>
  </si>
  <si>
    <t>intézményvezető (Éva) garantált illetménye</t>
  </si>
  <si>
    <t>művelődésszervező (Noémi) garantált ill</t>
  </si>
  <si>
    <t>kulturális menedzser (Zoli) garantált ill</t>
  </si>
  <si>
    <t>gazdasági ügyintéző (Peti) garantált ill</t>
  </si>
  <si>
    <t>szolgáltatás szervező (Rita) garantált ill</t>
  </si>
  <si>
    <t>rendezvényügy.médiamunk (Gergő) garant ill</t>
  </si>
  <si>
    <t>rendezvényügy.reklámmunk (Karola) garant ill</t>
  </si>
  <si>
    <t>rendezvényügy.ügyv.munk (Otti) garantált ill</t>
  </si>
  <si>
    <t>üzemeltetés szervező (Kata) garantált ill</t>
  </si>
  <si>
    <t>technikus-berendező (Gyurci) garantált ill</t>
  </si>
  <si>
    <t>karbantartó-berendező I (Feri) garantált ill</t>
  </si>
  <si>
    <t>karbantartó-berendező II (Péter) garantált ill</t>
  </si>
  <si>
    <t>üzemeltetési ügyint (Kenedi) garantált ill</t>
  </si>
  <si>
    <t>intézményvezető (Éva) munkáltatói döntése</t>
  </si>
  <si>
    <t>művelődésszervező (Noémi) munkáltatói dönt</t>
  </si>
  <si>
    <t>gazdasági ügyintéző (Peti) munkáltatói dönt</t>
  </si>
  <si>
    <t>rendezvényügy.médiamunk (Gergő) munk dönt</t>
  </si>
  <si>
    <t>üzemeltetés szervező (Kata) munkáltatói dönt</t>
  </si>
  <si>
    <t>technikus-berendező (Gyurci) munk dönt</t>
  </si>
  <si>
    <t>karbantartó-berendező I (Feri) munk dönt</t>
  </si>
  <si>
    <t>karbantartó-berendező II (Péter) munk dönt</t>
  </si>
  <si>
    <t>üzemeltetési ügyint (Kenedi) munkáltatói dönt</t>
  </si>
  <si>
    <t>művelődésszervező (Noémi) 50%</t>
  </si>
  <si>
    <t>kulturális menedzser (Zoli) 50%</t>
  </si>
  <si>
    <t>gazdasági ügyintéző (Peti) 50%</t>
  </si>
  <si>
    <t>rendezvényügy.reklámmunk (Karola) 50%</t>
  </si>
  <si>
    <t>intézményvezető (Éva) vezetői pótlék 225%</t>
  </si>
  <si>
    <t>intézményvezető-helyettes (Noémi) vezpótl 175%</t>
  </si>
  <si>
    <t>gazdasági ügyintéző (Peti) pénzkezelési pótl</t>
  </si>
  <si>
    <t>művelődésszervező (Noémi) környéki bérlete</t>
  </si>
  <si>
    <t>gazdasági ügyintéző (Peti) környéki bérlete</t>
  </si>
  <si>
    <t>szolgáltatás szervező (Rita) környéki bérlete</t>
  </si>
  <si>
    <t>rendezvényügy.ügyv.munk (Otti) környéki b</t>
  </si>
  <si>
    <t>karbantartó-berendező I (Feri) vonatbérlete</t>
  </si>
  <si>
    <t>monitorszemüveg</t>
  </si>
  <si>
    <t>intézményvezető (Éva) illetménykiegészítése</t>
  </si>
  <si>
    <t>művelődésszervező (Noémi) illetménykieg</t>
  </si>
  <si>
    <t>kulturális menedzser (Zoli) illetménykieg</t>
  </si>
  <si>
    <t>gazdasági ügyintéző (Peti) illetménykieg</t>
  </si>
  <si>
    <t>szolgáltatás szervező (Rita) illetménykieg</t>
  </si>
  <si>
    <t>rendezvényügy.médiamunk (Gergő) illmkieg</t>
  </si>
  <si>
    <t>rendezvényügy.reklámmunk (Karola) illmkieg</t>
  </si>
  <si>
    <t>rendezvényügy.ügyv.munk (Otti) illetménykieg</t>
  </si>
  <si>
    <t>üzemeltetés szervező (Kata) illetménykieg</t>
  </si>
  <si>
    <t>technikus-berendező (Gyurci) illetménykieg</t>
  </si>
  <si>
    <t>karbantartó-berendező I (Feri) illetménykieg</t>
  </si>
  <si>
    <t>karbantartó-berendező II (Péter) illetménykieg</t>
  </si>
  <si>
    <t>üzemeltetési ügyint (Kenedi) illetménykieg</t>
  </si>
  <si>
    <t>kézbesítés (BM, plakátok, szórólapok)</t>
  </si>
  <si>
    <t>BM grafikai kivitelezése</t>
  </si>
  <si>
    <t>ruhatár</t>
  </si>
  <si>
    <t>hang- és fénytechnikus</t>
  </si>
  <si>
    <t>berendezés</t>
  </si>
  <si>
    <t>egyéb megbízási díjak</t>
  </si>
  <si>
    <t>SZEMÉLYI JUTT ÉS JÁRULÉKOK ÖSSZ:</t>
  </si>
  <si>
    <t>nyári táborok élelmezése</t>
  </si>
  <si>
    <t>Bor Bár élelmiszer-beszerzése</t>
  </si>
  <si>
    <t>egyéb, fizetős rendezvények élelmezése</t>
  </si>
  <si>
    <t>fénymásolópapírok</t>
  </si>
  <si>
    <t>borítékok, irodaszerek</t>
  </si>
  <si>
    <t>toner, festékpatron beszerzés</t>
  </si>
  <si>
    <t>karbantartási anyagok, eszközök, alkatrészek</t>
  </si>
  <si>
    <t>épületgépészeti karb, javítások anyagköltsége</t>
  </si>
  <si>
    <t>bútorok, textíliák</t>
  </si>
  <si>
    <t>egyéb készletek</t>
  </si>
  <si>
    <t>rendszergazda szolgáltatás</t>
  </si>
  <si>
    <t>honlap készítése, karbantartása</t>
  </si>
  <si>
    <t>interticket szoftverhasználati jutaléka</t>
  </si>
  <si>
    <t>számítógépes oktatás</t>
  </si>
  <si>
    <t>Magyar Telekom (23-336-043)</t>
  </si>
  <si>
    <t>H1 Telekom díjak</t>
  </si>
  <si>
    <t>Enternet IP telefonok</t>
  </si>
  <si>
    <t>az igazgató központi mobilja (20-388-3731)</t>
  </si>
  <si>
    <t>bérelt épületek, helyiségek bérleti díjai</t>
  </si>
  <si>
    <t>gépek, berendezések bérleti díjai</t>
  </si>
  <si>
    <t>augusztus 20-i rendezvény bérleti díjai</t>
  </si>
  <si>
    <t>egyéb rendezvények bérleti díjai</t>
  </si>
  <si>
    <t>az ingatlanon végzett javítás, karbantartás</t>
  </si>
  <si>
    <t>az épületgépészeti eszközök karb (Human)</t>
  </si>
  <si>
    <t xml:space="preserve">színpadtechnika karbantatás és felülvizsgálat </t>
  </si>
  <si>
    <t>színpadi fényvetők javítása</t>
  </si>
  <si>
    <t>az épületfelügyeleti rendszer karbantartása</t>
  </si>
  <si>
    <t>a lift üzemeltetése, karbantartása</t>
  </si>
  <si>
    <t>szünetmentes áramforrások karbantartása</t>
  </si>
  <si>
    <t>elektromos hálózat érintésvédelmi felülvizsg</t>
  </si>
  <si>
    <t>számítógépek karbantartása (Iroda Xpressz)</t>
  </si>
  <si>
    <t>tűzajtók karbantartása</t>
  </si>
  <si>
    <t>színházterem tolóajtajainak karbantartása</t>
  </si>
  <si>
    <t>a fény- és hangtechnika karbantartása (Toókos)</t>
  </si>
  <si>
    <t>tűzvédelmi karb és felülvizsgálat (Forró Drót)</t>
  </si>
  <si>
    <t>a behatolásjelző rendszer karb (Forró Drót)</t>
  </si>
  <si>
    <t>CCTV térfigyelő rendszer karb (Forró Drót)</t>
  </si>
  <si>
    <t>zongorahangolás</t>
  </si>
  <si>
    <t>gépek, berendezések karbantartása</t>
  </si>
  <si>
    <t>járművek javítása, karbantartása</t>
  </si>
  <si>
    <t>a kormányhivatal takarítása</t>
  </si>
  <si>
    <t>a Könyvtár közüzemi díjai</t>
  </si>
  <si>
    <t>TELENOR flotta mobildíjai</t>
  </si>
  <si>
    <t>Kávézó közüzemi díjai</t>
  </si>
  <si>
    <t>a dolgozó részére vásárolt oktatás, tanfolyam</t>
  </si>
  <si>
    <t>szakmai találkozók részvételi díjai</t>
  </si>
  <si>
    <t>ügyvédi, közjegyzői díjak</t>
  </si>
  <si>
    <t>augusztus 20-i rendezvény szellemi kifizetései</t>
  </si>
  <si>
    <t>rendezvénysorozatok (ficánkoló, táncház, stb)</t>
  </si>
  <si>
    <t>kiállítások</t>
  </si>
  <si>
    <t>nagyrendezvények (sokadalom, búcsú, kiskari)</t>
  </si>
  <si>
    <t>ismeretterjesztő programok</t>
  </si>
  <si>
    <t>zenés estek</t>
  </si>
  <si>
    <t>koprodukciós előadások</t>
  </si>
  <si>
    <t>színházi előadások</t>
  </si>
  <si>
    <t>gyermekszínházi előadások</t>
  </si>
  <si>
    <t>koncertek, komolyzenei előadások</t>
  </si>
  <si>
    <t xml:space="preserve">egyéb rendezvények  </t>
  </si>
  <si>
    <t>tanfolyamok, klubok szolgáltatási díjai</t>
  </si>
  <si>
    <t xml:space="preserve">nyári táborok  </t>
  </si>
  <si>
    <t>bankköltség</t>
  </si>
  <si>
    <t>anyag- és áruszállítás</t>
  </si>
  <si>
    <t>taxiköltségek</t>
  </si>
  <si>
    <t>nyári táborok gyermekszállítás</t>
  </si>
  <si>
    <t>egyéb rendezvények személy- és áruszállítás</t>
  </si>
  <si>
    <t>postai levelek, csomagok kézbesítési díja</t>
  </si>
  <si>
    <t>üzemorvosi szolgáltatásért fizetett díjak</t>
  </si>
  <si>
    <t>raktározás, csomagolás</t>
  </si>
  <si>
    <t>bizományi tevékenység</t>
  </si>
  <si>
    <t>takarítás</t>
  </si>
  <si>
    <t>mosás és vegytisztítás</t>
  </si>
  <si>
    <t>kéményseprés</t>
  </si>
  <si>
    <t>rágcsáló- és rovarirtás</t>
  </si>
  <si>
    <t>szemétdíj</t>
  </si>
  <si>
    <t>tűzvédelmi távfelügyelet (Group 4)</t>
  </si>
  <si>
    <t>vagyonvédelmi rendszer távfelügyelete (E-S)</t>
  </si>
  <si>
    <t>az objektum teljes körű őrzés-védelme (E-S)</t>
  </si>
  <si>
    <t>a lift karbantartásának ellenőrzése (MEX-MED)</t>
  </si>
  <si>
    <t>a lift fővizsgálata (MÁRTON Szakértő)</t>
  </si>
  <si>
    <t>tűz- és munkavédelem (HE-BA)</t>
  </si>
  <si>
    <t>tűzóltókészülékek és a tűzcsap ellenőrzése</t>
  </si>
  <si>
    <t>egyéb szolgáltatási költségek</t>
  </si>
  <si>
    <t>utazási költségek</t>
  </si>
  <si>
    <t>szállásköltségek</t>
  </si>
  <si>
    <t>saját gépkocsihasználat költségtérítése</t>
  </si>
  <si>
    <t xml:space="preserve">egyéb térítés </t>
  </si>
  <si>
    <t>a Bálinti Műsor nyomdaköltsége</t>
  </si>
  <si>
    <t>plakátok nyomdaköltsége</t>
  </si>
  <si>
    <t>hirdetés a médiában</t>
  </si>
  <si>
    <t>egyéb marketing</t>
  </si>
  <si>
    <t>Egyéb, különféle pénzügyi műveletek kiadásai</t>
  </si>
  <si>
    <t>autópálya díjak</t>
  </si>
  <si>
    <t>szerzői jogdíjak</t>
  </si>
  <si>
    <t>tanfolyamok, klubok</t>
  </si>
  <si>
    <t>augusztus 20-i rendezvények</t>
  </si>
  <si>
    <t>hirdetés és reklámbevételek</t>
  </si>
  <si>
    <t>rendezvényszervezés</t>
  </si>
  <si>
    <t>különféle egyéb szolgáltatások</t>
  </si>
  <si>
    <t>A Kávézó rezsifogyasztása</t>
  </si>
  <si>
    <t>terembérleti bevételek</t>
  </si>
  <si>
    <t>eszközbérleti bevételek</t>
  </si>
  <si>
    <t>a Kávézó és Büfé bérleti díjbevételei</t>
  </si>
  <si>
    <t>Különféle sporteszközök bérbeadása</t>
  </si>
  <si>
    <t>pályázati bevételek</t>
  </si>
  <si>
    <t>behajtott kártérítések</t>
  </si>
  <si>
    <t>immateriális javak értékesítése</t>
  </si>
  <si>
    <t>egyéb tárgyi eszköz értékesítése</t>
  </si>
  <si>
    <t>sorszám</t>
  </si>
  <si>
    <t>dátum</t>
  </si>
  <si>
    <t>számlaszám</t>
  </si>
  <si>
    <t>közművtev</t>
  </si>
  <si>
    <t>közmintműk</t>
  </si>
  <si>
    <t>nemzünn</t>
  </si>
  <si>
    <t>gyógyszerbeszerzés</t>
  </si>
  <si>
    <t>vegyszerbeszerzés</t>
  </si>
  <si>
    <t>könyvbeszerzés</t>
  </si>
  <si>
    <t>folyóirat beszerzés</t>
  </si>
  <si>
    <t>egyéb információhordozó beszerzés</t>
  </si>
  <si>
    <t>053111901</t>
  </si>
  <si>
    <t>tanfolyamok, klubok anyagköltsége</t>
  </si>
  <si>
    <t>053111902</t>
  </si>
  <si>
    <t>nyári táborok anyagköltsége</t>
  </si>
  <si>
    <t>053111903</t>
  </si>
  <si>
    <t>augusztus 20 anyagköltsége</t>
  </si>
  <si>
    <t>053111904</t>
  </si>
  <si>
    <t>rendezvénysorozatok anyagköltsége</t>
  </si>
  <si>
    <t>053111905</t>
  </si>
  <si>
    <t>kiállítások anyagköltsége</t>
  </si>
  <si>
    <t>053111906</t>
  </si>
  <si>
    <t>nagyrendezvények anyagköltsége</t>
  </si>
  <si>
    <t>053111907</t>
  </si>
  <si>
    <t>ismeretterjesztő programok anyagköltsége</t>
  </si>
  <si>
    <t>053111908</t>
  </si>
  <si>
    <t>zenés estek anyagköltsége</t>
  </si>
  <si>
    <t>053111909</t>
  </si>
  <si>
    <t>koprodukciós előadások anyagköltsége</t>
  </si>
  <si>
    <t>053111910</t>
  </si>
  <si>
    <t>színházi előadások anyagköltsége</t>
  </si>
  <si>
    <t>053111911</t>
  </si>
  <si>
    <t>gyermekszínházi előadások anyagköltsége</t>
  </si>
  <si>
    <t>053111912</t>
  </si>
  <si>
    <t>koncertek, komolyzenei előadások anyagköltsége</t>
  </si>
  <si>
    <t>053111913</t>
  </si>
  <si>
    <t>egyéb rendezvények anyagköltsége</t>
  </si>
  <si>
    <t>053121101</t>
  </si>
  <si>
    <t>053121102</t>
  </si>
  <si>
    <t>bor-bár élelmiszer beszerzése</t>
  </si>
  <si>
    <t>053121103</t>
  </si>
  <si>
    <t>egyéb fizetős rendezvények élelmezése</t>
  </si>
  <si>
    <t>053121201</t>
  </si>
  <si>
    <t>053121202</t>
  </si>
  <si>
    <t>053121203</t>
  </si>
  <si>
    <t>tüzelőanyag beszerzés</t>
  </si>
  <si>
    <t>hajtó- és kenőanyag beszerzés</t>
  </si>
  <si>
    <t>munkaruha, védőruha, formaruha, egyenruha</t>
  </si>
  <si>
    <t>053121901</t>
  </si>
  <si>
    <t>053121902</t>
  </si>
  <si>
    <t>épületgépészeti javítások anyagköltsége</t>
  </si>
  <si>
    <t>053121903</t>
  </si>
  <si>
    <t>053121904</t>
  </si>
  <si>
    <t>árubeszerzés</t>
  </si>
  <si>
    <t>göngyöleg beszerzés</t>
  </si>
  <si>
    <t>informatikai tanácsadás, üzembehelyezés</t>
  </si>
  <si>
    <t>053211201</t>
  </si>
  <si>
    <t>rendszergazda</t>
  </si>
  <si>
    <t>053211202</t>
  </si>
  <si>
    <t>informatikai eszköz szolgáltatás bérlése, lízingje</t>
  </si>
  <si>
    <t>informatikai eszköz karbantartása</t>
  </si>
  <si>
    <t>PR Telecom internethasználati díjak</t>
  </si>
  <si>
    <t>053211901</t>
  </si>
  <si>
    <t>053211902</t>
  </si>
  <si>
    <t>053221101</t>
  </si>
  <si>
    <t xml:space="preserve">magyar telecom </t>
  </si>
  <si>
    <t>053221102</t>
  </si>
  <si>
    <t xml:space="preserve">H1 telecom </t>
  </si>
  <si>
    <t>053221103</t>
  </si>
  <si>
    <t>enternet IP telefonok</t>
  </si>
  <si>
    <t>053221104</t>
  </si>
  <si>
    <t xml:space="preserve">éva központi mobilja </t>
  </si>
  <si>
    <t>egyéb kommunikációs szolgáltatások</t>
  </si>
  <si>
    <t>villamos energia</t>
  </si>
  <si>
    <t xml:space="preserve">gázenergia </t>
  </si>
  <si>
    <t>távhő- és melegvíz</t>
  </si>
  <si>
    <t>víz és csatorna</t>
  </si>
  <si>
    <t>vásárolt élelmezés</t>
  </si>
  <si>
    <t>PPP konstrukcióhoz kapcsolódó szolgáltatások</t>
  </si>
  <si>
    <t>053331201</t>
  </si>
  <si>
    <t>053331202</t>
  </si>
  <si>
    <t>053331203</t>
  </si>
  <si>
    <t>augusztus 20 bérleti díjai</t>
  </si>
  <si>
    <t>053331204</t>
  </si>
  <si>
    <t>05334101</t>
  </si>
  <si>
    <t>az ingatlanon végzett javítás</t>
  </si>
  <si>
    <t>05334102</t>
  </si>
  <si>
    <t>az épületgépészeti eszközök karbantartása</t>
  </si>
  <si>
    <t>05334103</t>
  </si>
  <si>
    <t>színpadtechnika karbantartás és felülvizsgálat</t>
  </si>
  <si>
    <t>05334104</t>
  </si>
  <si>
    <t>05334105</t>
  </si>
  <si>
    <t>05334106</t>
  </si>
  <si>
    <t>05334107</t>
  </si>
  <si>
    <t>05334108</t>
  </si>
  <si>
    <t>az elektromos hálózat érintésvédelmi felülvizsgálata</t>
  </si>
  <si>
    <t>05334109</t>
  </si>
  <si>
    <t>számítógépek karbantartása</t>
  </si>
  <si>
    <t>05334110</t>
  </si>
  <si>
    <t>05334111</t>
  </si>
  <si>
    <t>05334112</t>
  </si>
  <si>
    <t>a fény- és hangtechnika karbantartása</t>
  </si>
  <si>
    <t>05334113</t>
  </si>
  <si>
    <t>tűzvédelmi karbantartás és felülvizsgálat</t>
  </si>
  <si>
    <t>05334114</t>
  </si>
  <si>
    <t>a behatolásjelző rendszer karbantartása</t>
  </si>
  <si>
    <t>05334115</t>
  </si>
  <si>
    <t>CCTV térfigyelő rendszer karbantartása</t>
  </si>
  <si>
    <t>05334116</t>
  </si>
  <si>
    <t>05334117</t>
  </si>
  <si>
    <t>05334118</t>
  </si>
  <si>
    <t>készletértékesítés ellenértéke</t>
  </si>
  <si>
    <t>B4020101</t>
  </si>
  <si>
    <t>társastánc, törpék tánca, versenytánc</t>
  </si>
  <si>
    <t>B4020102</t>
  </si>
  <si>
    <t>hip-hop</t>
  </si>
  <si>
    <t>B4020103</t>
  </si>
  <si>
    <t>alakformáló torna, aerodance</t>
  </si>
  <si>
    <t>B4020104</t>
  </si>
  <si>
    <t>zumba</t>
  </si>
  <si>
    <t>B4020105</t>
  </si>
  <si>
    <t>néptánc</t>
  </si>
  <si>
    <t>B4020106</t>
  </si>
  <si>
    <t>pilates</t>
  </si>
  <si>
    <t>B4020107</t>
  </si>
  <si>
    <t>gerinctorna</t>
  </si>
  <si>
    <t>B4020108</t>
  </si>
  <si>
    <t>country klub</t>
  </si>
  <si>
    <t>B4020109</t>
  </si>
  <si>
    <t>jóga</t>
  </si>
  <si>
    <t>B4020110</t>
  </si>
  <si>
    <t>akrobatikus fitnesz</t>
  </si>
  <si>
    <t>B4020111</t>
  </si>
  <si>
    <t>rajzstúdió</t>
  </si>
  <si>
    <t>B4020112</t>
  </si>
  <si>
    <t>görbebögre fazekas klub</t>
  </si>
  <si>
    <t>B4020113</t>
  </si>
  <si>
    <t>rock klub</t>
  </si>
  <si>
    <t>B4020114</t>
  </si>
  <si>
    <t>B4020115</t>
  </si>
  <si>
    <t>B4020116</t>
  </si>
  <si>
    <t>B40202</t>
  </si>
  <si>
    <t>nyári táborok</t>
  </si>
  <si>
    <t>B40203</t>
  </si>
  <si>
    <t>augusztus 20</t>
  </si>
  <si>
    <t>B4020301</t>
  </si>
  <si>
    <t>ficánkoló családi napok</t>
  </si>
  <si>
    <t>B4020302</t>
  </si>
  <si>
    <t>bor bár</t>
  </si>
  <si>
    <t>B4020303</t>
  </si>
  <si>
    <t>törökbálinti pódium</t>
  </si>
  <si>
    <t>B4020304</t>
  </si>
  <si>
    <t>B4020305</t>
  </si>
  <si>
    <t>B40204</t>
  </si>
  <si>
    <t>B4020501</t>
  </si>
  <si>
    <t>búcsú</t>
  </si>
  <si>
    <t>B4020502</t>
  </si>
  <si>
    <t>sokadalom</t>
  </si>
  <si>
    <t>B4020503</t>
  </si>
  <si>
    <t>kiskarácsony</t>
  </si>
  <si>
    <t>B40206</t>
  </si>
  <si>
    <t>B40207</t>
  </si>
  <si>
    <t>B40208</t>
  </si>
  <si>
    <t>B40209</t>
  </si>
  <si>
    <t>B40210</t>
  </si>
  <si>
    <t>B40211</t>
  </si>
  <si>
    <t>B40212</t>
  </si>
  <si>
    <t>egyéb rendezvények</t>
  </si>
  <si>
    <t>B40213</t>
  </si>
  <si>
    <t>B40214</t>
  </si>
  <si>
    <t>B40215</t>
  </si>
  <si>
    <t>B40216</t>
  </si>
  <si>
    <t>B40301</t>
  </si>
  <si>
    <t>B40302</t>
  </si>
  <si>
    <t>B40303</t>
  </si>
  <si>
    <t>a kávézó rezsifogyasztása</t>
  </si>
  <si>
    <t>B4040101</t>
  </si>
  <si>
    <t>terembérlet árusok</t>
  </si>
  <si>
    <t>B4040102</t>
  </si>
  <si>
    <t>terembérlet termékbemutatók</t>
  </si>
  <si>
    <t>B4040103</t>
  </si>
  <si>
    <t>terembérlet esküvők</t>
  </si>
  <si>
    <t>B4040104</t>
  </si>
  <si>
    <t>terembérlet baráti és családi rendezvények</t>
  </si>
  <si>
    <t>B4040105</t>
  </si>
  <si>
    <t>terembérlet céges rendezvények</t>
  </si>
  <si>
    <t>B4040106</t>
  </si>
  <si>
    <t>terembérlet amatőr művészeti csoportok előadásai</t>
  </si>
  <si>
    <t>B4040107</t>
  </si>
  <si>
    <t>terembérlet civil szervezetek</t>
  </si>
  <si>
    <t>B40402</t>
  </si>
  <si>
    <t>eszközbérlet</t>
  </si>
  <si>
    <t>B40403</t>
  </si>
  <si>
    <t>a kávézó és büfé bérleti díjai</t>
  </si>
  <si>
    <t>B40404</t>
  </si>
  <si>
    <t>különféle sporteszközök bérbeadásai</t>
  </si>
  <si>
    <t>kiszámlázott általános forgalmi adó</t>
  </si>
  <si>
    <t>kamatbevételek</t>
  </si>
  <si>
    <t>B41001</t>
  </si>
  <si>
    <t>B41002</t>
  </si>
  <si>
    <t>B501</t>
  </si>
  <si>
    <t>B502</t>
  </si>
  <si>
    <t>Könyvtári szolg 121017</t>
  </si>
  <si>
    <t>Könyvtári áll gyarapítása 121016</t>
  </si>
  <si>
    <t>Orvosok tám 122028</t>
  </si>
  <si>
    <t>Városőrség tám 122029</t>
  </si>
  <si>
    <t>Volánbusz tám 122003</t>
  </si>
  <si>
    <t>BKK tám 122030</t>
  </si>
  <si>
    <t>OMI tám 122031</t>
  </si>
  <si>
    <t>Kult szerv tám 122032</t>
  </si>
  <si>
    <t>Civil tám 122033</t>
  </si>
  <si>
    <t>Egyházak tám 122034</t>
  </si>
  <si>
    <t>Elite Basket 122035</t>
  </si>
  <si>
    <t>TTC Labdarúgó 122036</t>
  </si>
  <si>
    <t>PR Evolution 122037</t>
  </si>
  <si>
    <t>Shaolin Kung Fu 122038</t>
  </si>
  <si>
    <t>Háztartások tám 122040</t>
  </si>
  <si>
    <t>Segélyek önként 122042</t>
  </si>
  <si>
    <t>Egyéb önként vállalt 122050</t>
  </si>
  <si>
    <t>POLGÁRMESTERI HIVATAL 2014 (az adatok ezer forintban)</t>
  </si>
  <si>
    <t>Önkorm igazgatás 121012</t>
  </si>
  <si>
    <t xml:space="preserve">Közterület-felügy 122015 </t>
  </si>
  <si>
    <t>Mezei őrszolgálat 122016</t>
  </si>
  <si>
    <t>Közerület-felügy 122015</t>
  </si>
  <si>
    <t>ÁLLAMIGAZGATÁSI FELADATOK</t>
  </si>
  <si>
    <t>Munkaadókat terhelő járulékok</t>
  </si>
  <si>
    <t>Segélyek (jegyző) 123002</t>
  </si>
  <si>
    <t>Ellátottak pénzbeli juttatásai összesen</t>
  </si>
  <si>
    <t>Betegséggel kapcsolatos (nem tb) ellátások</t>
  </si>
  <si>
    <t>Foglalkozt., munkanélk. kapcsolatos ellátások</t>
  </si>
  <si>
    <t>KIADÁSOK ÖSSZESEN:</t>
  </si>
  <si>
    <t>Beruházások (kis értékű)</t>
  </si>
  <si>
    <t>Ünnepek 121028</t>
  </si>
  <si>
    <t>Egyéb telep üz fel 121011</t>
  </si>
  <si>
    <t>Nemzeti ünnepek 121028</t>
  </si>
  <si>
    <t>B36</t>
  </si>
  <si>
    <t>Egyéb közhatalmi bevételek</t>
  </si>
  <si>
    <t>…</t>
  </si>
  <si>
    <t>Családsegítés 121025</t>
  </si>
  <si>
    <t>Házi seg.nyújt. 121023</t>
  </si>
  <si>
    <t>Gyermek-jóléti szolg 121026</t>
  </si>
  <si>
    <t>Bölcsődei ellátás 121021</t>
  </si>
  <si>
    <t>Szoc étkeztetés 121024</t>
  </si>
  <si>
    <t>Bölcsi étkeztetés 121022</t>
  </si>
  <si>
    <t>Gyerm napközbeni ell 122041</t>
  </si>
  <si>
    <t>Bevételek előirányzata</t>
  </si>
  <si>
    <t>Intézményi ellátás díja</t>
  </si>
  <si>
    <t>Alkalmazotti és egyéb térítés díjak</t>
  </si>
  <si>
    <t xml:space="preserve">Eseti bérbeadás </t>
  </si>
  <si>
    <t>Kártérítés</t>
  </si>
  <si>
    <t>Egyéb</t>
  </si>
  <si>
    <t>Kamatbevétel</t>
  </si>
  <si>
    <t>Pénzeszköz átvétel</t>
  </si>
  <si>
    <t>Kiszámlázott ÁFA</t>
  </si>
  <si>
    <t>ÁFA visszatérítés</t>
  </si>
  <si>
    <t>Egyéb bevételek (03+…..+08)</t>
  </si>
  <si>
    <t>Előző évi pénzmaradvány</t>
  </si>
  <si>
    <t>Költségvetési bevételek mindösszesen</t>
  </si>
  <si>
    <t>Függő bevétel</t>
  </si>
  <si>
    <t>Finanszírozás</t>
  </si>
  <si>
    <t>Bevételek összesen</t>
  </si>
  <si>
    <t>Szoc étk</t>
  </si>
  <si>
    <t>Bölcsi étk</t>
  </si>
  <si>
    <t xml:space="preserve">Óvodai nevelés </t>
  </si>
  <si>
    <t>Óvodai étkeztetés</t>
  </si>
  <si>
    <t>ÉTV közmű felújítás</t>
  </si>
  <si>
    <t>Városi belterületi csapadékvíz elvezetés koncepció terv</t>
  </si>
  <si>
    <t>Régészeti feltárás az M0-M7 le- és felhajtónál</t>
  </si>
  <si>
    <t>Bálint Márton tagiskola főbejáratánál kialakítandó szélfogó</t>
  </si>
  <si>
    <t>Hosszúréti patak zártszerlvényű kiváltása a 493 hrsz ingatlanon</t>
  </si>
  <si>
    <t>Helyi értékvédelemmel kapcsolatos feladatok</t>
  </si>
  <si>
    <t>TSZT/HÉSZ fejlesztési kiadásai</t>
  </si>
  <si>
    <t>Főépítészi egyéb feladatokra kötött szerződések</t>
  </si>
  <si>
    <t>Beruházás</t>
  </si>
  <si>
    <t>Egyéb fejlesztési, felújítási feladatok</t>
  </si>
  <si>
    <t>Kis értékű eszközbeszerzések</t>
  </si>
  <si>
    <t>GAZDASÁGI SZERVEZETTEL NEM RENDELKEZŐ KÖLTSÉGVETÉSI SZERVEK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</si>
  <si>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</si>
  <si>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</si>
  <si>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</si>
  <si>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</si>
  <si>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</si>
  <si>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</si>
  <si>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</si>
  <si>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</si>
  <si>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</si>
  <si>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</si>
  <si>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</si>
  <si>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</si>
  <si>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</si>
  <si>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</si>
  <si>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</si>
  <si>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</si>
  <si>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</si>
  <si>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</si>
  <si>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</si>
  <si>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</si>
  <si>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</si>
  <si>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</si>
  <si>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</si>
  <si>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</si>
  <si>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</si>
  <si>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</si>
  <si>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</si>
  <si>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</si>
  <si>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</si>
  <si>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</si>
  <si>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</si>
  <si>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Óvodai nevelés</t>
  </si>
  <si>
    <t>Településrendezés, településfejlesztés</t>
  </si>
  <si>
    <t>Közparkok fenntartása, kialakítása</t>
  </si>
  <si>
    <t>Egészségügyi alapellátás</t>
  </si>
  <si>
    <t>Védőnői szolgálat</t>
  </si>
  <si>
    <t>Fogyatékos személyek nappali ellátása</t>
  </si>
  <si>
    <t>Választás, népszavazás</t>
  </si>
  <si>
    <t>Lakás- és helyiséggazdálkodás</t>
  </si>
  <si>
    <t>Helyi környezet- és természetvédelem</t>
  </si>
  <si>
    <t>Egyéb településüzemeltetési feladatok</t>
  </si>
  <si>
    <t>Nemzeti ünnepek programjai</t>
  </si>
  <si>
    <t>Segélyek kötelező</t>
  </si>
  <si>
    <t>Járóbeteg szakellátás - nőgyógyászat</t>
  </si>
  <si>
    <t>ZED kártérítés</t>
  </si>
  <si>
    <t xml:space="preserve">Bursa Hungarica felsőokt ösztöndíj </t>
  </si>
  <si>
    <t xml:space="preserve">Ifjúsági Önkormányzat </t>
  </si>
  <si>
    <t>Civil koncepció</t>
  </si>
  <si>
    <t xml:space="preserve">Elhelyezés családok átmeneti otthonában </t>
  </si>
  <si>
    <t xml:space="preserve">Gyermekek átmeneti otthona </t>
  </si>
  <si>
    <t>Duna Szimfonikus Zenekar hangversenysorozat</t>
  </si>
  <si>
    <t>Korai fejlesztés, gondozás</t>
  </si>
  <si>
    <t>Betegszállítás</t>
  </si>
  <si>
    <t xml:space="preserve">Tervtanács </t>
  </si>
  <si>
    <t>Médiaszolgáltatások</t>
  </si>
  <si>
    <t xml:space="preserve">Jelzőrendszers házi segítségnyújtás, támogató szolgálat </t>
  </si>
  <si>
    <t>Rendőrség támogatása</t>
  </si>
  <si>
    <t>Hajléktalanok átmeneti elhelyezése</t>
  </si>
  <si>
    <t xml:space="preserve">Törökbálinti Német Önkorm. támogatása </t>
  </si>
  <si>
    <t xml:space="preserve">Cigány Nemzetiségi Önkorm. támogatása </t>
  </si>
  <si>
    <t>Kaposvári Egyetem támogatása</t>
  </si>
  <si>
    <t>Orvosok, fogorvosok támogatása</t>
  </si>
  <si>
    <t>Volánbusz támogatása</t>
  </si>
  <si>
    <t xml:space="preserve">BKK támogatása </t>
  </si>
  <si>
    <t>OMI támogatása</t>
  </si>
  <si>
    <t>Civil szervezetek támogatása</t>
  </si>
  <si>
    <t xml:space="preserve">Egyházak támogatása </t>
  </si>
  <si>
    <t>Elite Basket támogatása</t>
  </si>
  <si>
    <t>TTC Labdarúgó Szakosztály támogatása</t>
  </si>
  <si>
    <t xml:space="preserve">PR-Evolution Dance Company támogatása </t>
  </si>
  <si>
    <t>Shaolin Kunkg Fu Egyesület támogatása</t>
  </si>
  <si>
    <t>Háztartások működési célú támogatása</t>
  </si>
  <si>
    <t>Segélyek - önként vállalt</t>
  </si>
  <si>
    <t xml:space="preserve">Egyéb önként vállalt feladatok </t>
  </si>
  <si>
    <t xml:space="preserve">Önkormányzati igazgatási feladatok </t>
  </si>
  <si>
    <t>Választás</t>
  </si>
  <si>
    <t>Mezei őrszolgálat</t>
  </si>
  <si>
    <t xml:space="preserve">Jegyzői hatáskörbe tartozó segélyek </t>
  </si>
  <si>
    <t xml:space="preserve">Egyéb államigazgatási feladatok </t>
  </si>
  <si>
    <t>Óvoda u. felújítása (2013. évről áthúzódó kiadás)</t>
  </si>
  <si>
    <t>Közművelődési intézmény működtetése</t>
  </si>
  <si>
    <t>Közművelődési tevékenységek</t>
  </si>
  <si>
    <t>Volf György Könyvtár</t>
  </si>
  <si>
    <t>Könyvtári szolgáltatások</t>
  </si>
  <si>
    <t>Könyvtári állomány gyarapítása, nyilvántartása</t>
  </si>
  <si>
    <t>Családsegítés</t>
  </si>
  <si>
    <t>Házi segítségnyújtás</t>
  </si>
  <si>
    <t>Bölcsődei ellátás</t>
  </si>
  <si>
    <t>Szociális étkeztetés</t>
  </si>
  <si>
    <t>Bölcsődei étkeztetés</t>
  </si>
  <si>
    <t>1.3. Működési célú kölcsönök visszatérülése államháztartáson belülről</t>
  </si>
  <si>
    <t>1.4. Egyéb működési célú támogatások bevételei államháztartáson belülről</t>
  </si>
  <si>
    <t>Gépjárműadó</t>
  </si>
  <si>
    <t>2.3. Egyéb adók</t>
  </si>
  <si>
    <t>2.4. Egyéb közhatalmi bevételek</t>
  </si>
  <si>
    <t>3.1. Készletértékesítés ellenértéke</t>
  </si>
  <si>
    <t>4.1. Működési célú kölcsönök visszatérülése államháztartáson kívülről</t>
  </si>
  <si>
    <t>1.3. Egyéb felhalmozási célú támogatások bevételei államháztartáson belülről</t>
  </si>
  <si>
    <t>3.1. Felhalmozási célú kölcsönök visszatérülése államháztartáson kívülről</t>
  </si>
  <si>
    <t>1.2. Belföldi értékpapírok bevételei</t>
  </si>
  <si>
    <t>Likviditási hitel, kölcsön felvétele</t>
  </si>
  <si>
    <t>1.2. Felhalmozási célú kölcsönök visszatérülése államháztartáson belülről</t>
  </si>
  <si>
    <t>1.1. Egyéb működési célú támogatások bevételei államháztartáson belülről</t>
  </si>
  <si>
    <t>2.1. Készletértékesítés ellenértéke</t>
  </si>
  <si>
    <t>1.1. Egyéb felhalmozási célú támogatások bevételei államháztartáson belülről</t>
  </si>
  <si>
    <t>1.1. Készletértékesítés ellenértéke</t>
  </si>
  <si>
    <t>1.1. Készletértékesítés bevétele</t>
  </si>
  <si>
    <t>1.2. Belföldi értékpapírok kiadásai</t>
  </si>
  <si>
    <t>1.4. Pénzeszközök betétként elhelyezése</t>
  </si>
  <si>
    <t>1.3. Pénzeszközök betétként elhelyezése</t>
  </si>
  <si>
    <t>Önkormányzati beruházások</t>
  </si>
  <si>
    <t>Városgondnokság intézményi beruházásai</t>
  </si>
  <si>
    <t>Polgármesteri Hivatal intézményi beruházásai</t>
  </si>
  <si>
    <t>Walla József Óvoda intézményi beruházásai</t>
  </si>
  <si>
    <t>Törökbálinti Nyitnikék Óvoda intézményi beruházásai</t>
  </si>
  <si>
    <t>Törökbálinti Bóbita Óvoda intézményi beruházásai</t>
  </si>
  <si>
    <t>Munkácsy Mihály Művelődési Ház intézményi beruházásai</t>
  </si>
  <si>
    <t>Volf György Könyvtár intézményi beruházásai</t>
  </si>
  <si>
    <t>Segítő Kéz Szolgálat intézményi beruházásai</t>
  </si>
  <si>
    <t>Törökbálint Város Önkormányzata 2014. évi címrendje</t>
  </si>
  <si>
    <t>5.1. Működési célú kölcsön nyújtása államháztartáson belülre</t>
  </si>
  <si>
    <t>3.1. Felhalmozási célú kölcsönök nyújtása államháztartáson belülre</t>
  </si>
  <si>
    <t>3.2.Felhalmozási célú kölcsönök nyújtása államháztartáson kívülre</t>
  </si>
  <si>
    <t>1. Általános tartalék</t>
  </si>
  <si>
    <t>2.1. Tartalék 2014 évi maradvány céljára</t>
  </si>
  <si>
    <t>2.2. Környezetvédelmi alap</t>
  </si>
  <si>
    <t>2.3. Polgármesteri keret</t>
  </si>
  <si>
    <t>2.4. Alpolgármesteri keret (ált. helyettes)</t>
  </si>
  <si>
    <t>2.5. Alpolgármesteri keret (beruh.)</t>
  </si>
  <si>
    <t>2.6. Érdekeltségi alap</t>
  </si>
  <si>
    <t>3.1. ProgressB Zrt. elkülönített számla</t>
  </si>
  <si>
    <t xml:space="preserve">3.2. Lakásalap </t>
  </si>
  <si>
    <t>3.3. Vízügyi építési alap</t>
  </si>
  <si>
    <t>3.4. Víziközmű számla</t>
  </si>
  <si>
    <t>2. Működési céltartalék</t>
  </si>
  <si>
    <t>3. Felhalmozási céltartalék</t>
  </si>
  <si>
    <t>Működési céltartalék</t>
  </si>
  <si>
    <t>Felhamozási céltartalék</t>
  </si>
  <si>
    <t>Segélyek</t>
  </si>
  <si>
    <t>Önkormányzati igazgatási feladatok</t>
  </si>
  <si>
    <t>Temető fenntartás</t>
  </si>
  <si>
    <t>Közművelődési intézmények működtetése</t>
  </si>
  <si>
    <t>Könyvtári állomány gyarapítása</t>
  </si>
  <si>
    <t>KSH:</t>
  </si>
  <si>
    <t>ÖNKORMÁNYZAT NEVE:</t>
  </si>
  <si>
    <t>Törökbálint</t>
  </si>
  <si>
    <t>Magyarország 2014. évi központi költségvetéséről szóló 2013. évi CCXXX. törvény 2. számú melleklete alapján a helyi önkormányzatok általános működésének és ágazati feladatainak támogatása</t>
  </si>
  <si>
    <t>Eredeti
előirányzat
(Ft)</t>
  </si>
  <si>
    <t>A települési önkormányzatok működésének támogatása</t>
  </si>
  <si>
    <t>a)</t>
  </si>
  <si>
    <t>Önkormányzati hivatal működésének támogatása beszámítás után</t>
  </si>
  <si>
    <t>b)</t>
  </si>
  <si>
    <t>Település-üzemeltetéshez kapcsolódó feladatellátás támogatása  beszámítás után</t>
  </si>
  <si>
    <t>c)</t>
  </si>
  <si>
    <t>Egyéb önkormányzati feladatok támogatása  beszámítás után</t>
  </si>
  <si>
    <t>Nem közművel összegyűjtött háztartási szennyvíz ártalmatlanítása</t>
  </si>
  <si>
    <r>
      <t>Megyei önkormányzatok működésének támogatása</t>
    </r>
    <r>
      <rPr>
        <sz val="10"/>
        <color indexed="8"/>
        <rFont val="Times New Roman"/>
        <family val="1"/>
        <charset val="238"/>
      </rPr>
      <t xml:space="preserve">  </t>
    </r>
  </si>
  <si>
    <t xml:space="preserve">A HELYI ÖNKORMÁNYZATOK MŰKÖDÉSÉNEK ÁLTALÁNOS TÁMOGATÁSA ÖSSZESEN
</t>
  </si>
  <si>
    <t>Óvodapedagógusok bértámogatása</t>
  </si>
  <si>
    <t xml:space="preserve">2013/2014 tanév </t>
  </si>
  <si>
    <t>2014/2015 tanév</t>
  </si>
  <si>
    <t>Óvodapedagógusok bértámogatásának pótlólagos összege  2014/2015 tanév</t>
  </si>
  <si>
    <r>
      <t>Óvodapedagógusok nevelő munkáját közvetlenül segítők bértámogatása</t>
    </r>
    <r>
      <rPr>
        <i/>
        <sz val="10"/>
        <color indexed="8"/>
        <rFont val="Times New Roman"/>
        <family val="1"/>
        <charset val="238"/>
      </rPr>
      <t xml:space="preserve"> </t>
    </r>
  </si>
  <si>
    <t>a+b+c)</t>
  </si>
  <si>
    <r>
      <t>Óvodapedagógusok, és az óvodapedagógusok nevelő munkáját közvetlenül segítők bértámogatása</t>
    </r>
    <r>
      <rPr>
        <sz val="10"/>
        <color indexed="8"/>
        <rFont val="Times New Roman"/>
        <family val="1"/>
        <charset val="238"/>
      </rPr>
      <t xml:space="preserve"> 
</t>
    </r>
  </si>
  <si>
    <r>
      <t>Óvodaműködtetési támogatás</t>
    </r>
    <r>
      <rPr>
        <sz val="10"/>
        <color indexed="8"/>
        <rFont val="Times New Roman"/>
        <family val="1"/>
        <charset val="238"/>
      </rPr>
      <t xml:space="preserve"> </t>
    </r>
  </si>
  <si>
    <r>
      <t>Társulás által fenntartott óvodákba bejáró gyermekek utaztatásának támogatása</t>
    </r>
    <r>
      <rPr>
        <sz val="10"/>
        <color indexed="8"/>
        <rFont val="Times New Roman"/>
        <family val="1"/>
        <charset val="238"/>
      </rPr>
      <t xml:space="preserve"> 
</t>
    </r>
  </si>
  <si>
    <t>A TELEPÜLÉSI ÖNKORMÁNYZATOK EGYES KÖZNEVELÉSI FELADATAINAK TÁMOGATÁSA ÖSSZESEN</t>
  </si>
  <si>
    <t>Hozzájárulás a pénzbeli szociális ellátásokhoz   beszámítás után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</si>
  <si>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</si>
  <si>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</si>
  <si>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</si>
  <si>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>d)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</si>
  <si>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</si>
  <si>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</si>
  <si>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</si>
  <si>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</si>
  <si>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</si>
  <si>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</si>
  <si>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</si>
  <si>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</si>
  <si>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</si>
  <si>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</si>
  <si>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</si>
  <si>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</si>
  <si>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</si>
  <si>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</si>
  <si>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</si>
  <si>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</si>
  <si>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</si>
  <si>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>m)</t>
  </si>
  <si>
    <t>Kistelepülések szociális feladatainak támogatása</t>
  </si>
  <si>
    <t xml:space="preserve">Egyes szociális és gyermekjóléti feladatok támogatása 
</t>
  </si>
  <si>
    <t xml:space="preserve">A finanszírozás szempontjából elismert szakmai dolgozók bértámogatása </t>
  </si>
  <si>
    <t xml:space="preserve">Intézmény-üzemeltetési támogatás </t>
  </si>
  <si>
    <t xml:space="preserve">A települési önkormányzatok által az idősek átmeneti és tartós, valamint a hajléktalan személyek részére nyújtott tartós szociális szakosított ellátási feladatok támogatása 
</t>
  </si>
  <si>
    <t xml:space="preserve">A finanszírozás szempontjából elismert dolgozók bértámogatása </t>
  </si>
  <si>
    <t>Gyermekétkeztetés üzemeltetési támogatása</t>
  </si>
  <si>
    <t>Gyermekétkeztetés támogatása</t>
  </si>
  <si>
    <t xml:space="preserve">A TELEPÜLÉSI ÖNKORMÁNYZATOK SZOCIÁLIS, GYERMEKJÓLÉTI  ÉS GYERMEKÉTKEZTETÉSI FELADATAINAK TÁMOGATÁSA ÖSSZESEN 
</t>
  </si>
  <si>
    <t>IV.</t>
  </si>
  <si>
    <t xml:space="preserve">Megyei hatókörű városi múzeumok feladatainak támogatása </t>
  </si>
  <si>
    <t xml:space="preserve">Megyei könyvtárak feladatainak támogatása </t>
  </si>
  <si>
    <t xml:space="preserve">Megyeszékhely megyei jogú városok és Szentendre Város Önkormányzatának közművelődési támogatása 
</t>
  </si>
  <si>
    <t xml:space="preserve">Települési önkormányzatok nyilvános könyvtári és közművelődési feladatainak támogatása 
</t>
  </si>
  <si>
    <t xml:space="preserve">Települési önkormányzatok muzeális intézményi feladatainak támogatása </t>
  </si>
  <si>
    <t xml:space="preserve">Budapest Főváros Önkormányzatának múzeumi, könyvtári és közművelődési támogatása 
</t>
  </si>
  <si>
    <t>Fővárosi kerületi önkormányzatok közművelődési támogatása</t>
  </si>
  <si>
    <t xml:space="preserve">Megyei könyvtár kistelepülési könyvtári célú kiegészítő támogatása 
</t>
  </si>
  <si>
    <t xml:space="preserve">Könyvtári, közművelődési és múzeumi feladatok támogatása összesen 
</t>
  </si>
  <si>
    <t xml:space="preserve">Színházművészeti szervezetek támogatása </t>
  </si>
  <si>
    <t>aa)</t>
  </si>
  <si>
    <t xml:space="preserve">A nemzeti minősítésű színházművészeti szervezetek támogatása 
</t>
  </si>
  <si>
    <t>aaa)</t>
  </si>
  <si>
    <t xml:space="preserve">A nemzeti minősítésű színházművészeti szervezetek művészeti támogatása </t>
  </si>
  <si>
    <t>aab)</t>
  </si>
  <si>
    <t xml:space="preserve">A nemzeti minősítésű színházművészeti szervezetek létesítmény-gazdálkodási célú működési támogatása 
</t>
  </si>
  <si>
    <t>ab)</t>
  </si>
  <si>
    <t xml:space="preserve">A kiemelt minősítésű színházművészeti szervezetek támogatása 
</t>
  </si>
  <si>
    <t>aba)</t>
  </si>
  <si>
    <t xml:space="preserve">A kiemelt minősítésű színházművészeti szervezetek művészeti támogatása </t>
  </si>
  <si>
    <t>abb)</t>
  </si>
  <si>
    <t xml:space="preserve">A kiemelt minősítésű színházművészeti szervezetek  létesítmény-gazdálkodási célú működési támogatása </t>
  </si>
  <si>
    <t xml:space="preserve">Táncművészeti szervezetek támogatása </t>
  </si>
  <si>
    <t>ba)</t>
  </si>
  <si>
    <t xml:space="preserve">A nemzeti minősítésű táncművészeti szervezetek művészeti támogatása </t>
  </si>
  <si>
    <t>bb)</t>
  </si>
  <si>
    <t xml:space="preserve">A nemzeti minősítésű táncművészeti szervezetek létesítmény-gazdálkodási célú működési támogatása 
</t>
  </si>
  <si>
    <t>bc)</t>
  </si>
  <si>
    <t xml:space="preserve">A kiemelt minősítésű táncművészeti szervezetek művészeti támogatása </t>
  </si>
  <si>
    <t>bd)</t>
  </si>
  <si>
    <t xml:space="preserve">A kiemelt minősítésű táncművészeti szervezetek létesítmény-gazdálkodási célú működési támogatása 
</t>
  </si>
  <si>
    <t xml:space="preserve">Zeneművészeti szervezetek támogatása </t>
  </si>
  <si>
    <t>ca)</t>
  </si>
  <si>
    <t xml:space="preserve">Zenekarok támogatása </t>
  </si>
  <si>
    <t>caa)</t>
  </si>
  <si>
    <t xml:space="preserve">A nemzeti minősítésű zenekarok támogatása </t>
  </si>
  <si>
    <t>cab)</t>
  </si>
  <si>
    <t xml:space="preserve">A kiemelt minősítésű zenekarok támogatása </t>
  </si>
  <si>
    <t>cb)</t>
  </si>
  <si>
    <t xml:space="preserve">Énekkarok támogatása </t>
  </si>
  <si>
    <t>cba)</t>
  </si>
  <si>
    <t xml:space="preserve">A nemzeti minősítésű énekkarok támogatása </t>
  </si>
  <si>
    <t>cbb)</t>
  </si>
  <si>
    <t xml:space="preserve">A kiemelt minősítésű énekkarok támogatása </t>
  </si>
  <si>
    <t>A települési önkormányzatok által fenntartott, illetve támogatott előadó-művészeti szervezetek támogatása összesen</t>
  </si>
  <si>
    <t xml:space="preserve"> A TELEPÜLÉSI ÖNKORMÁNYZATOK KULTURÁLIS FELADATAINAK TÁMOGATÁSA ÖSSZESEN </t>
  </si>
  <si>
    <t>Magyarország 2014. évi központi költségvetéséről szóló 2013. évi CCXXX. törvény 3. számú melleklete alapján a helyi önkormányzatok által felhasználható központosított előirányzatok</t>
  </si>
  <si>
    <t>Üdülőhelyi feladatok támogatása</t>
  </si>
  <si>
    <t>Települési önkormányzatok köznevelési feladatainak egyéb támogatása</t>
  </si>
  <si>
    <t>Korábban a Megyei Intézményfenntartó Központ által fenntartott, települési önkormányzat tulajdonában lévő köznevelési intézmények működtetésének támogatása</t>
  </si>
  <si>
    <t>Köznevelési intézmények kiegészítő támogatása</t>
  </si>
  <si>
    <t>Lakott külterülettel kapcsolatos feladatok támogatása</t>
  </si>
  <si>
    <t>Ifjúsági Önkormányzat</t>
  </si>
  <si>
    <t>Bursa Hungarica felsőokt ösztöndíj</t>
  </si>
  <si>
    <t>Duna Szimfonikus Zenekar hangversenysor.</t>
  </si>
  <si>
    <t>Tervtanács</t>
  </si>
  <si>
    <t>Jelzőrendszers házi segítségnyújtás, támogató szolgálat</t>
  </si>
  <si>
    <t xml:space="preserve">Rendőrség támogatása </t>
  </si>
  <si>
    <t xml:space="preserve">Hajléktalanok, családok átmeneti elhelyezése </t>
  </si>
  <si>
    <t>TNÖ támogatása</t>
  </si>
  <si>
    <t>CNÖ támogatása</t>
  </si>
  <si>
    <t>BKK támogatása</t>
  </si>
  <si>
    <t>Egyházak támogatása</t>
  </si>
  <si>
    <t>PR-Evolution Dance Company támogatása</t>
  </si>
  <si>
    <t>Egyéb önként vállalt kiadások</t>
  </si>
  <si>
    <t>I/1</t>
  </si>
  <si>
    <t>I/2</t>
  </si>
  <si>
    <t>I/3</t>
  </si>
  <si>
    <t>I/4</t>
  </si>
  <si>
    <t>I/5</t>
  </si>
  <si>
    <t>I/6</t>
  </si>
  <si>
    <t>I/7</t>
  </si>
  <si>
    <t>I/8</t>
  </si>
  <si>
    <t>I/9</t>
  </si>
  <si>
    <t>I/10</t>
  </si>
  <si>
    <t>I/11</t>
  </si>
  <si>
    <t>I/12</t>
  </si>
  <si>
    <t>I/13</t>
  </si>
  <si>
    <t>I/14</t>
  </si>
  <si>
    <t>I/15</t>
  </si>
  <si>
    <t>I/16</t>
  </si>
  <si>
    <t>I/17</t>
  </si>
  <si>
    <t>I/18</t>
  </si>
  <si>
    <t>I/19</t>
  </si>
  <si>
    <t>I/20</t>
  </si>
  <si>
    <t>I/21</t>
  </si>
  <si>
    <t>I/22</t>
  </si>
  <si>
    <t>I/23</t>
  </si>
  <si>
    <t>I/24</t>
  </si>
  <si>
    <t>I/25</t>
  </si>
  <si>
    <t>I/26</t>
  </si>
  <si>
    <t>I/27</t>
  </si>
  <si>
    <t>I/28</t>
  </si>
  <si>
    <t>I/29</t>
  </si>
  <si>
    <t>I/30</t>
  </si>
  <si>
    <t>I/31</t>
  </si>
  <si>
    <t>I/32</t>
  </si>
  <si>
    <t>I/33</t>
  </si>
  <si>
    <t>II/1</t>
  </si>
  <si>
    <t>II/2</t>
  </si>
  <si>
    <t>II/3</t>
  </si>
  <si>
    <t>II/4</t>
  </si>
  <si>
    <t>II/5</t>
  </si>
  <si>
    <t>II/6</t>
  </si>
  <si>
    <t>II/7</t>
  </si>
  <si>
    <t>II/8</t>
  </si>
  <si>
    <t>II/9</t>
  </si>
  <si>
    <t>II/10</t>
  </si>
  <si>
    <t>II/11</t>
  </si>
  <si>
    <t>II/12</t>
  </si>
  <si>
    <t>II/13</t>
  </si>
  <si>
    <t>II/14</t>
  </si>
  <si>
    <t>II/15</t>
  </si>
  <si>
    <t>II/16</t>
  </si>
  <si>
    <t>II/17</t>
  </si>
  <si>
    <t>II/18</t>
  </si>
  <si>
    <t>II/19</t>
  </si>
  <si>
    <t>II/20</t>
  </si>
  <si>
    <t>II/21</t>
  </si>
  <si>
    <t>II/22</t>
  </si>
  <si>
    <t>II/23</t>
  </si>
  <si>
    <t>II/24</t>
  </si>
  <si>
    <t>II/25</t>
  </si>
  <si>
    <t>II/26</t>
  </si>
  <si>
    <t>II/27</t>
  </si>
  <si>
    <t>II/28</t>
  </si>
  <si>
    <t>II/29</t>
  </si>
  <si>
    <t>II/30</t>
  </si>
  <si>
    <t>II/31</t>
  </si>
  <si>
    <t>II/32</t>
  </si>
  <si>
    <t>II/33</t>
  </si>
  <si>
    <t>II/34</t>
  </si>
  <si>
    <t>II/35</t>
  </si>
  <si>
    <t>II/36</t>
  </si>
  <si>
    <t>II/37</t>
  </si>
  <si>
    <t>II/38</t>
  </si>
  <si>
    <t>Hiteltörlesztés</t>
  </si>
  <si>
    <t>III/1</t>
  </si>
  <si>
    <t>III/2</t>
  </si>
  <si>
    <t>Jegyzői hatáskörbe tartozó segélyek</t>
  </si>
  <si>
    <t>Egyéb államigazgatási feladatok</t>
  </si>
  <si>
    <t>Szőnyi E. Zeneiskola oktatás támogatása</t>
  </si>
  <si>
    <t>Szőnyi Erzsébet Zeneiskola oktatás támogatása</t>
  </si>
  <si>
    <t>II/39</t>
  </si>
  <si>
    <t>II/40</t>
  </si>
  <si>
    <t>II/41</t>
  </si>
  <si>
    <t>II/42</t>
  </si>
  <si>
    <t>IV/1.</t>
  </si>
  <si>
    <t>Támogatás</t>
  </si>
  <si>
    <t>Közfoglalkoztatás</t>
  </si>
  <si>
    <t>I/34</t>
  </si>
  <si>
    <t>ösztöndíjas foglalkoztatás</t>
  </si>
  <si>
    <t>Ösztöndíjas foglalkoztatás engedélyezett létszáma</t>
  </si>
  <si>
    <t>Közfoglalkoztatás 121013</t>
  </si>
  <si>
    <t>Központi költségvetési szervtől</t>
  </si>
  <si>
    <t>- Mezőőri támogatás</t>
  </si>
  <si>
    <t>- Közfoglalkoztatás támogatása</t>
  </si>
  <si>
    <t>Pedagógus ösztöndíj</t>
  </si>
  <si>
    <t>Pedagógus ösztöndíj ?</t>
  </si>
  <si>
    <t>2.7. Foglalkoztatottak részére egészségbiztosítás</t>
  </si>
  <si>
    <t>Városőrség támogatása</t>
  </si>
  <si>
    <t>Turay Ida Színház támogatása</t>
  </si>
  <si>
    <t>Önkormányzati felújítások</t>
  </si>
  <si>
    <t>Intézményi felújítások</t>
  </si>
  <si>
    <t>Zimándy I. iskolában tantermek felújítása</t>
  </si>
  <si>
    <t>Bálint Márton Iskola Köztársaság téri épületében életvédelmi relék beépítése az erőátviteli rendszerekbe</t>
  </si>
  <si>
    <t>2 db udvari homokozó beszerzés</t>
  </si>
  <si>
    <t>1 db hűtőszekrény vásárlása</t>
  </si>
  <si>
    <t>Tetőfelújítás a Nyitnikék Óvodában</t>
  </si>
  <si>
    <t>Kis értékű és egyéb eszközbeszerzések (mosógép, fűnyíró)</t>
  </si>
  <si>
    <t>Beruházás (kis értékű, mosógép, fűnyíró)</t>
  </si>
  <si>
    <t>3.5. Közművelődési érdekeltségnövelő támogatáshoz önrész biztosítása</t>
  </si>
  <si>
    <t>Program jelzőszáma, megnevezése</t>
  </si>
  <si>
    <t>Pályázati önerő</t>
  </si>
  <si>
    <t>Pályázaton felüli önerő</t>
  </si>
  <si>
    <t>Korábbi években</t>
  </si>
  <si>
    <t>2014. évben</t>
  </si>
  <si>
    <t>További években</t>
  </si>
  <si>
    <t>Összesen TSZ szerint</t>
  </si>
  <si>
    <t>Összesen tényleges</t>
  </si>
  <si>
    <t>ÁROP-3.A.2-2013-2013-044 Hivatal szervezetfejlesztése</t>
  </si>
  <si>
    <t>ÁROP szervezetfejl. ?</t>
  </si>
  <si>
    <t>ÁROP-3.A.2-2013-2013-0044 Hivatal szervezetfejlesztés</t>
  </si>
  <si>
    <t>37.</t>
  </si>
  <si>
    <t>II/43</t>
  </si>
  <si>
    <t>Cím:</t>
  </si>
  <si>
    <t>1. Önkormányzat</t>
  </si>
  <si>
    <t>2. Polgármesteri Hivatal</t>
  </si>
  <si>
    <t>3. Városgondnokság</t>
  </si>
  <si>
    <t>Alcím:</t>
  </si>
  <si>
    <t>4/1. Walla József Óvoda</t>
  </si>
  <si>
    <t>4/2. Törökbálinti Nyitnikék Óvoda</t>
  </si>
  <si>
    <t>4/3. Törökbálinti Bóbita Óvoda</t>
  </si>
  <si>
    <t>4/4. Munkácsy Mihály Művelődési Ház</t>
  </si>
  <si>
    <t>4/5. Volf György Könyvtár és Helytörténeti Gyűjtemény</t>
  </si>
  <si>
    <t>4/6. Segítő Kéz Szolgálat</t>
  </si>
  <si>
    <t>4/1.</t>
  </si>
  <si>
    <t>4/2.</t>
  </si>
  <si>
    <t>4/3.</t>
  </si>
  <si>
    <t>4/4.</t>
  </si>
  <si>
    <t>4/5.</t>
  </si>
  <si>
    <t>4/6.</t>
  </si>
  <si>
    <t>2.8. TTC Labdarúgó Szakosztály támogatása</t>
  </si>
  <si>
    <t>2 db gázkazán cseréje a Bóbita Óvodában</t>
  </si>
  <si>
    <t>Kőér utca és Nemzetőr utca sarkán csapadékvíz elvezetési munkák rendezése</t>
  </si>
  <si>
    <t>Pelsőczy Ferenc utca csapadékvíz elvezetése</t>
  </si>
  <si>
    <t>Csapadékvíz rendezési munkák az Alsóerdősor utcában</t>
  </si>
  <si>
    <t>Kajakosok tám?</t>
  </si>
  <si>
    <t>38.</t>
  </si>
  <si>
    <t>Kerékpárutak tervezése, kivitelezése</t>
  </si>
  <si>
    <t>Városrendészet (közterület-felügyelet, mezei őrszolgálat)</t>
  </si>
  <si>
    <t>Városrendészet (közterület felügyelet, mezei őrszolgálat)</t>
  </si>
  <si>
    <t>Beruházás (érdekeltségi hozzájárulás önrész)</t>
  </si>
  <si>
    <t>Adatok Ft-ban</t>
  </si>
  <si>
    <t>ÁROP Szervezetfejl. 122044</t>
  </si>
  <si>
    <t>Módosított előirányzat</t>
  </si>
  <si>
    <t>eredeti előirányzat</t>
  </si>
  <si>
    <t>eredeti</t>
  </si>
  <si>
    <t>módosított</t>
  </si>
  <si>
    <t>Ösztöndíjas fogl.</t>
  </si>
  <si>
    <t>2014. évi módosított előirányzat</t>
  </si>
  <si>
    <t>módosított előirányzat</t>
  </si>
  <si>
    <t>Érdekeltségi hozzájárulás (önrész és támogatás)</t>
  </si>
  <si>
    <t>Önkormányzat egyéb közhatalmi bevételei</t>
  </si>
  <si>
    <t>Óvoda u. 6. új iskola és sportközpont élménymedence és jakuzzi tervezése</t>
  </si>
  <si>
    <t>Óvoda u. 6. új iskola és sportközpont sportpálya, parkolók, vívóterem létesítése</t>
  </si>
  <si>
    <t>Szent I. u 2. ingatlan 125/1000 tulajdoni hányad megvásárlása</t>
  </si>
  <si>
    <t>Munkácsy Mihály u. középső szakaszának rendezése I-II. ütem feladatai [180/2014. V.22. ÖK hat.]</t>
  </si>
  <si>
    <t>Egyéb fejlesztési feladatok</t>
  </si>
  <si>
    <t>Városgondnokság által végzett felújítások</t>
  </si>
  <si>
    <t>Kápolna u. Sváb téri szakaszának felújítása</t>
  </si>
  <si>
    <t>Dózsa György utcai grund aszfaltpályás kialakítása</t>
  </si>
  <si>
    <t>Szent I. u. 27. ingatlanon szolgalmi jogok rendezése, végleges állapot kialakítása</t>
  </si>
  <si>
    <t>Kazinczy utcában zárt csapadékcsatorna kiépítése 2014. évi I. ütem [187/2014. V.22. ÖK hat]</t>
  </si>
  <si>
    <t>Városőrség, hegyőrség támogatása</t>
  </si>
  <si>
    <t>II/44</t>
  </si>
  <si>
    <t>Városgondnokság egyéb fejlesztési feladatai</t>
  </si>
  <si>
    <t>M unkaadókat terhelő járulékok és szoc. h. adó</t>
  </si>
  <si>
    <t>Személyi juttatások (reprezentáció, term.beli juttatás)</t>
  </si>
  <si>
    <t>Közvilágítási rendszerbe 29 db feszültségszabályzó megvétele</t>
  </si>
  <si>
    <t>Szérűskert térburkolat készítés</t>
  </si>
  <si>
    <t>Harangláb megvilágítása</t>
  </si>
  <si>
    <t>Csapdékvíz csatorna kiépítése a Szent István utcában</t>
  </si>
  <si>
    <t>Ellátottak pénzbeli juttatása</t>
  </si>
  <si>
    <t>3.6. Szérűskert Bölcsőde épület felújítása</t>
  </si>
  <si>
    <t>Bálint Márton Iskola és Sportcentrum tárgyi eszköz beszerzések [157/2014. (V.22.) ÖK hat.]</t>
  </si>
  <si>
    <t>Beruházás (kis értékű és egyéb)</t>
  </si>
  <si>
    <t>Zárható öltözőszekrények beszerzése</t>
  </si>
  <si>
    <t>Udvari játéktároló [157/2014. (V.22.) ÖK hat]</t>
  </si>
  <si>
    <t>Szociális étkeztetéshez új gépjármű beszerzése</t>
  </si>
  <si>
    <t>ON-TEAM Kft támogatása</t>
  </si>
  <si>
    <t>ON-TEAM Kft. támogatása</t>
  </si>
  <si>
    <t>3.7. Helytörténeti gyűjtemény felújítása (pályázati önrész)</t>
  </si>
  <si>
    <t>Egyéb finanszírozási bevétel</t>
  </si>
  <si>
    <t>Egyéb finannszírozási bevétel</t>
  </si>
  <si>
    <t>Intézményfinanszírozás kontroll</t>
  </si>
  <si>
    <t>Eltérés (III - kontroll)</t>
  </si>
  <si>
    <t>Maradvány igénybevétele működési célra</t>
  </si>
  <si>
    <t>Maradvány igénybevétele felhalmozási célra</t>
  </si>
  <si>
    <t>Betétek megszüntetése működési célra</t>
  </si>
  <si>
    <t>Betétek megszüntetése felhalmozási célra</t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</si>
</sst>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4" formatCode="#,##0.0"/>
    <numFmt numFmtId="165" formatCode="#,###"/>
    <numFmt numFmtId="166" formatCode="0.0"/>
    <numFmt numFmtId="167" formatCode="#,##0\ _F_t"/>
    <numFmt numFmtId="168" formatCode="0.0%"/>
    <numFmt numFmtId="169" formatCode="#,##0;[Red]\-#,##0"/>
    <numFmt numFmtId="170" formatCode="#,##0\ [$Ft-40E];[Red]\-#,##0\ [$Ft-40E]"/>
    <numFmt numFmtId="171" formatCode="_-* #,##0\ _F_t_-;\-* #,##0\ _F_t_-;_-* &quot;-&quot;??\ _F_t_-;_-@_-"/>
  </numFmts>
  <fonts count="62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.5"/>
      <name val="Arial"/>
      <family val="2"/>
      <charset val="238"/>
    </font>
    <font>
      <b/>
      <sz val="10"/>
      <name val="Arial"/>
      <family val="2"/>
      <charset val="238"/>
    </font>
    <font>
      <b/>
      <sz val="10.5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6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name val="Arial"/>
      <family val="2"/>
      <charset val="238"/>
    </font>
    <font>
      <b/>
      <sz val="10"/>
      <color theme="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color rgb="FFFFFFFF"/>
      <name val="Arial"/>
      <family val="2"/>
      <charset val="238"/>
    </font>
    <font>
      <sz val="10"/>
      <name val="Arial"/>
      <family val="2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8"/>
      <name val="Times New Roman"/>
      <family val="1"/>
      <charset val="1"/>
    </font>
    <font>
      <sz val="9"/>
      <name val="Times New Roman"/>
      <family val="1"/>
      <charset val="1"/>
    </font>
    <font>
      <b/>
      <sz val="9"/>
      <name val="Times New Roman"/>
      <family val="1"/>
      <charset val="1"/>
    </font>
    <font>
      <i/>
      <sz val="9"/>
      <name val="Times New Roman"/>
      <family val="1"/>
      <charset val="1"/>
    </font>
    <font>
      <sz val="8"/>
      <color indexed="8"/>
      <name val="Times New Roman"/>
      <family val="1"/>
    </font>
    <font>
      <i/>
      <sz val="8"/>
      <color indexed="8"/>
      <name val="Times New Roman"/>
      <family val="1"/>
    </font>
    <font>
      <sz val="10"/>
      <name val="Liberation Serif;Times New Roma"/>
      <family val="1"/>
      <charset val="128"/>
    </font>
    <font>
      <sz val="10"/>
      <name val="Liberation Serif;Times New Roma"/>
      <family val="1"/>
    </font>
    <font>
      <sz val="11"/>
      <name val="Footlight MT Light"/>
      <family val="1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bgColor rgb="FFFFFF00"/>
      </patternFill>
    </fill>
    <fill>
      <patternFill patternType="gray0625"/>
    </fill>
    <fill>
      <patternFill patternType="solid">
        <fgColor theme="9" tint="-0.2499465926084170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52"/>
        <bgColor indexed="53"/>
      </patternFill>
    </fill>
    <fill>
      <patternFill patternType="solid">
        <fgColor theme="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9BBB59"/>
        <bgColor rgb="FF969696"/>
      </patternFill>
    </fill>
    <fill>
      <patternFill patternType="solid">
        <fgColor rgb="FF984807"/>
        <bgColor rgb="FF993366"/>
      </patternFill>
    </fill>
    <fill>
      <patternFill patternType="solid">
        <fgColor rgb="FFC00000"/>
        <bgColor rgb="FF800000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53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rgb="FFFFFF00"/>
        <bgColor indexed="22"/>
      </patternFill>
    </fill>
    <fill>
      <patternFill patternType="solid">
        <fgColor rgb="FF92D050"/>
        <bgColor indexed="22"/>
      </patternFill>
    </fill>
    <fill>
      <patternFill patternType="lightGray"/>
    </fill>
  </fills>
  <borders count="38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/>
      <right/>
      <top/>
      <bottom style="hair">
        <color theme="1" tint="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7" fillId="0" borderId="0"/>
    <xf numFmtId="9" fontId="13" fillId="0" borderId="0" applyFont="0" applyFill="0" applyBorder="0" applyAlignment="0" applyProtection="0"/>
    <xf numFmtId="9" fontId="3" fillId="0" borderId="0" applyFill="0" applyAlignment="0" applyProtection="0"/>
    <xf numFmtId="0" fontId="7" fillId="0" borderId="0"/>
    <xf numFmtId="0" fontId="35" fillId="0" borderId="0"/>
    <xf numFmtId="0" fontId="46" fillId="0" borderId="0"/>
    <xf numFmtId="43" fontId="4" fillId="0" borderId="0" applyFont="0" applyFill="0" applyBorder="0" applyAlignment="0" applyProtection="0"/>
  </cellStyleXfs>
  <cellXfs count="71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" fontId="0" fillId="0" borderId="1" xfId="0" applyNumberFormat="1" applyBorder="1" applyAlignment="1">
      <alignment horizontal="left" vertical="center" wrapText="1" indent="3"/>
    </xf>
    <xf numFmtId="0" fontId="0" fillId="0" borderId="1" xfId="0" applyBorder="1"/>
    <xf numFmtId="3" fontId="2" fillId="3" borderId="1" xfId="0" applyNumberFormat="1" applyFont="1" applyFill="1" applyBorder="1"/>
    <xf numFmtId="3" fontId="2" fillId="4" borderId="1" xfId="0" applyNumberFormat="1" applyFont="1" applyFill="1" applyBorder="1"/>
    <xf numFmtId="3" fontId="0" fillId="0" borderId="1" xfId="0" applyNumberFormat="1" applyBorder="1" applyAlignment="1">
      <alignment vertical="center"/>
    </xf>
    <xf numFmtId="3" fontId="0" fillId="0" borderId="1" xfId="0" applyNumberFormat="1" applyBorder="1"/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0" fillId="0" borderId="1" xfId="0" applyNumberFormat="1" applyBorder="1" applyAlignment="1">
      <alignment horizontal="left" vertical="center" wrapText="1" indent="3"/>
    </xf>
    <xf numFmtId="3" fontId="0" fillId="0" borderId="0" xfId="0" applyNumberFormat="1"/>
    <xf numFmtId="3" fontId="2" fillId="2" borderId="1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left" vertical="center"/>
    </xf>
    <xf numFmtId="16" fontId="0" fillId="0" borderId="1" xfId="0" applyNumberForma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3" fontId="1" fillId="5" borderId="1" xfId="0" applyNumberFormat="1" applyFont="1" applyFill="1" applyBorder="1" applyAlignment="1">
      <alignment horizontal="right" vertical="center"/>
    </xf>
    <xf numFmtId="3" fontId="1" fillId="5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3" fontId="2" fillId="4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0" fillId="0" borderId="0" xfId="0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3" fontId="0" fillId="0" borderId="1" xfId="0" applyNumberFormat="1" applyFont="1" applyFill="1" applyBorder="1"/>
    <xf numFmtId="0" fontId="0" fillId="0" borderId="1" xfId="0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3" fontId="0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Fill="1" applyBorder="1"/>
    <xf numFmtId="0" fontId="2" fillId="7" borderId="0" xfId="0" applyFont="1" applyFill="1"/>
    <xf numFmtId="0" fontId="2" fillId="7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2" fillId="7" borderId="1" xfId="0" applyNumberFormat="1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/>
    <xf numFmtId="0" fontId="8" fillId="0" borderId="0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9" fillId="3" borderId="5" xfId="1" applyFont="1" applyFill="1" applyBorder="1" applyAlignment="1">
      <alignment horizontal="left" vertical="center" wrapText="1"/>
    </xf>
    <xf numFmtId="3" fontId="9" fillId="9" borderId="5" xfId="1" applyNumberFormat="1" applyFont="1" applyFill="1" applyBorder="1" applyAlignment="1">
      <alignment horizontal="left" vertical="center"/>
    </xf>
    <xf numFmtId="3" fontId="9" fillId="3" borderId="5" xfId="1" applyNumberFormat="1" applyFont="1" applyFill="1" applyBorder="1" applyAlignment="1">
      <alignment horizontal="right" vertical="center"/>
    </xf>
    <xf numFmtId="3" fontId="10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7" fillId="0" borderId="5" xfId="1" applyFont="1" applyBorder="1" applyAlignment="1">
      <alignment horizontal="left" vertical="center" wrapText="1"/>
    </xf>
    <xf numFmtId="3" fontId="7" fillId="10" borderId="5" xfId="1" applyNumberFormat="1" applyFont="1" applyFill="1" applyBorder="1" applyAlignment="1">
      <alignment horizontal="left" vertical="center"/>
    </xf>
    <xf numFmtId="3" fontId="7" fillId="8" borderId="5" xfId="1" applyNumberFormat="1" applyFont="1" applyFill="1" applyBorder="1" applyAlignment="1">
      <alignment horizontal="right" vertical="center"/>
    </xf>
    <xf numFmtId="3" fontId="6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16" fontId="7" fillId="0" borderId="5" xfId="1" applyNumberFormat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12" fillId="11" borderId="5" xfId="0" applyFont="1" applyFill="1" applyBorder="1"/>
    <xf numFmtId="3" fontId="12" fillId="11" borderId="5" xfId="0" applyNumberFormat="1" applyFont="1" applyFill="1" applyBorder="1"/>
    <xf numFmtId="0" fontId="5" fillId="12" borderId="0" xfId="1" applyFont="1" applyFill="1" applyBorder="1" applyAlignment="1">
      <alignment horizontal="left" vertical="center"/>
    </xf>
    <xf numFmtId="0" fontId="11" fillId="12" borderId="0" xfId="1" applyFont="1" applyFill="1" applyBorder="1" applyAlignment="1">
      <alignment horizontal="left" vertical="center"/>
    </xf>
    <xf numFmtId="0" fontId="11" fillId="12" borderId="0" xfId="1" applyFont="1" applyFill="1" applyAlignment="1">
      <alignment horizontal="left" vertical="center"/>
    </xf>
    <xf numFmtId="0" fontId="3" fillId="12" borderId="0" xfId="1" applyFont="1" applyFill="1" applyAlignment="1">
      <alignment horizontal="left" vertical="center"/>
    </xf>
    <xf numFmtId="0" fontId="6" fillId="0" borderId="0" xfId="1" applyFont="1" applyBorder="1" applyAlignment="1">
      <alignment horizontal="left" vertical="center" wrapText="1"/>
    </xf>
    <xf numFmtId="0" fontId="6" fillId="10" borderId="0" xfId="1" applyFont="1" applyFill="1" applyBorder="1" applyAlignment="1">
      <alignment horizontal="left" vertical="center"/>
    </xf>
    <xf numFmtId="0" fontId="6" fillId="8" borderId="0" xfId="1" applyFont="1" applyFill="1" applyBorder="1" applyAlignment="1">
      <alignment horizontal="right" vertical="center"/>
    </xf>
    <xf numFmtId="165" fontId="7" fillId="0" borderId="0" xfId="1" applyNumberFormat="1" applyFont="1" applyFill="1" applyBorder="1" applyAlignment="1">
      <alignment horizontal="left" vertical="center"/>
    </xf>
    <xf numFmtId="165" fontId="7" fillId="0" borderId="6" xfId="1" applyNumberFormat="1" applyFont="1" applyFill="1" applyBorder="1" applyAlignment="1">
      <alignment horizontal="left" vertical="center"/>
    </xf>
    <xf numFmtId="0" fontId="3" fillId="10" borderId="0" xfId="1" applyFont="1" applyFill="1" applyAlignment="1">
      <alignment horizontal="left" vertical="center"/>
    </xf>
    <xf numFmtId="0" fontId="3" fillId="8" borderId="0" xfId="1" applyFont="1" applyFill="1" applyAlignment="1">
      <alignment horizontal="right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1" fillId="5" borderId="1" xfId="0" applyFont="1" applyFill="1" applyBorder="1" applyAlignment="1">
      <alignment vertical="center"/>
    </xf>
    <xf numFmtId="0" fontId="14" fillId="0" borderId="0" xfId="1" applyFont="1" applyAlignment="1">
      <alignment horizontal="left"/>
    </xf>
    <xf numFmtId="49" fontId="5" fillId="0" borderId="0" xfId="1" applyNumberFormat="1" applyFont="1" applyAlignment="1">
      <alignment horizontal="center"/>
    </xf>
    <xf numFmtId="0" fontId="5" fillId="0" borderId="0" xfId="1" applyFont="1"/>
    <xf numFmtId="0" fontId="11" fillId="0" borderId="0" xfId="1" applyFont="1"/>
    <xf numFmtId="0" fontId="15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0" fontId="6" fillId="0" borderId="0" xfId="1" applyFont="1"/>
    <xf numFmtId="0" fontId="3" fillId="0" borderId="0" xfId="1"/>
    <xf numFmtId="0" fontId="16" fillId="0" borderId="6" xfId="1" applyFont="1" applyBorder="1" applyAlignment="1">
      <alignment horizontal="center"/>
    </xf>
    <xf numFmtId="49" fontId="16" fillId="0" borderId="6" xfId="1" applyNumberFormat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49" fontId="6" fillId="0" borderId="6" xfId="1" applyNumberFormat="1" applyFont="1" applyBorder="1" applyAlignment="1">
      <alignment horizontal="center"/>
    </xf>
    <xf numFmtId="0" fontId="6" fillId="0" borderId="6" xfId="1" applyFont="1" applyBorder="1" applyAlignment="1">
      <alignment horizontal="left" indent="1"/>
    </xf>
    <xf numFmtId="0" fontId="6" fillId="0" borderId="0" xfId="1" applyFont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9" fillId="3" borderId="5" xfId="6" applyFont="1" applyFill="1" applyBorder="1" applyAlignment="1">
      <alignment horizontal="center" vertical="center" wrapText="1"/>
    </xf>
    <xf numFmtId="3" fontId="9" fillId="3" borderId="5" xfId="6" applyNumberFormat="1" applyFont="1" applyFill="1" applyBorder="1" applyAlignment="1">
      <alignment horizontal="center" vertical="center" wrapText="1"/>
    </xf>
    <xf numFmtId="3" fontId="9" fillId="3" borderId="7" xfId="6" applyNumberFormat="1" applyFont="1" applyFill="1" applyBorder="1" applyAlignment="1">
      <alignment horizontal="center" vertical="center" wrapText="1"/>
    </xf>
    <xf numFmtId="0" fontId="9" fillId="3" borderId="7" xfId="6" applyFont="1" applyFill="1" applyBorder="1" applyAlignment="1">
      <alignment horizontal="center" vertical="center" wrapText="1"/>
    </xf>
    <xf numFmtId="0" fontId="7" fillId="0" borderId="0" xfId="6" applyFont="1"/>
    <xf numFmtId="0" fontId="7" fillId="0" borderId="8" xfId="6" applyFont="1" applyBorder="1"/>
    <xf numFmtId="3" fontId="7" fillId="0" borderId="8" xfId="6" applyNumberFormat="1" applyFont="1" applyBorder="1"/>
    <xf numFmtId="0" fontId="9" fillId="0" borderId="8" xfId="6" applyFont="1" applyBorder="1"/>
    <xf numFmtId="3" fontId="9" fillId="0" borderId="8" xfId="6" applyNumberFormat="1" applyFont="1" applyBorder="1"/>
    <xf numFmtId="0" fontId="9" fillId="3" borderId="8" xfId="6" applyFont="1" applyFill="1" applyBorder="1"/>
    <xf numFmtId="3" fontId="9" fillId="3" borderId="8" xfId="6" applyNumberFormat="1" applyFont="1" applyFill="1" applyBorder="1"/>
    <xf numFmtId="0" fontId="7" fillId="0" borderId="8" xfId="6" applyBorder="1"/>
    <xf numFmtId="3" fontId="9" fillId="2" borderId="8" xfId="6" applyNumberFormat="1" applyFont="1" applyFill="1" applyBorder="1"/>
    <xf numFmtId="3" fontId="7" fillId="0" borderId="0" xfId="6" applyNumberFormat="1" applyFont="1"/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/>
    <xf numFmtId="0" fontId="2" fillId="0" borderId="0" xfId="0" applyFont="1"/>
    <xf numFmtId="49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9" fillId="13" borderId="7" xfId="6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right" vertical="center"/>
    </xf>
    <xf numFmtId="1" fontId="2" fillId="3" borderId="1" xfId="0" applyNumberFormat="1" applyFont="1" applyFill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1" fontId="0" fillId="0" borderId="1" xfId="0" applyNumberFormat="1" applyBorder="1" applyAlignment="1">
      <alignment horizontal="right" vertical="center" wrapText="1"/>
    </xf>
    <xf numFmtId="1" fontId="0" fillId="0" borderId="0" xfId="0" applyNumberFormat="1" applyAlignment="1">
      <alignment horizontal="right" vertical="center"/>
    </xf>
    <xf numFmtId="49" fontId="0" fillId="0" borderId="1" xfId="0" applyNumberFormat="1" applyFont="1" applyBorder="1"/>
    <xf numFmtId="3" fontId="0" fillId="0" borderId="1" xfId="0" applyNumberFormat="1" applyFont="1" applyBorder="1"/>
    <xf numFmtId="49" fontId="0" fillId="0" borderId="1" xfId="0" applyNumberFormat="1" applyFont="1" applyBorder="1" applyAlignment="1">
      <alignment vertical="center" wrapText="1"/>
    </xf>
    <xf numFmtId="0" fontId="0" fillId="0" borderId="0" xfId="0" applyFont="1"/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/>
    <xf numFmtId="0" fontId="9" fillId="0" borderId="6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 wrapText="1"/>
    </xf>
    <xf numFmtId="164" fontId="7" fillId="14" borderId="6" xfId="1" applyNumberFormat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left" vertical="center"/>
    </xf>
    <xf numFmtId="0" fontId="7" fillId="14" borderId="6" xfId="1" applyFont="1" applyFill="1" applyBorder="1" applyAlignment="1">
      <alignment horizontal="center" vertical="center" wrapText="1"/>
    </xf>
    <xf numFmtId="3" fontId="7" fillId="14" borderId="6" xfId="1" applyNumberFormat="1" applyFont="1" applyFill="1" applyBorder="1" applyAlignment="1">
      <alignment horizontal="center" vertical="center" wrapText="1"/>
    </xf>
    <xf numFmtId="166" fontId="7" fillId="14" borderId="6" xfId="1" applyNumberFormat="1" applyFont="1" applyFill="1" applyBorder="1" applyAlignment="1">
      <alignment horizontal="center" vertical="center" wrapText="1"/>
    </xf>
    <xf numFmtId="0" fontId="9" fillId="15" borderId="6" xfId="1" applyFont="1" applyFill="1" applyBorder="1" applyAlignment="1">
      <alignment horizontal="left" vertical="center"/>
    </xf>
    <xf numFmtId="164" fontId="9" fillId="15" borderId="6" xfId="1" applyNumberFormat="1" applyFont="1" applyFill="1" applyBorder="1" applyAlignment="1">
      <alignment horizontal="center" vertical="center" wrapText="1"/>
    </xf>
    <xf numFmtId="3" fontId="9" fillId="15" borderId="6" xfId="1" applyNumberFormat="1" applyFont="1" applyFill="1" applyBorder="1" applyAlignment="1">
      <alignment horizontal="center" vertical="center" wrapText="1"/>
    </xf>
    <xf numFmtId="0" fontId="9" fillId="15" borderId="0" xfId="1" applyFont="1" applyFill="1" applyAlignment="1">
      <alignment horizontal="center" vertical="center"/>
    </xf>
    <xf numFmtId="166" fontId="7" fillId="14" borderId="6" xfId="1" applyNumberFormat="1" applyFont="1" applyFill="1" applyBorder="1" applyAlignment="1">
      <alignment horizontal="center" vertical="center"/>
    </xf>
    <xf numFmtId="0" fontId="7" fillId="14" borderId="6" xfId="1" applyFont="1" applyFill="1" applyBorder="1" applyAlignment="1">
      <alignment horizontal="center" vertical="center"/>
    </xf>
    <xf numFmtId="166" fontId="9" fillId="15" borderId="6" xfId="1" applyNumberFormat="1" applyFont="1" applyFill="1" applyBorder="1" applyAlignment="1">
      <alignment horizontal="center" vertical="center" wrapText="1"/>
    </xf>
    <xf numFmtId="0" fontId="9" fillId="15" borderId="6" xfId="1" applyFont="1" applyFill="1" applyBorder="1" applyAlignment="1">
      <alignment horizontal="center" vertical="center" wrapText="1"/>
    </xf>
    <xf numFmtId="0" fontId="9" fillId="5" borderId="0" xfId="1" applyFont="1" applyFill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23" fillId="0" borderId="0" xfId="5" applyFont="1" applyAlignment="1">
      <alignment vertical="center"/>
    </xf>
    <xf numFmtId="0" fontId="23" fillId="0" borderId="0" xfId="5" applyFont="1"/>
    <xf numFmtId="0" fontId="24" fillId="0" borderId="0" xfId="5" applyFont="1" applyAlignment="1">
      <alignment vertical="center"/>
    </xf>
    <xf numFmtId="0" fontId="24" fillId="0" borderId="0" xfId="5" applyFont="1"/>
    <xf numFmtId="0" fontId="25" fillId="0" borderId="0" xfId="5" applyFont="1" applyAlignment="1">
      <alignment horizontal="right"/>
    </xf>
    <xf numFmtId="0" fontId="26" fillId="0" borderId="5" xfId="5" applyFont="1" applyFill="1" applyBorder="1" applyAlignment="1">
      <alignment horizontal="center" vertical="center"/>
    </xf>
    <xf numFmtId="0" fontId="26" fillId="0" borderId="5" xfId="5" applyFont="1" applyFill="1" applyBorder="1" applyAlignment="1">
      <alignment vertical="center" wrapText="1"/>
    </xf>
    <xf numFmtId="0" fontId="24" fillId="0" borderId="0" xfId="5" applyFont="1" applyFill="1" applyAlignment="1">
      <alignment vertical="center"/>
    </xf>
    <xf numFmtId="0" fontId="26" fillId="0" borderId="5" xfId="5" quotePrefix="1" applyFont="1" applyBorder="1" applyAlignment="1">
      <alignment horizontal="center" vertical="center"/>
    </xf>
    <xf numFmtId="0" fontId="27" fillId="0" borderId="5" xfId="5" applyFont="1" applyBorder="1" applyAlignment="1">
      <alignment vertical="center" wrapText="1"/>
    </xf>
    <xf numFmtId="167" fontId="6" fillId="0" borderId="5" xfId="5" applyNumberFormat="1" applyFont="1" applyBorder="1" applyAlignment="1">
      <alignment horizontal="right" vertical="center"/>
    </xf>
    <xf numFmtId="167" fontId="6" fillId="0" borderId="5" xfId="5" applyNumberFormat="1" applyFont="1" applyFill="1" applyBorder="1" applyAlignment="1">
      <alignment horizontal="right" vertical="center"/>
    </xf>
    <xf numFmtId="49" fontId="6" fillId="0" borderId="5" xfId="5" applyNumberFormat="1" applyFont="1" applyFill="1" applyBorder="1" applyAlignment="1">
      <alignment vertical="center" wrapText="1"/>
    </xf>
    <xf numFmtId="0" fontId="27" fillId="0" borderId="5" xfId="5" applyFont="1" applyBorder="1" applyAlignment="1">
      <alignment vertical="center"/>
    </xf>
    <xf numFmtId="0" fontId="26" fillId="16" borderId="5" xfId="5" applyFont="1" applyFill="1" applyBorder="1" applyAlignment="1">
      <alignment horizontal="center" vertical="center"/>
    </xf>
    <xf numFmtId="0" fontId="26" fillId="16" borderId="5" xfId="5" applyFont="1" applyFill="1" applyBorder="1" applyAlignment="1">
      <alignment horizontal="right" wrapText="1"/>
    </xf>
    <xf numFmtId="167" fontId="26" fillId="16" borderId="5" xfId="5" applyNumberFormat="1" applyFont="1" applyFill="1" applyBorder="1"/>
    <xf numFmtId="0" fontId="24" fillId="16" borderId="0" xfId="5" applyFont="1" applyFill="1"/>
    <xf numFmtId="3" fontId="7" fillId="8" borderId="0" xfId="1" applyNumberFormat="1" applyFont="1" applyFill="1" applyBorder="1" applyAlignment="1">
      <alignment horizontal="right" vertical="center"/>
    </xf>
    <xf numFmtId="0" fontId="26" fillId="0" borderId="5" xfId="5" applyFont="1" applyFill="1" applyBorder="1" applyAlignment="1">
      <alignment vertical="center"/>
    </xf>
    <xf numFmtId="0" fontId="6" fillId="0" borderId="5" xfId="6" applyFont="1" applyFill="1" applyBorder="1" applyAlignment="1">
      <alignment horizontal="left" vertical="center" wrapText="1"/>
    </xf>
    <xf numFmtId="0" fontId="27" fillId="16" borderId="5" xfId="5" applyFont="1" applyFill="1" applyBorder="1" applyAlignment="1">
      <alignment vertical="center"/>
    </xf>
    <xf numFmtId="0" fontId="26" fillId="16" borderId="5" xfId="5" applyFont="1" applyFill="1" applyBorder="1" applyAlignment="1">
      <alignment horizontal="right" vertical="center"/>
    </xf>
    <xf numFmtId="167" fontId="26" fillId="16" borderId="5" xfId="5" applyNumberFormat="1" applyFont="1" applyFill="1" applyBorder="1" applyAlignment="1">
      <alignment vertical="center"/>
    </xf>
    <xf numFmtId="0" fontId="24" fillId="16" borderId="0" xfId="5" applyFont="1" applyFill="1" applyAlignment="1">
      <alignment vertical="center"/>
    </xf>
    <xf numFmtId="167" fontId="6" fillId="0" borderId="11" xfId="5" applyNumberFormat="1" applyFont="1" applyFill="1" applyBorder="1" applyAlignment="1">
      <alignment horizontal="right" vertical="center"/>
    </xf>
    <xf numFmtId="0" fontId="25" fillId="0" borderId="0" xfId="5" applyFont="1" applyAlignment="1">
      <alignment vertical="center"/>
    </xf>
    <xf numFmtId="0" fontId="6" fillId="0" borderId="0" xfId="1" applyFont="1" applyBorder="1" applyAlignment="1">
      <alignment vertical="center" wrapText="1"/>
    </xf>
    <xf numFmtId="3" fontId="6" fillId="0" borderId="0" xfId="1" applyNumberFormat="1" applyFont="1" applyBorder="1" applyAlignment="1">
      <alignment vertical="center"/>
    </xf>
    <xf numFmtId="3" fontId="6" fillId="14" borderId="0" xfId="1" applyNumberFormat="1" applyFont="1" applyFill="1" applyBorder="1" applyAlignment="1">
      <alignment vertical="center"/>
    </xf>
    <xf numFmtId="0" fontId="6" fillId="0" borderId="0" xfId="1" applyFont="1" applyBorder="1" applyAlignment="1">
      <alignment horizontal="right" vertical="center" indent="1"/>
    </xf>
    <xf numFmtId="0" fontId="6" fillId="0" borderId="0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 wrapText="1" indent="1"/>
    </xf>
    <xf numFmtId="3" fontId="30" fillId="0" borderId="5" xfId="1" applyNumberFormat="1" applyFont="1" applyBorder="1" applyAlignment="1">
      <alignment vertical="center"/>
    </xf>
    <xf numFmtId="3" fontId="30" fillId="0" borderId="5" xfId="1" applyNumberFormat="1" applyFont="1" applyBorder="1" applyAlignment="1">
      <alignment horizontal="right" vertical="center" indent="1"/>
    </xf>
    <xf numFmtId="3" fontId="6" fillId="0" borderId="5" xfId="1" applyNumberFormat="1" applyFont="1" applyBorder="1" applyAlignment="1">
      <alignment vertical="center"/>
    </xf>
    <xf numFmtId="3" fontId="5" fillId="0" borderId="5" xfId="1" applyNumberFormat="1" applyFont="1" applyBorder="1" applyAlignment="1">
      <alignment horizontal="right" vertical="center" indent="1"/>
    </xf>
    <xf numFmtId="0" fontId="6" fillId="12" borderId="5" xfId="1" applyFont="1" applyFill="1" applyBorder="1" applyAlignment="1">
      <alignment vertical="center" wrapText="1"/>
    </xf>
    <xf numFmtId="3" fontId="6" fillId="12" borderId="5" xfId="1" applyNumberFormat="1" applyFont="1" applyFill="1" applyBorder="1" applyAlignment="1">
      <alignment vertical="center"/>
    </xf>
    <xf numFmtId="3" fontId="5" fillId="12" borderId="5" xfId="1" applyNumberFormat="1" applyFont="1" applyFill="1" applyBorder="1" applyAlignment="1">
      <alignment horizontal="right" vertical="center" indent="1"/>
    </xf>
    <xf numFmtId="0" fontId="6" fillId="0" borderId="5" xfId="1" applyFont="1" applyBorder="1" applyAlignment="1">
      <alignment horizontal="left" vertical="center" wrapText="1" indent="1"/>
    </xf>
    <xf numFmtId="3" fontId="6" fillId="0" borderId="5" xfId="1" applyNumberFormat="1" applyFont="1" applyFill="1" applyBorder="1" applyAlignment="1">
      <alignment vertical="center"/>
    </xf>
    <xf numFmtId="3" fontId="6" fillId="0" borderId="5" xfId="1" applyNumberFormat="1" applyFont="1" applyFill="1" applyBorder="1" applyAlignment="1">
      <alignment horizontal="right" vertical="center" indent="1"/>
    </xf>
    <xf numFmtId="3" fontId="5" fillId="0" borderId="5" xfId="1" applyNumberFormat="1" applyFont="1" applyFill="1" applyBorder="1" applyAlignment="1">
      <alignment horizontal="right" vertical="center" indent="1"/>
    </xf>
    <xf numFmtId="3" fontId="5" fillId="17" borderId="5" xfId="1" applyNumberFormat="1" applyFont="1" applyFill="1" applyBorder="1" applyAlignment="1">
      <alignment vertical="center"/>
    </xf>
    <xf numFmtId="0" fontId="6" fillId="14" borderId="0" xfId="1" applyFont="1" applyFill="1" applyBorder="1" applyAlignment="1">
      <alignment vertical="center"/>
    </xf>
    <xf numFmtId="3" fontId="6" fillId="0" borderId="0" xfId="1" applyNumberFormat="1" applyFont="1" applyBorder="1" applyAlignment="1">
      <alignment horizontal="right" vertical="center" indent="1"/>
    </xf>
    <xf numFmtId="3" fontId="28" fillId="0" borderId="0" xfId="1" applyNumberFormat="1" applyFont="1" applyBorder="1" applyAlignment="1">
      <alignment vertical="center"/>
    </xf>
    <xf numFmtId="3" fontId="5" fillId="12" borderId="5" xfId="1" applyNumberFormat="1" applyFont="1" applyFill="1" applyBorder="1" applyAlignment="1">
      <alignment vertical="center"/>
    </xf>
    <xf numFmtId="0" fontId="30" fillId="0" borderId="5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12" borderId="5" xfId="1" applyFont="1" applyFill="1" applyBorder="1" applyAlignment="1">
      <alignment horizontal="left" vertical="center" wrapText="1"/>
    </xf>
    <xf numFmtId="0" fontId="5" fillId="12" borderId="5" xfId="1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/>
    </xf>
    <xf numFmtId="0" fontId="0" fillId="0" borderId="5" xfId="0" applyBorder="1" applyAlignment="1">
      <alignment wrapText="1"/>
    </xf>
    <xf numFmtId="3" fontId="0" fillId="0" borderId="5" xfId="0" applyNumberFormat="1" applyBorder="1"/>
    <xf numFmtId="0" fontId="19" fillId="4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3" fontId="19" fillId="4" borderId="5" xfId="0" applyNumberFormat="1" applyFont="1" applyFill="1" applyBorder="1" applyAlignment="1">
      <alignment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vertical="center" wrapText="1"/>
    </xf>
    <xf numFmtId="3" fontId="19" fillId="3" borderId="5" xfId="0" applyNumberFormat="1" applyFont="1" applyFill="1" applyBorder="1" applyAlignment="1">
      <alignment vertical="center"/>
    </xf>
    <xf numFmtId="0" fontId="31" fillId="11" borderId="5" xfId="0" applyFont="1" applyFill="1" applyBorder="1" applyAlignment="1">
      <alignment horizontal="center" vertical="center"/>
    </xf>
    <xf numFmtId="0" fontId="31" fillId="11" borderId="5" xfId="0" applyFont="1" applyFill="1" applyBorder="1" applyAlignment="1">
      <alignment vertical="center"/>
    </xf>
    <xf numFmtId="3" fontId="31" fillId="11" borderId="5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3" fontId="5" fillId="17" borderId="5" xfId="1" applyNumberFormat="1" applyFont="1" applyFill="1" applyBorder="1" applyAlignment="1">
      <alignment horizontal="right" vertical="center" indent="1"/>
    </xf>
    <xf numFmtId="0" fontId="5" fillId="17" borderId="5" xfId="1" applyFont="1" applyFill="1" applyBorder="1" applyAlignment="1">
      <alignment vertical="center" wrapText="1"/>
    </xf>
    <xf numFmtId="3" fontId="7" fillId="0" borderId="5" xfId="6" applyNumberFormat="1" applyFont="1" applyBorder="1"/>
    <xf numFmtId="3" fontId="9" fillId="0" borderId="5" xfId="6" applyNumberFormat="1" applyFont="1" applyBorder="1"/>
    <xf numFmtId="3" fontId="9" fillId="3" borderId="5" xfId="6" applyNumberFormat="1" applyFont="1" applyFill="1" applyBorder="1"/>
    <xf numFmtId="0" fontId="9" fillId="3" borderId="12" xfId="6" applyFont="1" applyFill="1" applyBorder="1" applyAlignment="1">
      <alignment horizontal="center" vertical="center" wrapText="1"/>
    </xf>
    <xf numFmtId="0" fontId="9" fillId="13" borderId="0" xfId="6" applyFont="1" applyFill="1" applyBorder="1" applyAlignment="1">
      <alignment horizontal="center" vertical="center" wrapText="1"/>
    </xf>
    <xf numFmtId="0" fontId="7" fillId="0" borderId="0" xfId="6" applyFont="1" applyAlignment="1">
      <alignment vertical="center" wrapText="1"/>
    </xf>
    <xf numFmtId="0" fontId="7" fillId="0" borderId="5" xfId="6" applyFont="1" applyBorder="1" applyAlignment="1">
      <alignment horizontal="left"/>
    </xf>
    <xf numFmtId="0" fontId="7" fillId="0" borderId="5" xfId="6" applyBorder="1"/>
    <xf numFmtId="3" fontId="7" fillId="0" borderId="5" xfId="6" applyNumberFormat="1" applyBorder="1"/>
    <xf numFmtId="49" fontId="9" fillId="0" borderId="5" xfId="6" applyNumberFormat="1" applyFont="1" applyBorder="1" applyAlignment="1">
      <alignment horizontal="left"/>
    </xf>
    <xf numFmtId="0" fontId="9" fillId="0" borderId="5" xfId="6" applyFont="1" applyBorder="1"/>
    <xf numFmtId="0" fontId="9" fillId="0" borderId="5" xfId="6" applyFont="1" applyBorder="1" applyAlignment="1">
      <alignment horizontal="left"/>
    </xf>
    <xf numFmtId="0" fontId="7" fillId="0" borderId="0" xfId="6"/>
    <xf numFmtId="10" fontId="7" fillId="0" borderId="0" xfId="6" applyNumberFormat="1" applyFont="1"/>
    <xf numFmtId="49" fontId="9" fillId="3" borderId="5" xfId="6" applyNumberFormat="1" applyFont="1" applyFill="1" applyBorder="1" applyAlignment="1">
      <alignment horizontal="left"/>
    </xf>
    <xf numFmtId="0" fontId="9" fillId="3" borderId="5" xfId="6" applyFont="1" applyFill="1" applyBorder="1"/>
    <xf numFmtId="0" fontId="9" fillId="0" borderId="0" xfId="6" applyFont="1"/>
    <xf numFmtId="49" fontId="9" fillId="18" borderId="5" xfId="6" applyNumberFormat="1" applyFont="1" applyFill="1" applyBorder="1" applyAlignment="1">
      <alignment horizontal="left"/>
    </xf>
    <xf numFmtId="0" fontId="9" fillId="18" borderId="5" xfId="6" applyFont="1" applyFill="1" applyBorder="1"/>
    <xf numFmtId="3" fontId="9" fillId="18" borderId="5" xfId="6" applyNumberFormat="1" applyFont="1" applyFill="1" applyBorder="1"/>
    <xf numFmtId="49" fontId="31" fillId="6" borderId="5" xfId="6" applyNumberFormat="1" applyFont="1" applyFill="1" applyBorder="1" applyAlignment="1">
      <alignment horizontal="left"/>
    </xf>
    <xf numFmtId="0" fontId="31" fillId="6" borderId="5" xfId="6" applyFont="1" applyFill="1" applyBorder="1"/>
    <xf numFmtId="3" fontId="31" fillId="6" borderId="5" xfId="6" applyNumberFormat="1" applyFont="1" applyFill="1" applyBorder="1"/>
    <xf numFmtId="49" fontId="7" fillId="0" borderId="5" xfId="6" applyNumberFormat="1" applyBorder="1" applyAlignment="1">
      <alignment horizontal="left"/>
    </xf>
    <xf numFmtId="0" fontId="31" fillId="19" borderId="5" xfId="6" applyFont="1" applyFill="1" applyBorder="1" applyAlignment="1">
      <alignment horizontal="left"/>
    </xf>
    <xf numFmtId="0" fontId="31" fillId="19" borderId="5" xfId="6" applyFont="1" applyFill="1" applyBorder="1"/>
    <xf numFmtId="3" fontId="31" fillId="19" borderId="5" xfId="6" applyNumberFormat="1" applyFont="1" applyFill="1" applyBorder="1"/>
    <xf numFmtId="0" fontId="7" fillId="0" borderId="0" xfId="6" applyFont="1" applyAlignment="1">
      <alignment horizontal="left"/>
    </xf>
    <xf numFmtId="0" fontId="7" fillId="0" borderId="5" xfId="6" applyFont="1" applyBorder="1" applyAlignment="1">
      <alignment horizontal="center"/>
    </xf>
    <xf numFmtId="49" fontId="9" fillId="0" borderId="5" xfId="6" applyNumberFormat="1" applyFont="1" applyBorder="1" applyAlignment="1">
      <alignment horizontal="center"/>
    </xf>
    <xf numFmtId="0" fontId="9" fillId="0" borderId="5" xfId="6" applyFont="1" applyBorder="1" applyAlignment="1">
      <alignment horizontal="center"/>
    </xf>
    <xf numFmtId="49" fontId="9" fillId="3" borderId="5" xfId="6" applyNumberFormat="1" applyFont="1" applyFill="1" applyBorder="1" applyAlignment="1">
      <alignment horizontal="center"/>
    </xf>
    <xf numFmtId="49" fontId="9" fillId="18" borderId="5" xfId="6" applyNumberFormat="1" applyFont="1" applyFill="1" applyBorder="1" applyAlignment="1">
      <alignment horizontal="center"/>
    </xf>
    <xf numFmtId="49" fontId="31" fillId="6" borderId="5" xfId="6" applyNumberFormat="1" applyFont="1" applyFill="1" applyBorder="1" applyAlignment="1">
      <alignment horizontal="center"/>
    </xf>
    <xf numFmtId="49" fontId="7" fillId="0" borderId="5" xfId="6" applyNumberFormat="1" applyBorder="1" applyAlignment="1">
      <alignment horizontal="center"/>
    </xf>
    <xf numFmtId="0" fontId="31" fillId="19" borderId="5" xfId="6" applyFont="1" applyFill="1" applyBorder="1" applyAlignment="1">
      <alignment horizontal="center"/>
    </xf>
    <xf numFmtId="0" fontId="7" fillId="0" borderId="0" xfId="6" applyFont="1" applyAlignment="1">
      <alignment horizontal="center"/>
    </xf>
    <xf numFmtId="0" fontId="9" fillId="20" borderId="5" xfId="9" applyFont="1" applyFill="1" applyBorder="1" applyAlignment="1">
      <alignment horizontal="center" vertical="center" wrapText="1"/>
    </xf>
    <xf numFmtId="0" fontId="0" fillId="0" borderId="0" xfId="9" applyFont="1" applyAlignment="1">
      <alignment vertical="center" wrapText="1"/>
    </xf>
    <xf numFmtId="0" fontId="0" fillId="0" borderId="5" xfId="9" applyFont="1" applyBorder="1" applyAlignment="1">
      <alignment horizontal="left"/>
    </xf>
    <xf numFmtId="0" fontId="0" fillId="0" borderId="5" xfId="9" applyFont="1" applyBorder="1"/>
    <xf numFmtId="3" fontId="0" fillId="0" borderId="5" xfId="9" applyNumberFormat="1" applyFont="1" applyBorder="1"/>
    <xf numFmtId="0" fontId="7" fillId="0" borderId="0" xfId="9"/>
    <xf numFmtId="49" fontId="9" fillId="0" borderId="5" xfId="9" applyNumberFormat="1" applyFont="1" applyBorder="1" applyAlignment="1">
      <alignment horizontal="left"/>
    </xf>
    <xf numFmtId="0" fontId="9" fillId="0" borderId="5" xfId="9" applyFont="1" applyBorder="1"/>
    <xf numFmtId="3" fontId="9" fillId="0" borderId="5" xfId="9" applyNumberFormat="1" applyFont="1" applyBorder="1"/>
    <xf numFmtId="0" fontId="9" fillId="0" borderId="5" xfId="9" applyFont="1" applyBorder="1" applyAlignment="1">
      <alignment horizontal="left"/>
    </xf>
    <xf numFmtId="49" fontId="9" fillId="20" borderId="5" xfId="9" applyNumberFormat="1" applyFont="1" applyFill="1" applyBorder="1" applyAlignment="1">
      <alignment horizontal="left"/>
    </xf>
    <xf numFmtId="0" fontId="9" fillId="20" borderId="5" xfId="9" applyFont="1" applyFill="1" applyBorder="1"/>
    <xf numFmtId="3" fontId="9" fillId="20" borderId="5" xfId="9" applyNumberFormat="1" applyFont="1" applyFill="1" applyBorder="1"/>
    <xf numFmtId="0" fontId="9" fillId="0" borderId="0" xfId="9" applyFont="1"/>
    <xf numFmtId="49" fontId="9" fillId="21" borderId="5" xfId="9" applyNumberFormat="1" applyFont="1" applyFill="1" applyBorder="1" applyAlignment="1">
      <alignment horizontal="left"/>
    </xf>
    <xf numFmtId="0" fontId="9" fillId="21" borderId="5" xfId="9" applyFont="1" applyFill="1" applyBorder="1"/>
    <xf numFmtId="3" fontId="9" fillId="21" borderId="5" xfId="9" applyNumberFormat="1" applyFont="1" applyFill="1" applyBorder="1"/>
    <xf numFmtId="49" fontId="34" fillId="22" borderId="5" xfId="9" applyNumberFormat="1" applyFont="1" applyFill="1" applyBorder="1" applyAlignment="1">
      <alignment horizontal="left"/>
    </xf>
    <xf numFmtId="0" fontId="34" fillId="22" borderId="5" xfId="9" applyFont="1" applyFill="1" applyBorder="1"/>
    <xf numFmtId="3" fontId="34" fillId="22" borderId="5" xfId="9" applyNumberFormat="1" applyFont="1" applyFill="1" applyBorder="1"/>
    <xf numFmtId="49" fontId="0" fillId="0" borderId="5" xfId="9" applyNumberFormat="1" applyFont="1" applyBorder="1" applyAlignment="1">
      <alignment horizontal="left"/>
    </xf>
    <xf numFmtId="0" fontId="34" fillId="23" borderId="5" xfId="9" applyFont="1" applyFill="1" applyBorder="1" applyAlignment="1">
      <alignment horizontal="left"/>
    </xf>
    <xf numFmtId="0" fontId="34" fillId="23" borderId="5" xfId="9" applyFont="1" applyFill="1" applyBorder="1"/>
    <xf numFmtId="3" fontId="34" fillId="23" borderId="5" xfId="9" applyNumberFormat="1" applyFont="1" applyFill="1" applyBorder="1"/>
    <xf numFmtId="0" fontId="0" fillId="0" borderId="0" xfId="9" applyFont="1" applyAlignment="1">
      <alignment horizontal="left"/>
    </xf>
    <xf numFmtId="49" fontId="36" fillId="0" borderId="0" xfId="10" applyNumberFormat="1" applyFont="1" applyAlignment="1">
      <alignment horizontal="center" vertical="center"/>
    </xf>
    <xf numFmtId="3" fontId="36" fillId="24" borderId="14" xfId="10" applyNumberFormat="1" applyFont="1" applyFill="1" applyBorder="1" applyAlignment="1">
      <alignment horizontal="center" vertical="center" wrapText="1"/>
    </xf>
    <xf numFmtId="49" fontId="36" fillId="0" borderId="0" xfId="10" applyNumberFormat="1" applyFont="1" applyAlignment="1">
      <alignment vertical="center"/>
    </xf>
    <xf numFmtId="49" fontId="37" fillId="0" borderId="0" xfId="10" applyNumberFormat="1" applyFont="1" applyAlignment="1">
      <alignment horizontal="left" vertical="center"/>
    </xf>
    <xf numFmtId="49" fontId="37" fillId="0" borderId="0" xfId="10" applyNumberFormat="1" applyFont="1" applyAlignment="1">
      <alignment vertical="center"/>
    </xf>
    <xf numFmtId="3" fontId="37" fillId="0" borderId="0" xfId="10" applyNumberFormat="1" applyFont="1" applyAlignment="1">
      <alignment vertical="center"/>
    </xf>
    <xf numFmtId="168" fontId="37" fillId="0" borderId="0" xfId="10" applyNumberFormat="1" applyFont="1" applyAlignment="1">
      <alignment horizontal="center" vertical="center"/>
    </xf>
    <xf numFmtId="49" fontId="36" fillId="26" borderId="14" xfId="10" applyNumberFormat="1" applyFont="1" applyFill="1" applyBorder="1" applyAlignment="1">
      <alignment horizontal="left" vertical="center"/>
    </xf>
    <xf numFmtId="49" fontId="36" fillId="26" borderId="14" xfId="10" applyNumberFormat="1" applyFont="1" applyFill="1" applyBorder="1" applyAlignment="1">
      <alignment vertical="center"/>
    </xf>
    <xf numFmtId="169" fontId="36" fillId="26" borderId="14" xfId="10" applyNumberFormat="1" applyFont="1" applyFill="1" applyBorder="1" applyAlignment="1">
      <alignment vertical="center"/>
    </xf>
    <xf numFmtId="168" fontId="36" fillId="26" borderId="14" xfId="10" applyNumberFormat="1" applyFont="1" applyFill="1" applyBorder="1" applyAlignment="1">
      <alignment horizontal="center" vertical="center"/>
    </xf>
    <xf numFmtId="3" fontId="36" fillId="26" borderId="14" xfId="10" applyNumberFormat="1" applyFont="1" applyFill="1" applyBorder="1" applyAlignment="1">
      <alignment vertical="center"/>
    </xf>
    <xf numFmtId="49" fontId="38" fillId="0" borderId="14" xfId="10" applyNumberFormat="1" applyFont="1" applyBorder="1" applyAlignment="1">
      <alignment horizontal="left" vertical="center"/>
    </xf>
    <xf numFmtId="49" fontId="38" fillId="0" borderId="14" xfId="10" applyNumberFormat="1" applyFont="1" applyBorder="1" applyAlignment="1">
      <alignment vertical="center"/>
    </xf>
    <xf numFmtId="169" fontId="38" fillId="0" borderId="14" xfId="10" applyNumberFormat="1" applyFont="1" applyBorder="1" applyAlignment="1">
      <alignment vertical="center"/>
    </xf>
    <xf numFmtId="169" fontId="38" fillId="26" borderId="14" xfId="10" applyNumberFormat="1" applyFont="1" applyFill="1" applyBorder="1" applyAlignment="1">
      <alignment vertical="center"/>
    </xf>
    <xf numFmtId="168" fontId="38" fillId="0" borderId="14" xfId="10" applyNumberFormat="1" applyFont="1" applyBorder="1" applyAlignment="1">
      <alignment horizontal="center" vertical="center"/>
    </xf>
    <xf numFmtId="3" fontId="38" fillId="0" borderId="14" xfId="10" applyNumberFormat="1" applyFont="1" applyBorder="1" applyAlignment="1">
      <alignment vertical="center"/>
    </xf>
    <xf numFmtId="3" fontId="38" fillId="26" borderId="14" xfId="10" applyNumberFormat="1" applyFont="1" applyFill="1" applyBorder="1" applyAlignment="1">
      <alignment vertical="center"/>
    </xf>
    <xf numFmtId="49" fontId="38" fillId="0" borderId="0" xfId="10" applyNumberFormat="1" applyFont="1" applyAlignment="1">
      <alignment vertical="center"/>
    </xf>
    <xf numFmtId="49" fontId="36" fillId="27" borderId="14" xfId="10" applyNumberFormat="1" applyFont="1" applyFill="1" applyBorder="1" applyAlignment="1">
      <alignment horizontal="left" vertical="center"/>
    </xf>
    <xf numFmtId="49" fontId="36" fillId="27" borderId="14" xfId="10" applyNumberFormat="1" applyFont="1" applyFill="1" applyBorder="1" applyAlignment="1">
      <alignment vertical="center"/>
    </xf>
    <xf numFmtId="169" fontId="36" fillId="27" borderId="14" xfId="10" applyNumberFormat="1" applyFont="1" applyFill="1" applyBorder="1" applyAlignment="1">
      <alignment vertical="center"/>
    </xf>
    <xf numFmtId="168" fontId="36" fillId="27" borderId="14" xfId="10" applyNumberFormat="1" applyFont="1" applyFill="1" applyBorder="1" applyAlignment="1">
      <alignment horizontal="center" vertical="center"/>
    </xf>
    <xf numFmtId="3" fontId="36" fillId="27" borderId="14" xfId="10" applyNumberFormat="1" applyFont="1" applyFill="1" applyBorder="1" applyAlignment="1">
      <alignment vertical="center"/>
    </xf>
    <xf numFmtId="49" fontId="36" fillId="28" borderId="14" xfId="10" applyNumberFormat="1" applyFont="1" applyFill="1" applyBorder="1" applyAlignment="1">
      <alignment horizontal="left" vertical="center"/>
    </xf>
    <xf numFmtId="49" fontId="36" fillId="28" borderId="14" xfId="10" applyNumberFormat="1" applyFont="1" applyFill="1" applyBorder="1" applyAlignment="1">
      <alignment vertical="center"/>
    </xf>
    <xf numFmtId="169" fontId="36" fillId="28" borderId="14" xfId="10" applyNumberFormat="1" applyFont="1" applyFill="1" applyBorder="1" applyAlignment="1">
      <alignment vertical="center"/>
    </xf>
    <xf numFmtId="168" fontId="36" fillId="28" borderId="14" xfId="10" applyNumberFormat="1" applyFont="1" applyFill="1" applyBorder="1" applyAlignment="1">
      <alignment horizontal="center" vertical="center"/>
    </xf>
    <xf numFmtId="3" fontId="36" fillId="28" borderId="14" xfId="10" applyNumberFormat="1" applyFont="1" applyFill="1" applyBorder="1" applyAlignment="1">
      <alignment vertical="center"/>
    </xf>
    <xf numFmtId="169" fontId="36" fillId="29" borderId="14" xfId="10" applyNumberFormat="1" applyFont="1" applyFill="1" applyBorder="1" applyAlignment="1">
      <alignment vertical="center"/>
    </xf>
    <xf numFmtId="168" fontId="36" fillId="29" borderId="14" xfId="10" applyNumberFormat="1" applyFont="1" applyFill="1" applyBorder="1" applyAlignment="1">
      <alignment horizontal="center" vertical="center"/>
    </xf>
    <xf numFmtId="3" fontId="36" fillId="29" borderId="14" xfId="10" applyNumberFormat="1" applyFont="1" applyFill="1" applyBorder="1" applyAlignment="1">
      <alignment vertical="center"/>
    </xf>
    <xf numFmtId="49" fontId="37" fillId="0" borderId="14" xfId="10" applyNumberFormat="1" applyFont="1" applyBorder="1" applyAlignment="1">
      <alignment horizontal="left" vertical="center"/>
    </xf>
    <xf numFmtId="49" fontId="37" fillId="0" borderId="14" xfId="10" applyNumberFormat="1" applyFont="1" applyBorder="1" applyAlignment="1">
      <alignment vertical="center"/>
    </xf>
    <xf numFmtId="3" fontId="37" fillId="0" borderId="14" xfId="10" applyNumberFormat="1" applyFont="1" applyBorder="1" applyAlignment="1">
      <alignment vertical="center"/>
    </xf>
    <xf numFmtId="3" fontId="37" fillId="26" borderId="14" xfId="10" applyNumberFormat="1" applyFont="1" applyFill="1" applyBorder="1" applyAlignment="1">
      <alignment vertical="center"/>
    </xf>
    <xf numFmtId="0" fontId="35" fillId="0" borderId="0" xfId="10"/>
    <xf numFmtId="168" fontId="37" fillId="0" borderId="14" xfId="10" applyNumberFormat="1" applyFont="1" applyBorder="1" applyAlignment="1">
      <alignment horizontal="center" vertical="center"/>
    </xf>
    <xf numFmtId="3" fontId="36" fillId="30" borderId="14" xfId="10" applyNumberFormat="1" applyFont="1" applyFill="1" applyBorder="1" applyAlignment="1">
      <alignment vertical="center"/>
    </xf>
    <xf numFmtId="49" fontId="36" fillId="30" borderId="14" xfId="10" applyNumberFormat="1" applyFont="1" applyFill="1" applyBorder="1" applyAlignment="1">
      <alignment horizontal="left" vertical="center"/>
    </xf>
    <xf numFmtId="49" fontId="36" fillId="30" borderId="14" xfId="10" applyNumberFormat="1" applyFont="1" applyFill="1" applyBorder="1" applyAlignment="1">
      <alignment vertical="center"/>
    </xf>
    <xf numFmtId="0" fontId="39" fillId="0" borderId="0" xfId="10" applyFont="1"/>
    <xf numFmtId="49" fontId="36" fillId="0" borderId="14" xfId="10" applyNumberFormat="1" applyFont="1" applyBorder="1" applyAlignment="1">
      <alignment vertical="center"/>
    </xf>
    <xf numFmtId="3" fontId="36" fillId="0" borderId="14" xfId="10" applyNumberFormat="1" applyFont="1" applyBorder="1" applyAlignment="1">
      <alignment vertical="center"/>
    </xf>
    <xf numFmtId="0" fontId="40" fillId="0" borderId="0" xfId="10" applyFont="1"/>
    <xf numFmtId="49" fontId="38" fillId="0" borderId="14" xfId="10" applyNumberFormat="1" applyFont="1" applyBorder="1" applyAlignment="1">
      <alignment horizontal="left" vertical="center" indent="1"/>
    </xf>
    <xf numFmtId="0" fontId="41" fillId="0" borderId="0" xfId="10" applyFont="1"/>
    <xf numFmtId="49" fontId="38" fillId="0" borderId="14" xfId="10" applyNumberFormat="1" applyFont="1" applyFill="1" applyBorder="1" applyAlignment="1">
      <alignment horizontal="left" vertical="center" indent="1"/>
    </xf>
    <xf numFmtId="3" fontId="38" fillId="0" borderId="14" xfId="10" applyNumberFormat="1" applyFont="1" applyFill="1" applyBorder="1" applyAlignment="1">
      <alignment vertical="center"/>
    </xf>
    <xf numFmtId="0" fontId="41" fillId="0" borderId="0" xfId="10" applyFont="1" applyFill="1"/>
    <xf numFmtId="49" fontId="36" fillId="29" borderId="14" xfId="10" applyNumberFormat="1" applyFont="1" applyFill="1" applyBorder="1" applyAlignment="1">
      <alignment vertical="center"/>
    </xf>
    <xf numFmtId="3" fontId="37" fillId="0" borderId="14" xfId="10" applyNumberFormat="1" applyFont="1" applyFill="1" applyBorder="1" applyAlignment="1">
      <alignment vertical="center"/>
    </xf>
    <xf numFmtId="169" fontId="42" fillId="0" borderId="14" xfId="10" applyNumberFormat="1" applyFont="1" applyBorder="1" applyAlignment="1">
      <alignment vertical="center" wrapText="1"/>
    </xf>
    <xf numFmtId="169" fontId="43" fillId="0" borderId="14" xfId="10" applyNumberFormat="1" applyFont="1" applyBorder="1" applyAlignment="1">
      <alignment vertical="center" wrapText="1"/>
    </xf>
    <xf numFmtId="49" fontId="40" fillId="24" borderId="15" xfId="10" applyNumberFormat="1" applyFont="1" applyFill="1" applyBorder="1" applyAlignment="1">
      <alignment horizontal="center" vertical="center"/>
    </xf>
    <xf numFmtId="170" fontId="40" fillId="24" borderId="15" xfId="10" applyNumberFormat="1" applyFont="1" applyFill="1" applyBorder="1" applyAlignment="1">
      <alignment horizontal="center" vertical="center"/>
    </xf>
    <xf numFmtId="49" fontId="40" fillId="0" borderId="0" xfId="10" applyNumberFormat="1" applyFont="1" applyAlignment="1">
      <alignment horizontal="center" vertical="center"/>
    </xf>
    <xf numFmtId="49" fontId="41" fillId="0" borderId="15" xfId="10" applyNumberFormat="1" applyFont="1" applyBorder="1" applyAlignment="1">
      <alignment horizontal="center" vertical="center"/>
    </xf>
    <xf numFmtId="49" fontId="41" fillId="0" borderId="15" xfId="10" applyNumberFormat="1" applyFont="1" applyBorder="1" applyAlignment="1">
      <alignment horizontal="left" vertical="center"/>
    </xf>
    <xf numFmtId="170" fontId="41" fillId="0" borderId="15" xfId="10" applyNumberFormat="1" applyFont="1" applyBorder="1" applyAlignment="1">
      <alignment horizontal="right" vertical="center"/>
    </xf>
    <xf numFmtId="49" fontId="41" fillId="0" borderId="0" xfId="10" applyNumberFormat="1" applyFont="1" applyAlignment="1">
      <alignment horizontal="left" vertical="center"/>
    </xf>
    <xf numFmtId="49" fontId="40" fillId="24" borderId="15" xfId="10" applyNumberFormat="1" applyFont="1" applyFill="1" applyBorder="1" applyAlignment="1">
      <alignment vertical="center"/>
    </xf>
    <xf numFmtId="170" fontId="40" fillId="24" borderId="15" xfId="10" applyNumberFormat="1" applyFont="1" applyFill="1" applyBorder="1" applyAlignment="1">
      <alignment horizontal="right" vertical="center"/>
    </xf>
    <xf numFmtId="49" fontId="40" fillId="0" borderId="0" xfId="10" applyNumberFormat="1" applyFont="1" applyAlignment="1">
      <alignment horizontal="left" vertical="center"/>
    </xf>
    <xf numFmtId="170" fontId="40" fillId="24" borderId="15" xfId="10" applyNumberFormat="1" applyFont="1" applyFill="1" applyBorder="1" applyAlignment="1">
      <alignment vertical="center"/>
    </xf>
    <xf numFmtId="49" fontId="39" fillId="0" borderId="0" xfId="10" applyNumberFormat="1" applyFont="1" applyAlignment="1">
      <alignment vertical="center"/>
    </xf>
    <xf numFmtId="49" fontId="39" fillId="0" borderId="15" xfId="10" applyNumberFormat="1" applyFont="1" applyBorder="1" applyAlignment="1">
      <alignment horizontal="center" vertical="center"/>
    </xf>
    <xf numFmtId="49" fontId="39" fillId="0" borderId="15" xfId="10" applyNumberFormat="1" applyFont="1" applyBorder="1" applyAlignment="1">
      <alignment vertical="center"/>
    </xf>
    <xf numFmtId="170" fontId="39" fillId="0" borderId="15" xfId="10" applyNumberFormat="1" applyFont="1" applyBorder="1" applyAlignment="1">
      <alignment vertical="center"/>
    </xf>
    <xf numFmtId="0" fontId="40" fillId="0" borderId="0" xfId="10" applyFont="1" applyAlignment="1">
      <alignment horizontal="center" vertical="center"/>
    </xf>
    <xf numFmtId="0" fontId="41" fillId="0" borderId="0" xfId="10" applyFont="1" applyAlignment="1">
      <alignment horizontal="left" vertical="center"/>
    </xf>
    <xf numFmtId="0" fontId="40" fillId="0" borderId="0" xfId="10" applyFont="1" applyAlignment="1">
      <alignment horizontal="left" vertical="center"/>
    </xf>
    <xf numFmtId="49" fontId="40" fillId="24" borderId="15" xfId="10" applyNumberFormat="1" applyFont="1" applyFill="1" applyBorder="1" applyAlignment="1">
      <alignment horizontal="left" vertical="center"/>
    </xf>
    <xf numFmtId="49" fontId="41" fillId="24" borderId="15" xfId="10" applyNumberFormat="1" applyFont="1" applyFill="1" applyBorder="1" applyAlignment="1">
      <alignment horizontal="center" vertical="center"/>
    </xf>
    <xf numFmtId="49" fontId="41" fillId="24" borderId="15" xfId="10" applyNumberFormat="1" applyFont="1" applyFill="1" applyBorder="1" applyAlignment="1">
      <alignment horizontal="left" vertical="center"/>
    </xf>
    <xf numFmtId="170" fontId="41" fillId="24" borderId="15" xfId="10" applyNumberFormat="1" applyFont="1" applyFill="1" applyBorder="1" applyAlignment="1">
      <alignment horizontal="right" vertical="center"/>
    </xf>
    <xf numFmtId="3" fontId="36" fillId="24" borderId="14" xfId="10" applyNumberFormat="1" applyFont="1" applyFill="1" applyBorder="1" applyAlignment="1">
      <alignment horizontal="center" vertical="center" wrapText="1"/>
    </xf>
    <xf numFmtId="49" fontId="36" fillId="30" borderId="14" xfId="1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 indent="3"/>
    </xf>
    <xf numFmtId="0" fontId="9" fillId="3" borderId="8" xfId="6" applyFont="1" applyFill="1" applyBorder="1" applyAlignment="1">
      <alignment horizontal="center" vertical="center" wrapText="1"/>
    </xf>
    <xf numFmtId="0" fontId="7" fillId="0" borderId="8" xfId="6" applyFont="1" applyBorder="1" applyAlignment="1">
      <alignment horizontal="center"/>
    </xf>
    <xf numFmtId="0" fontId="7" fillId="0" borderId="8" xfId="6" applyFont="1" applyBorder="1" applyAlignment="1">
      <alignment horizontal="left"/>
    </xf>
    <xf numFmtId="49" fontId="9" fillId="0" borderId="8" xfId="6" applyNumberFormat="1" applyFont="1" applyBorder="1" applyAlignment="1">
      <alignment horizontal="center"/>
    </xf>
    <xf numFmtId="49" fontId="9" fillId="0" borderId="8" xfId="6" applyNumberFormat="1" applyFont="1" applyBorder="1" applyAlignment="1">
      <alignment horizontal="left"/>
    </xf>
    <xf numFmtId="0" fontId="9" fillId="0" borderId="8" xfId="6" applyFont="1" applyBorder="1" applyAlignment="1">
      <alignment horizontal="center"/>
    </xf>
    <xf numFmtId="0" fontId="9" fillId="0" borderId="8" xfId="6" applyFont="1" applyBorder="1" applyAlignment="1">
      <alignment horizontal="left"/>
    </xf>
    <xf numFmtId="49" fontId="9" fillId="3" borderId="8" xfId="6" applyNumberFormat="1" applyFont="1" applyFill="1" applyBorder="1" applyAlignment="1">
      <alignment horizontal="center"/>
    </xf>
    <xf numFmtId="49" fontId="9" fillId="3" borderId="8" xfId="6" applyNumberFormat="1" applyFont="1" applyFill="1" applyBorder="1" applyAlignment="1">
      <alignment horizontal="left"/>
    </xf>
    <xf numFmtId="49" fontId="9" fillId="18" borderId="8" xfId="6" applyNumberFormat="1" applyFont="1" applyFill="1" applyBorder="1" applyAlignment="1">
      <alignment horizontal="center"/>
    </xf>
    <xf numFmtId="49" fontId="9" fillId="18" borderId="8" xfId="6" applyNumberFormat="1" applyFont="1" applyFill="1" applyBorder="1" applyAlignment="1">
      <alignment horizontal="left"/>
    </xf>
    <xf numFmtId="0" fontId="9" fillId="18" borderId="8" xfId="6" applyFont="1" applyFill="1" applyBorder="1"/>
    <xf numFmtId="3" fontId="9" fillId="18" borderId="8" xfId="6" applyNumberFormat="1" applyFont="1" applyFill="1" applyBorder="1"/>
    <xf numFmtId="49" fontId="31" fillId="6" borderId="8" xfId="6" applyNumberFormat="1" applyFont="1" applyFill="1" applyBorder="1" applyAlignment="1">
      <alignment horizontal="center"/>
    </xf>
    <xf numFmtId="49" fontId="31" fillId="6" borderId="8" xfId="6" applyNumberFormat="1" applyFont="1" applyFill="1" applyBorder="1" applyAlignment="1">
      <alignment horizontal="left"/>
    </xf>
    <xf numFmtId="0" fontId="31" fillId="6" borderId="8" xfId="6" applyFont="1" applyFill="1" applyBorder="1"/>
    <xf numFmtId="3" fontId="31" fillId="6" borderId="8" xfId="6" applyNumberFormat="1" applyFont="1" applyFill="1" applyBorder="1"/>
    <xf numFmtId="49" fontId="7" fillId="0" borderId="8" xfId="6" applyNumberFormat="1" applyBorder="1" applyAlignment="1">
      <alignment horizontal="center"/>
    </xf>
    <xf numFmtId="49" fontId="7" fillId="0" borderId="8" xfId="6" applyNumberFormat="1" applyBorder="1" applyAlignment="1">
      <alignment horizontal="left"/>
    </xf>
    <xf numFmtId="0" fontId="31" fillId="19" borderId="8" xfId="6" applyFont="1" applyFill="1" applyBorder="1" applyAlignment="1">
      <alignment horizontal="center"/>
    </xf>
    <xf numFmtId="0" fontId="31" fillId="19" borderId="8" xfId="6" applyFont="1" applyFill="1" applyBorder="1" applyAlignment="1">
      <alignment horizontal="left"/>
    </xf>
    <xf numFmtId="0" fontId="31" fillId="19" borderId="8" xfId="6" applyFont="1" applyFill="1" applyBorder="1"/>
    <xf numFmtId="3" fontId="31" fillId="19" borderId="8" xfId="6" applyNumberFormat="1" applyFont="1" applyFill="1" applyBorder="1"/>
    <xf numFmtId="3" fontId="36" fillId="31" borderId="14" xfId="10" applyNumberFormat="1" applyFont="1" applyFill="1" applyBorder="1" applyAlignment="1">
      <alignment horizontal="center" vertical="center" wrapText="1"/>
    </xf>
    <xf numFmtId="49" fontId="36" fillId="25" borderId="0" xfId="10" applyNumberFormat="1" applyFont="1" applyFill="1" applyBorder="1" applyAlignment="1">
      <alignment horizontal="center" vertical="center"/>
    </xf>
    <xf numFmtId="49" fontId="36" fillId="24" borderId="0" xfId="10" applyNumberFormat="1" applyFont="1" applyFill="1" applyBorder="1" applyAlignment="1">
      <alignment horizontal="center" vertical="center"/>
    </xf>
    <xf numFmtId="3" fontId="36" fillId="32" borderId="14" xfId="10" applyNumberFormat="1" applyFont="1" applyFill="1" applyBorder="1" applyAlignment="1">
      <alignment horizontal="center" vertical="center" wrapText="1"/>
    </xf>
    <xf numFmtId="3" fontId="9" fillId="0" borderId="5" xfId="1" applyNumberFormat="1" applyFont="1" applyBorder="1" applyAlignment="1">
      <alignment horizontal="center" vertical="center" wrapText="1"/>
    </xf>
    <xf numFmtId="0" fontId="5" fillId="0" borderId="6" xfId="11" applyFont="1" applyFill="1" applyBorder="1" applyAlignment="1">
      <alignment horizontal="left"/>
    </xf>
    <xf numFmtId="0" fontId="6" fillId="0" borderId="6" xfId="11" applyFont="1" applyFill="1" applyBorder="1" applyAlignment="1">
      <alignment horizontal="center"/>
    </xf>
    <xf numFmtId="3" fontId="6" fillId="33" borderId="6" xfId="0" applyNumberFormat="1" applyFont="1" applyFill="1" applyBorder="1" applyAlignment="1" applyProtection="1">
      <protection locked="0"/>
    </xf>
    <xf numFmtId="0" fontId="0" fillId="33" borderId="6" xfId="0" applyFont="1" applyFill="1" applyBorder="1" applyAlignment="1"/>
    <xf numFmtId="3" fontId="6" fillId="0" borderId="6" xfId="0" applyNumberFormat="1" applyFont="1" applyFill="1" applyBorder="1" applyAlignment="1" applyProtection="1">
      <protection locked="0"/>
    </xf>
    <xf numFmtId="0" fontId="6" fillId="0" borderId="6" xfId="11" applyFont="1" applyFill="1" applyBorder="1" applyAlignment="1">
      <alignment horizontal="left"/>
    </xf>
    <xf numFmtId="0" fontId="6" fillId="0" borderId="6" xfId="11" applyFont="1" applyBorder="1" applyAlignment="1">
      <alignment horizontal="left"/>
    </xf>
    <xf numFmtId="1" fontId="0" fillId="33" borderId="6" xfId="0" applyNumberFormat="1" applyFont="1" applyFill="1" applyBorder="1" applyAlignment="1"/>
    <xf numFmtId="0" fontId="6" fillId="12" borderId="6" xfId="11" applyFont="1" applyFill="1" applyBorder="1" applyAlignment="1">
      <alignment horizontal="left"/>
    </xf>
    <xf numFmtId="0" fontId="6" fillId="12" borderId="6" xfId="11" applyFont="1" applyFill="1" applyBorder="1" applyAlignment="1">
      <alignment horizontal="center"/>
    </xf>
    <xf numFmtId="3" fontId="6" fillId="12" borderId="6" xfId="0" applyNumberFormat="1" applyFont="1" applyFill="1" applyBorder="1" applyAlignment="1" applyProtection="1">
      <protection locked="0"/>
    </xf>
    <xf numFmtId="0" fontId="5" fillId="12" borderId="6" xfId="11" applyFont="1" applyFill="1" applyBorder="1" applyAlignment="1">
      <alignment horizontal="left"/>
    </xf>
    <xf numFmtId="0" fontId="5" fillId="12" borderId="6" xfId="11" applyFont="1" applyFill="1" applyBorder="1" applyAlignment="1">
      <alignment horizontal="center"/>
    </xf>
    <xf numFmtId="0" fontId="5" fillId="26" borderId="6" xfId="11" applyFont="1" applyFill="1" applyBorder="1" applyAlignment="1">
      <alignment horizontal="left"/>
    </xf>
    <xf numFmtId="0" fontId="6" fillId="26" borderId="6" xfId="11" applyFont="1" applyFill="1" applyBorder="1" applyAlignment="1">
      <alignment horizontal="center"/>
    </xf>
    <xf numFmtId="0" fontId="0" fillId="33" borderId="6" xfId="0" applyFill="1" applyBorder="1" applyAlignment="1"/>
    <xf numFmtId="0" fontId="1" fillId="5" borderId="1" xfId="0" applyFont="1" applyFill="1" applyBorder="1" applyAlignment="1">
      <alignment vertical="center" wrapText="1"/>
    </xf>
    <xf numFmtId="0" fontId="48" fillId="0" borderId="0" xfId="0" applyFont="1" applyAlignment="1">
      <alignment horizontal="center" vertical="center"/>
    </xf>
    <xf numFmtId="166" fontId="1" fillId="5" borderId="1" xfId="0" applyNumberFormat="1" applyFont="1" applyFill="1" applyBorder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49" fontId="47" fillId="3" borderId="1" xfId="0" applyNumberFormat="1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vertical="center" wrapText="1"/>
    </xf>
    <xf numFmtId="166" fontId="47" fillId="3" borderId="1" xfId="0" applyNumberFormat="1" applyFont="1" applyFill="1" applyBorder="1" applyAlignment="1">
      <alignment horizontal="right" vertical="center"/>
    </xf>
    <xf numFmtId="3" fontId="47" fillId="3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wrapText="1"/>
    </xf>
    <xf numFmtId="0" fontId="26" fillId="13" borderId="5" xfId="5" applyFont="1" applyFill="1" applyBorder="1" applyAlignment="1">
      <alignment horizontal="center" vertical="center"/>
    </xf>
    <xf numFmtId="0" fontId="26" fillId="13" borderId="5" xfId="5" applyFont="1" applyFill="1" applyBorder="1" applyAlignment="1">
      <alignment vertical="center" wrapText="1"/>
    </xf>
    <xf numFmtId="0" fontId="26" fillId="0" borderId="5" xfId="5" quotePrefix="1" applyFont="1" applyFill="1" applyBorder="1" applyAlignment="1">
      <alignment horizontal="center" vertical="center"/>
    </xf>
    <xf numFmtId="49" fontId="5" fillId="0" borderId="5" xfId="5" applyNumberFormat="1" applyFont="1" applyFill="1" applyBorder="1" applyAlignment="1">
      <alignment vertical="center" wrapText="1"/>
    </xf>
    <xf numFmtId="167" fontId="5" fillId="0" borderId="5" xfId="5" applyNumberFormat="1" applyFont="1" applyFill="1" applyBorder="1" applyAlignment="1">
      <alignment horizontal="right" vertical="center"/>
    </xf>
    <xf numFmtId="3" fontId="5" fillId="13" borderId="5" xfId="1" applyNumberFormat="1" applyFont="1" applyFill="1" applyBorder="1" applyAlignment="1">
      <alignment horizontal="right" vertical="center" wrapText="1" indent="2"/>
    </xf>
    <xf numFmtId="3" fontId="36" fillId="24" borderId="14" xfId="10" applyNumberFormat="1" applyFont="1" applyFill="1" applyBorder="1" applyAlignment="1">
      <alignment horizontal="center" vertical="center" wrapText="1"/>
    </xf>
    <xf numFmtId="3" fontId="36" fillId="31" borderId="14" xfId="10" applyNumberFormat="1" applyFont="1" applyFill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2" fillId="3" borderId="1" xfId="0" applyNumberFormat="1" applyFont="1" applyFill="1" applyBorder="1" applyAlignment="1">
      <alignment horizontal="right" vertical="center"/>
    </xf>
    <xf numFmtId="166" fontId="0" fillId="0" borderId="1" xfId="0" applyNumberFormat="1" applyBorder="1" applyAlignment="1">
      <alignment horizontal="right"/>
    </xf>
    <xf numFmtId="166" fontId="0" fillId="0" borderId="1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" fillId="3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horizontal="right"/>
    </xf>
    <xf numFmtId="0" fontId="51" fillId="0" borderId="0" xfId="0" applyFont="1"/>
    <xf numFmtId="0" fontId="52" fillId="0" borderId="0" xfId="0" applyFont="1"/>
    <xf numFmtId="3" fontId="52" fillId="0" borderId="0" xfId="0" applyNumberFormat="1" applyFont="1" applyAlignment="1"/>
    <xf numFmtId="0" fontId="49" fillId="0" borderId="0" xfId="0" applyFont="1" applyAlignment="1">
      <alignment horizontal="left" vertical="center"/>
    </xf>
    <xf numFmtId="0" fontId="53" fillId="0" borderId="0" xfId="0" applyFont="1" applyAlignment="1">
      <alignment horizontal="center" vertical="center" wrapText="1"/>
    </xf>
    <xf numFmtId="3" fontId="53" fillId="0" borderId="0" xfId="0" applyNumberFormat="1" applyFont="1" applyAlignment="1">
      <alignment vertical="center" wrapText="1"/>
    </xf>
    <xf numFmtId="0" fontId="49" fillId="0" borderId="18" xfId="0" applyFont="1" applyFill="1" applyBorder="1" applyAlignment="1">
      <alignment horizontal="center" vertical="center" wrapText="1"/>
    </xf>
    <xf numFmtId="3" fontId="54" fillId="0" borderId="18" xfId="0" applyNumberFormat="1" applyFont="1" applyFill="1" applyBorder="1" applyAlignment="1">
      <alignment horizontal="center" vertical="center" wrapText="1"/>
    </xf>
    <xf numFmtId="0" fontId="49" fillId="0" borderId="18" xfId="0" applyFont="1" applyFill="1" applyBorder="1" applyAlignment="1">
      <alignment horizontal="left" vertical="center" wrapText="1"/>
    </xf>
    <xf numFmtId="3" fontId="54" fillId="0" borderId="18" xfId="0" applyNumberFormat="1" applyFont="1" applyFill="1" applyBorder="1" applyAlignment="1">
      <alignment wrapText="1"/>
    </xf>
    <xf numFmtId="0" fontId="52" fillId="0" borderId="18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left" vertical="center" wrapText="1"/>
    </xf>
    <xf numFmtId="3" fontId="55" fillId="0" borderId="18" xfId="0" applyNumberFormat="1" applyFont="1" applyFill="1" applyBorder="1" applyAlignment="1">
      <alignment wrapText="1"/>
    </xf>
    <xf numFmtId="0" fontId="49" fillId="0" borderId="18" xfId="0" applyFont="1" applyBorder="1" applyAlignment="1">
      <alignment horizontal="center" wrapText="1"/>
    </xf>
    <xf numFmtId="0" fontId="52" fillId="0" borderId="18" xfId="0" applyFont="1" applyBorder="1" applyAlignment="1">
      <alignment horizontal="center" wrapText="1"/>
    </xf>
    <xf numFmtId="0" fontId="49" fillId="0" borderId="18" xfId="0" applyFont="1" applyBorder="1" applyAlignment="1">
      <alignment horizontal="justify" vertical="center" wrapText="1"/>
    </xf>
    <xf numFmtId="3" fontId="49" fillId="0" borderId="18" xfId="0" applyNumberFormat="1" applyFont="1" applyBorder="1" applyAlignment="1">
      <alignment vertical="center"/>
    </xf>
    <xf numFmtId="0" fontId="57" fillId="0" borderId="18" xfId="0" applyFont="1" applyBorder="1" applyAlignment="1">
      <alignment horizontal="justify" vertical="center" wrapText="1"/>
    </xf>
    <xf numFmtId="0" fontId="52" fillId="0" borderId="18" xfId="0" applyFont="1" applyBorder="1" applyAlignment="1">
      <alignment horizontal="center" vertical="center" wrapText="1"/>
    </xf>
    <xf numFmtId="0" fontId="52" fillId="0" borderId="18" xfId="0" applyFont="1" applyBorder="1" applyAlignment="1">
      <alignment horizontal="justify" vertical="center" wrapText="1"/>
    </xf>
    <xf numFmtId="3" fontId="52" fillId="0" borderId="18" xfId="0" applyNumberFormat="1" applyFont="1" applyBorder="1" applyAlignment="1">
      <alignment vertical="center"/>
    </xf>
    <xf numFmtId="0" fontId="52" fillId="0" borderId="18" xfId="0" applyFont="1" applyBorder="1" applyAlignment="1">
      <alignment horizontal="right" vertical="center" wrapText="1"/>
    </xf>
    <xf numFmtId="0" fontId="58" fillId="0" borderId="18" xfId="0" applyFont="1" applyBorder="1" applyAlignment="1">
      <alignment horizontal="left" vertical="center" wrapText="1" indent="4"/>
    </xf>
    <xf numFmtId="3" fontId="58" fillId="0" borderId="18" xfId="0" applyNumberFormat="1" applyFont="1" applyBorder="1" applyAlignment="1">
      <alignment vertical="center"/>
    </xf>
    <xf numFmtId="0" fontId="52" fillId="0" borderId="18" xfId="0" applyFont="1" applyBorder="1" applyAlignment="1">
      <alignment horizontal="justify" vertical="top" wrapText="1"/>
    </xf>
    <xf numFmtId="0" fontId="49" fillId="0" borderId="18" xfId="0" applyFont="1" applyBorder="1" applyAlignment="1">
      <alignment vertical="top" wrapText="1"/>
    </xf>
    <xf numFmtId="0" fontId="49" fillId="0" borderId="18" xfId="0" applyFont="1" applyBorder="1" applyAlignment="1">
      <alignment horizontal="justify" vertical="top" wrapText="1"/>
    </xf>
    <xf numFmtId="0" fontId="60" fillId="0" borderId="18" xfId="0" applyFont="1" applyBorder="1" applyAlignment="1">
      <alignment horizontal="justify" vertical="top" wrapText="1"/>
    </xf>
    <xf numFmtId="0" fontId="52" fillId="0" borderId="18" xfId="0" applyFont="1" applyBorder="1" applyAlignment="1">
      <alignment vertical="center" wrapText="1"/>
    </xf>
    <xf numFmtId="0" fontId="49" fillId="0" borderId="18" xfId="0" applyFont="1" applyBorder="1" applyAlignment="1">
      <alignment horizontal="center" vertical="center" wrapText="1"/>
    </xf>
    <xf numFmtId="3" fontId="52" fillId="0" borderId="18" xfId="0" applyNumberFormat="1" applyFont="1" applyFill="1" applyBorder="1" applyAlignment="1">
      <alignment vertical="center"/>
    </xf>
    <xf numFmtId="0" fontId="49" fillId="0" borderId="18" xfId="0" applyFont="1" applyBorder="1" applyAlignment="1">
      <alignment wrapText="1"/>
    </xf>
    <xf numFmtId="0" fontId="60" fillId="0" borderId="18" xfId="0" applyFont="1" applyBorder="1" applyAlignment="1">
      <alignment horizontal="center" wrapText="1"/>
    </xf>
    <xf numFmtId="3" fontId="49" fillId="0" borderId="18" xfId="0" applyNumberFormat="1" applyFont="1" applyFill="1" applyBorder="1" applyAlignment="1">
      <alignment vertical="center"/>
    </xf>
    <xf numFmtId="0" fontId="52" fillId="0" borderId="18" xfId="0" applyFont="1" applyBorder="1" applyAlignment="1">
      <alignment wrapText="1"/>
    </xf>
    <xf numFmtId="0" fontId="58" fillId="0" borderId="18" xfId="0" applyFont="1" applyBorder="1" applyAlignment="1">
      <alignment horizontal="left" vertical="center" wrapText="1" indent="2"/>
    </xf>
    <xf numFmtId="0" fontId="58" fillId="0" borderId="18" xfId="0" applyFont="1" applyBorder="1" applyAlignment="1">
      <alignment horizontal="left" vertical="center" wrapText="1" indent="6"/>
    </xf>
    <xf numFmtId="3" fontId="58" fillId="0" borderId="18" xfId="0" applyNumberFormat="1" applyFont="1" applyFill="1" applyBorder="1" applyAlignment="1">
      <alignment vertical="center"/>
    </xf>
    <xf numFmtId="0" fontId="60" fillId="0" borderId="18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justify" vertical="center" wrapText="1"/>
    </xf>
    <xf numFmtId="3" fontId="49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49" fillId="0" borderId="22" xfId="0" applyFont="1" applyBorder="1" applyAlignment="1">
      <alignment vertical="center" wrapText="1"/>
    </xf>
    <xf numFmtId="0" fontId="49" fillId="0" borderId="18" xfId="0" applyFont="1" applyBorder="1" applyAlignment="1">
      <alignment horizontal="center"/>
    </xf>
    <xf numFmtId="0" fontId="49" fillId="0" borderId="18" xfId="0" applyFont="1" applyBorder="1"/>
    <xf numFmtId="3" fontId="49" fillId="0" borderId="18" xfId="0" applyNumberFormat="1" applyFont="1" applyBorder="1" applyAlignment="1"/>
    <xf numFmtId="0" fontId="52" fillId="0" borderId="18" xfId="0" applyFont="1" applyBorder="1" applyAlignment="1">
      <alignment horizontal="center"/>
    </xf>
    <xf numFmtId="0" fontId="52" fillId="0" borderId="18" xfId="0" applyFont="1" applyBorder="1"/>
    <xf numFmtId="3" fontId="52" fillId="0" borderId="18" xfId="0" applyNumberFormat="1" applyFont="1" applyBorder="1" applyAlignment="1"/>
    <xf numFmtId="0" fontId="52" fillId="0" borderId="0" xfId="0" applyFont="1" applyAlignment="1">
      <alignment horizontal="center"/>
    </xf>
    <xf numFmtId="164" fontId="1" fillId="5" borderId="1" xfId="0" applyNumberFormat="1" applyFont="1" applyFill="1" applyBorder="1" applyAlignment="1">
      <alignment horizontal="right" vertical="center"/>
    </xf>
    <xf numFmtId="0" fontId="14" fillId="0" borderId="0" xfId="1" applyFont="1" applyBorder="1" applyAlignment="1">
      <alignment horizontal="center" vertical="center"/>
    </xf>
    <xf numFmtId="0" fontId="31" fillId="5" borderId="6" xfId="1" applyFont="1" applyFill="1" applyBorder="1" applyAlignment="1">
      <alignment horizontal="left" vertical="center"/>
    </xf>
    <xf numFmtId="164" fontId="31" fillId="5" borderId="6" xfId="1" applyNumberFormat="1" applyFont="1" applyFill="1" applyBorder="1" applyAlignment="1">
      <alignment horizontal="center" vertical="center"/>
    </xf>
    <xf numFmtId="3" fontId="31" fillId="5" borderId="6" xfId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 indent="5"/>
    </xf>
    <xf numFmtId="166" fontId="0" fillId="0" borderId="1" xfId="0" applyNumberFormat="1" applyFont="1" applyBorder="1"/>
    <xf numFmtId="166" fontId="0" fillId="0" borderId="1" xfId="0" applyNumberFormat="1" applyBorder="1"/>
    <xf numFmtId="166" fontId="0" fillId="0" borderId="1" xfId="0" applyNumberFormat="1" applyFont="1" applyBorder="1" applyAlignment="1">
      <alignment vertical="center" wrapText="1"/>
    </xf>
    <xf numFmtId="0" fontId="26" fillId="0" borderId="8" xfId="5" quotePrefix="1" applyFont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 wrapText="1"/>
    </xf>
    <xf numFmtId="167" fontId="6" fillId="0" borderId="8" xfId="5" applyNumberFormat="1" applyFont="1" applyFill="1" applyBorder="1" applyAlignment="1">
      <alignment horizontal="right" vertical="center"/>
    </xf>
    <xf numFmtId="16" fontId="7" fillId="0" borderId="8" xfId="1" applyNumberFormat="1" applyFont="1" applyBorder="1" applyAlignment="1">
      <alignment horizontal="left" vertical="center" wrapText="1"/>
    </xf>
    <xf numFmtId="3" fontId="7" fillId="10" borderId="8" xfId="1" applyNumberFormat="1" applyFont="1" applyFill="1" applyBorder="1" applyAlignment="1">
      <alignment horizontal="left" vertical="center"/>
    </xf>
    <xf numFmtId="3" fontId="7" fillId="8" borderId="8" xfId="1" applyNumberFormat="1" applyFont="1" applyFill="1" applyBorder="1" applyAlignment="1">
      <alignment horizontal="right" vertical="center"/>
    </xf>
    <xf numFmtId="3" fontId="36" fillId="24" borderId="14" xfId="10" applyNumberFormat="1" applyFont="1" applyFill="1" applyBorder="1" applyAlignment="1">
      <alignment horizontal="center" vertical="center" wrapText="1"/>
    </xf>
    <xf numFmtId="3" fontId="36" fillId="31" borderId="14" xfId="10" applyNumberFormat="1" applyFont="1" applyFill="1" applyBorder="1" applyAlignment="1">
      <alignment horizontal="center" vertical="center" wrapText="1"/>
    </xf>
    <xf numFmtId="171" fontId="0" fillId="0" borderId="0" xfId="12" applyNumberFormat="1" applyFont="1"/>
    <xf numFmtId="171" fontId="2" fillId="3" borderId="18" xfId="12" applyNumberFormat="1" applyFont="1" applyFill="1" applyBorder="1"/>
    <xf numFmtId="0" fontId="2" fillId="3" borderId="18" xfId="0" applyFont="1" applyFill="1" applyBorder="1" applyAlignment="1">
      <alignment horizontal="center"/>
    </xf>
    <xf numFmtId="0" fontId="0" fillId="0" borderId="18" xfId="0" applyBorder="1" applyAlignment="1">
      <alignment vertical="center" wrapText="1"/>
    </xf>
    <xf numFmtId="171" fontId="0" fillId="0" borderId="18" xfId="12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171" fontId="0" fillId="0" borderId="18" xfId="12" applyNumberFormat="1" applyFont="1" applyBorder="1" applyAlignment="1">
      <alignment horizontal="right" vertical="center"/>
    </xf>
    <xf numFmtId="171" fontId="0" fillId="0" borderId="0" xfId="12" applyNumberFormat="1" applyFont="1" applyAlignment="1">
      <alignment horizontal="center"/>
    </xf>
    <xf numFmtId="171" fontId="0" fillId="0" borderId="18" xfId="12" applyNumberFormat="1" applyFont="1" applyBorder="1" applyAlignment="1">
      <alignment horizontal="center" vertical="center"/>
    </xf>
    <xf numFmtId="171" fontId="2" fillId="3" borderId="18" xfId="12" applyNumberFormat="1" applyFont="1" applyFill="1" applyBorder="1" applyAlignment="1">
      <alignment horizontal="center"/>
    </xf>
    <xf numFmtId="171" fontId="2" fillId="13" borderId="18" xfId="12" applyNumberFormat="1" applyFont="1" applyFill="1" applyBorder="1" applyAlignment="1">
      <alignment horizontal="center" vertical="center" wrapText="1"/>
    </xf>
    <xf numFmtId="171" fontId="2" fillId="13" borderId="18" xfId="12" applyNumberFormat="1" applyFont="1" applyFill="1" applyBorder="1" applyAlignment="1">
      <alignment vertical="center"/>
    </xf>
    <xf numFmtId="0" fontId="48" fillId="8" borderId="0" xfId="1" applyFont="1" applyFill="1" applyAlignment="1">
      <alignment horizontal="right" vertical="center"/>
    </xf>
    <xf numFmtId="3" fontId="0" fillId="0" borderId="10" xfId="0" applyNumberFormat="1" applyBorder="1" applyAlignment="1">
      <alignment horizontal="right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3" fontId="9" fillId="0" borderId="5" xfId="1" applyNumberFormat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Border="1"/>
    <xf numFmtId="3" fontId="1" fillId="5" borderId="0" xfId="0" applyNumberFormat="1" applyFont="1" applyFill="1" applyBorder="1" applyAlignment="1">
      <alignment horizontal="right" vertical="center"/>
    </xf>
    <xf numFmtId="3" fontId="2" fillId="3" borderId="0" xfId="0" applyNumberFormat="1" applyFont="1" applyFill="1" applyBorder="1" applyAlignment="1">
      <alignment vertical="center"/>
    </xf>
    <xf numFmtId="3" fontId="0" fillId="0" borderId="0" xfId="0" applyNumberFormat="1" applyBorder="1" applyAlignment="1">
      <alignment horizontal="right"/>
    </xf>
    <xf numFmtId="3" fontId="2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vertical="center"/>
    </xf>
    <xf numFmtId="3" fontId="2" fillId="0" borderId="0" xfId="0" applyNumberFormat="1" applyFont="1" applyBorder="1"/>
    <xf numFmtId="0" fontId="1" fillId="6" borderId="1" xfId="0" applyFont="1" applyFill="1" applyBorder="1" applyAlignment="1">
      <alignment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3" fontId="0" fillId="0" borderId="10" xfId="0" applyNumberFormat="1" applyBorder="1" applyAlignment="1"/>
    <xf numFmtId="3" fontId="2" fillId="0" borderId="1" xfId="0" applyNumberFormat="1" applyFont="1" applyFill="1" applyBorder="1" applyAlignment="1">
      <alignment horizontal="right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167" fontId="6" fillId="0" borderId="0" xfId="5" applyNumberFormat="1" applyFont="1" applyFill="1" applyBorder="1" applyAlignment="1">
      <alignment horizontal="right" vertical="center"/>
    </xf>
    <xf numFmtId="167" fontId="26" fillId="16" borderId="0" xfId="5" applyNumberFormat="1" applyFont="1" applyFill="1" applyBorder="1" applyAlignment="1">
      <alignment vertical="center"/>
    </xf>
    <xf numFmtId="0" fontId="5" fillId="0" borderId="31" xfId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8" xfId="6" applyFont="1" applyFill="1" applyBorder="1" applyAlignment="1">
      <alignment horizontal="left" vertical="center" wrapText="1"/>
    </xf>
    <xf numFmtId="167" fontId="5" fillId="0" borderId="8" xfId="5" applyNumberFormat="1" applyFont="1" applyFill="1" applyBorder="1" applyAlignment="1">
      <alignment horizontal="right" vertical="center"/>
    </xf>
    <xf numFmtId="3" fontId="61" fillId="10" borderId="5" xfId="1" applyNumberFormat="1" applyFont="1" applyFill="1" applyBorder="1" applyAlignment="1">
      <alignment horizontal="left" vertical="center"/>
    </xf>
    <xf numFmtId="3" fontId="61" fillId="8" borderId="5" xfId="1" applyNumberFormat="1" applyFont="1" applyFill="1" applyBorder="1" applyAlignment="1">
      <alignment horizontal="right" vertical="center"/>
    </xf>
    <xf numFmtId="3" fontId="48" fillId="0" borderId="1" xfId="0" applyNumberFormat="1" applyFont="1" applyBorder="1"/>
    <xf numFmtId="0" fontId="48" fillId="0" borderId="1" xfId="0" applyFont="1" applyBorder="1"/>
    <xf numFmtId="16" fontId="48" fillId="0" borderId="1" xfId="0" applyNumberFormat="1" applyFont="1" applyBorder="1" applyAlignment="1">
      <alignment horizontal="left" vertical="center" wrapText="1" indent="3"/>
    </xf>
    <xf numFmtId="3" fontId="47" fillId="0" borderId="1" xfId="0" applyNumberFormat="1" applyFont="1" applyFill="1" applyBorder="1" applyAlignment="1">
      <alignment horizontal="center" vertical="center" wrapText="1"/>
    </xf>
    <xf numFmtId="3" fontId="47" fillId="5" borderId="1" xfId="0" applyNumberFormat="1" applyFont="1" applyFill="1" applyBorder="1" applyAlignment="1">
      <alignment horizontal="right" vertical="center"/>
    </xf>
    <xf numFmtId="3" fontId="47" fillId="3" borderId="1" xfId="0" applyNumberFormat="1" applyFont="1" applyFill="1" applyBorder="1" applyAlignment="1">
      <alignment vertical="center"/>
    </xf>
    <xf numFmtId="49" fontId="48" fillId="0" borderId="1" xfId="0" applyNumberFormat="1" applyFont="1" applyBorder="1"/>
    <xf numFmtId="3" fontId="47" fillId="0" borderId="1" xfId="0" applyNumberFormat="1" applyFont="1" applyBorder="1"/>
    <xf numFmtId="3" fontId="47" fillId="4" borderId="1" xfId="0" applyNumberFormat="1" applyFont="1" applyFill="1" applyBorder="1"/>
    <xf numFmtId="3" fontId="47" fillId="3" borderId="1" xfId="0" applyNumberFormat="1" applyFont="1" applyFill="1" applyBorder="1"/>
    <xf numFmtId="3" fontId="47" fillId="2" borderId="1" xfId="0" applyNumberFormat="1" applyFont="1" applyFill="1" applyBorder="1" applyAlignment="1">
      <alignment horizontal="right" vertical="center" wrapText="1"/>
    </xf>
    <xf numFmtId="3" fontId="48" fillId="0" borderId="1" xfId="0" applyNumberFormat="1" applyFont="1" applyBorder="1" applyAlignment="1">
      <alignment vertical="center"/>
    </xf>
    <xf numFmtId="3" fontId="47" fillId="4" borderId="1" xfId="0" applyNumberFormat="1" applyFont="1" applyFill="1" applyBorder="1" applyAlignment="1">
      <alignment vertical="center"/>
    </xf>
    <xf numFmtId="3" fontId="47" fillId="0" borderId="1" xfId="0" applyNumberFormat="1" applyFont="1" applyBorder="1" applyAlignment="1">
      <alignment vertical="center"/>
    </xf>
    <xf numFmtId="3" fontId="47" fillId="4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8" fillId="0" borderId="1" xfId="0" applyNumberFormat="1" applyFont="1" applyBorder="1" applyAlignment="1">
      <alignment horizontal="right" vertical="center"/>
    </xf>
    <xf numFmtId="49" fontId="48" fillId="0" borderId="1" xfId="0" applyNumberFormat="1" applyFont="1" applyBorder="1" applyAlignment="1">
      <alignment horizontal="center" vertical="center"/>
    </xf>
    <xf numFmtId="49" fontId="47" fillId="0" borderId="1" xfId="0" applyNumberFormat="1" applyFont="1" applyBorder="1" applyAlignment="1">
      <alignment horizontal="center" vertical="center"/>
    </xf>
    <xf numFmtId="49" fontId="47" fillId="0" borderId="1" xfId="0" applyNumberFormat="1" applyFont="1" applyBorder="1"/>
    <xf numFmtId="0" fontId="47" fillId="3" borderId="1" xfId="0" applyFont="1" applyFill="1" applyBorder="1" applyAlignment="1">
      <alignment vertical="center"/>
    </xf>
    <xf numFmtId="49" fontId="47" fillId="0" borderId="1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vertical="center"/>
    </xf>
    <xf numFmtId="166" fontId="47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vertical="center"/>
    </xf>
    <xf numFmtId="0" fontId="48" fillId="0" borderId="0" xfId="0" applyFont="1"/>
    <xf numFmtId="166" fontId="47" fillId="0" borderId="1" xfId="0" applyNumberFormat="1" applyFont="1" applyBorder="1" applyAlignment="1">
      <alignment horizontal="right" vertical="center"/>
    </xf>
    <xf numFmtId="166" fontId="48" fillId="0" borderId="1" xfId="0" applyNumberFormat="1" applyFont="1" applyBorder="1" applyAlignment="1">
      <alignment horizontal="right" vertical="center"/>
    </xf>
    <xf numFmtId="166" fontId="48" fillId="0" borderId="1" xfId="0" applyNumberFormat="1" applyFont="1" applyBorder="1" applyAlignment="1">
      <alignment horizontal="right" vertical="center" wrapText="1"/>
    </xf>
    <xf numFmtId="0" fontId="47" fillId="0" borderId="0" xfId="0" applyFont="1"/>
    <xf numFmtId="49" fontId="48" fillId="0" borderId="0" xfId="0" applyNumberFormat="1" applyFont="1" applyAlignment="1">
      <alignment horizontal="center" vertical="center"/>
    </xf>
    <xf numFmtId="49" fontId="48" fillId="0" borderId="0" xfId="0" applyNumberFormat="1" applyFont="1"/>
    <xf numFmtId="166" fontId="48" fillId="0" borderId="0" xfId="0" applyNumberFormat="1" applyFont="1" applyAlignment="1">
      <alignment horizontal="right" vertical="center"/>
    </xf>
    <xf numFmtId="3" fontId="48" fillId="0" borderId="0" xfId="0" applyNumberFormat="1" applyFont="1"/>
    <xf numFmtId="3" fontId="2" fillId="2" borderId="1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30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47" fillId="0" borderId="1" xfId="0" applyNumberFormat="1" applyFont="1" applyFill="1" applyBorder="1" applyAlignment="1">
      <alignment horizontal="center" vertical="center" wrapText="1"/>
    </xf>
    <xf numFmtId="3" fontId="47" fillId="0" borderId="3" xfId="0" applyNumberFormat="1" applyFont="1" applyFill="1" applyBorder="1" applyAlignment="1">
      <alignment horizontal="center" vertical="center" wrapText="1"/>
    </xf>
    <xf numFmtId="3" fontId="47" fillId="0" borderId="4" xfId="0" applyNumberFormat="1" applyFont="1" applyFill="1" applyBorder="1" applyAlignment="1">
      <alignment horizontal="center" vertical="center" wrapText="1"/>
    </xf>
    <xf numFmtId="171" fontId="0" fillId="0" borderId="0" xfId="12" applyNumberFormat="1" applyFont="1" applyAlignment="1">
      <alignment horizontal="center"/>
    </xf>
    <xf numFmtId="1" fontId="0" fillId="0" borderId="0" xfId="12" applyNumberFormat="1" applyFont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3" fontId="2" fillId="2" borderId="25" xfId="0" applyNumberFormat="1" applyFont="1" applyFill="1" applyBorder="1" applyAlignment="1">
      <alignment horizontal="center" vertical="center" wrapText="1"/>
    </xf>
    <xf numFmtId="3" fontId="2" fillId="2" borderId="26" xfId="0" applyNumberFormat="1" applyFont="1" applyFill="1" applyBorder="1" applyAlignment="1">
      <alignment horizontal="center" vertical="center" wrapText="1"/>
    </xf>
    <xf numFmtId="3" fontId="2" fillId="2" borderId="27" xfId="0" applyNumberFormat="1" applyFont="1" applyFill="1" applyBorder="1" applyAlignment="1">
      <alignment horizontal="center" vertical="center" wrapText="1"/>
    </xf>
    <xf numFmtId="3" fontId="2" fillId="2" borderId="28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2" borderId="29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66" fontId="2" fillId="2" borderId="25" xfId="0" applyNumberFormat="1" applyFont="1" applyFill="1" applyBorder="1" applyAlignment="1">
      <alignment horizontal="center" vertical="center" wrapText="1"/>
    </xf>
    <xf numFmtId="166" fontId="2" fillId="2" borderId="26" xfId="0" applyNumberFormat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 applyAlignment="1">
      <alignment horizontal="center" vertical="center" wrapText="1"/>
    </xf>
    <xf numFmtId="166" fontId="2" fillId="2" borderId="28" xfId="0" applyNumberFormat="1" applyFont="1" applyFill="1" applyBorder="1" applyAlignment="1">
      <alignment horizontal="center" vertical="center" wrapText="1"/>
    </xf>
    <xf numFmtId="1" fontId="2" fillId="2" borderId="25" xfId="0" applyNumberFormat="1" applyFont="1" applyFill="1" applyBorder="1" applyAlignment="1">
      <alignment horizontal="center" vertical="center" wrapText="1"/>
    </xf>
    <xf numFmtId="1" fontId="2" fillId="2" borderId="26" xfId="0" applyNumberFormat="1" applyFont="1" applyFill="1" applyBorder="1" applyAlignment="1">
      <alignment horizontal="center" vertical="center" wrapText="1"/>
    </xf>
    <xf numFmtId="1" fontId="2" fillId="2" borderId="27" xfId="0" applyNumberFormat="1" applyFont="1" applyFill="1" applyBorder="1" applyAlignment="1">
      <alignment horizontal="center" vertical="center" wrapText="1"/>
    </xf>
    <xf numFmtId="1" fontId="2" fillId="2" borderId="28" xfId="0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7" fillId="0" borderId="0" xfId="5" applyFont="1" applyAlignment="1">
      <alignment horizontal="center"/>
    </xf>
    <xf numFmtId="0" fontId="17" fillId="0" borderId="0" xfId="5" applyFont="1" applyAlignment="1">
      <alignment horizontal="center" vertical="center"/>
    </xf>
    <xf numFmtId="0" fontId="9" fillId="0" borderId="32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3" fontId="9" fillId="0" borderId="32" xfId="1" applyNumberFormat="1" applyFont="1" applyBorder="1" applyAlignment="1">
      <alignment horizontal="center" vertical="center"/>
    </xf>
    <xf numFmtId="3" fontId="9" fillId="0" borderId="33" xfId="1" applyNumberFormat="1" applyFont="1" applyBorder="1" applyAlignment="1">
      <alignment horizontal="center" vertical="center"/>
    </xf>
    <xf numFmtId="3" fontId="9" fillId="0" borderId="12" xfId="1" applyNumberFormat="1" applyFont="1" applyBorder="1" applyAlignment="1">
      <alignment horizontal="center" vertical="center"/>
    </xf>
    <xf numFmtId="3" fontId="9" fillId="0" borderId="34" xfId="1" applyNumberFormat="1" applyFont="1" applyBorder="1" applyAlignment="1">
      <alignment horizontal="center" vertical="center" wrapText="1"/>
    </xf>
    <xf numFmtId="3" fontId="9" fillId="0" borderId="35" xfId="1" applyNumberFormat="1" applyFont="1" applyBorder="1" applyAlignment="1">
      <alignment horizontal="center" vertical="center" wrapText="1"/>
    </xf>
    <xf numFmtId="3" fontId="9" fillId="0" borderId="36" xfId="1" applyNumberFormat="1" applyFont="1" applyBorder="1" applyAlignment="1">
      <alignment horizontal="center" vertical="center" wrapText="1"/>
    </xf>
    <xf numFmtId="3" fontId="9" fillId="0" borderId="37" xfId="1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center" wrapText="1"/>
    </xf>
    <xf numFmtId="171" fontId="2" fillId="3" borderId="18" xfId="12" applyNumberFormat="1" applyFont="1" applyFill="1" applyBorder="1" applyAlignment="1">
      <alignment horizontal="center"/>
    </xf>
    <xf numFmtId="0" fontId="49" fillId="0" borderId="0" xfId="0" applyFont="1" applyAlignment="1">
      <alignment horizontal="left"/>
    </xf>
    <xf numFmtId="0" fontId="49" fillId="0" borderId="0" xfId="0" applyFont="1" applyAlignment="1">
      <alignment horizontal="left"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horizontal="center"/>
    </xf>
    <xf numFmtId="0" fontId="53" fillId="0" borderId="0" xfId="0" applyFont="1" applyAlignment="1">
      <alignment horizontal="center" vertical="center" wrapText="1"/>
    </xf>
    <xf numFmtId="0" fontId="49" fillId="0" borderId="18" xfId="0" applyFont="1" applyFill="1" applyBorder="1" applyAlignment="1">
      <alignment horizontal="center" vertical="center" wrapText="1"/>
    </xf>
    <xf numFmtId="0" fontId="49" fillId="0" borderId="18" xfId="0" applyFont="1" applyBorder="1" applyAlignment="1">
      <alignment horizontal="center" wrapText="1"/>
    </xf>
    <xf numFmtId="0" fontId="49" fillId="0" borderId="18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49" fillId="0" borderId="20" xfId="0" applyFont="1" applyBorder="1" applyAlignment="1">
      <alignment horizontal="center" vertical="center" wrapText="1"/>
    </xf>
    <xf numFmtId="0" fontId="49" fillId="0" borderId="21" xfId="0" applyFont="1" applyBorder="1" applyAlignment="1">
      <alignment horizontal="center" vertical="center" wrapText="1"/>
    </xf>
    <xf numFmtId="0" fontId="49" fillId="0" borderId="18" xfId="0" applyFont="1" applyBorder="1" applyAlignment="1">
      <alignment horizontal="justify" vertical="top" wrapText="1"/>
    </xf>
    <xf numFmtId="0" fontId="49" fillId="0" borderId="22" xfId="0" applyFont="1" applyBorder="1" applyAlignment="1">
      <alignment horizontal="left"/>
    </xf>
    <xf numFmtId="0" fontId="49" fillId="0" borderId="23" xfId="0" applyFont="1" applyBorder="1" applyAlignment="1">
      <alignment horizontal="left"/>
    </xf>
    <xf numFmtId="0" fontId="49" fillId="0" borderId="24" xfId="0" applyFont="1" applyBorder="1" applyAlignment="1">
      <alignment horizontal="left"/>
    </xf>
    <xf numFmtId="0" fontId="52" fillId="0" borderId="22" xfId="0" applyFont="1" applyBorder="1" applyAlignment="1">
      <alignment horizontal="left" wrapText="1"/>
    </xf>
    <xf numFmtId="0" fontId="52" fillId="0" borderId="23" xfId="0" applyFont="1" applyBorder="1" applyAlignment="1">
      <alignment horizontal="left" wrapText="1"/>
    </xf>
    <xf numFmtId="0" fontId="52" fillId="0" borderId="24" xfId="0" applyFont="1" applyBorder="1" applyAlignment="1">
      <alignment horizontal="left" wrapText="1"/>
    </xf>
    <xf numFmtId="0" fontId="53" fillId="0" borderId="0" xfId="0" applyFont="1" applyBorder="1" applyAlignment="1">
      <alignment horizontal="center" vertical="center" wrapText="1"/>
    </xf>
    <xf numFmtId="0" fontId="49" fillId="0" borderId="22" xfId="0" applyFont="1" applyBorder="1" applyAlignment="1">
      <alignment horizontal="left" vertical="center" wrapText="1"/>
    </xf>
    <xf numFmtId="0" fontId="49" fillId="0" borderId="23" xfId="0" applyFont="1" applyBorder="1" applyAlignment="1">
      <alignment horizontal="left" vertical="center" wrapText="1"/>
    </xf>
    <xf numFmtId="0" fontId="49" fillId="0" borderId="24" xfId="0" applyFont="1" applyBorder="1" applyAlignment="1">
      <alignment horizontal="left" vertical="center" wrapText="1"/>
    </xf>
    <xf numFmtId="3" fontId="36" fillId="24" borderId="14" xfId="10" applyNumberFormat="1" applyFont="1" applyFill="1" applyBorder="1" applyAlignment="1">
      <alignment horizontal="center" vertical="center" wrapText="1"/>
    </xf>
    <xf numFmtId="49" fontId="36" fillId="24" borderId="16" xfId="10" applyNumberFormat="1" applyFont="1" applyFill="1" applyBorder="1" applyAlignment="1">
      <alignment horizontal="center" vertical="center"/>
    </xf>
    <xf numFmtId="49" fontId="36" fillId="24" borderId="15" xfId="10" applyNumberFormat="1" applyFont="1" applyFill="1" applyBorder="1" applyAlignment="1">
      <alignment horizontal="center" vertical="center"/>
    </xf>
    <xf numFmtId="49" fontId="36" fillId="24" borderId="17" xfId="10" applyNumberFormat="1" applyFont="1" applyFill="1" applyBorder="1" applyAlignment="1">
      <alignment horizontal="center" vertical="center"/>
    </xf>
    <xf numFmtId="49" fontId="36" fillId="24" borderId="14" xfId="10" applyNumberFormat="1" applyFont="1" applyFill="1" applyBorder="1" applyAlignment="1">
      <alignment horizontal="center" vertical="center"/>
    </xf>
    <xf numFmtId="49" fontId="36" fillId="25" borderId="15" xfId="10" applyNumberFormat="1" applyFont="1" applyFill="1" applyBorder="1" applyAlignment="1">
      <alignment horizontal="center" vertical="center"/>
    </xf>
    <xf numFmtId="49" fontId="36" fillId="30" borderId="14" xfId="10" applyNumberFormat="1" applyFont="1" applyFill="1" applyBorder="1" applyAlignment="1">
      <alignment horizontal="left" vertical="center"/>
    </xf>
    <xf numFmtId="49" fontId="36" fillId="24" borderId="14" xfId="10" applyNumberFormat="1" applyFont="1" applyFill="1" applyBorder="1" applyAlignment="1">
      <alignment horizontal="center" vertical="center" wrapText="1"/>
    </xf>
    <xf numFmtId="3" fontId="36" fillId="32" borderId="14" xfId="10" applyNumberFormat="1" applyFont="1" applyFill="1" applyBorder="1" applyAlignment="1">
      <alignment horizontal="center" vertical="center" wrapText="1"/>
    </xf>
    <xf numFmtId="3" fontId="36" fillId="31" borderId="14" xfId="10" applyNumberFormat="1" applyFont="1" applyFill="1" applyBorder="1" applyAlignment="1">
      <alignment horizontal="center" vertical="center" wrapText="1"/>
    </xf>
    <xf numFmtId="3" fontId="36" fillId="24" borderId="16" xfId="10" applyNumberFormat="1" applyFont="1" applyFill="1" applyBorder="1" applyAlignment="1">
      <alignment horizontal="center" vertical="center" wrapText="1"/>
    </xf>
    <xf numFmtId="3" fontId="36" fillId="24" borderId="17" xfId="10" applyNumberFormat="1" applyFont="1" applyFill="1" applyBorder="1" applyAlignment="1">
      <alignment horizontal="center" vertical="center" wrapText="1"/>
    </xf>
    <xf numFmtId="49" fontId="36" fillId="29" borderId="14" xfId="10" applyNumberFormat="1" applyFont="1" applyFill="1" applyBorder="1" applyAlignment="1">
      <alignment horizontal="left" vertical="center"/>
    </xf>
    <xf numFmtId="3" fontId="36" fillId="31" borderId="16" xfId="10" applyNumberFormat="1" applyFont="1" applyFill="1" applyBorder="1" applyAlignment="1">
      <alignment horizontal="center" vertical="center" wrapText="1"/>
    </xf>
    <xf numFmtId="3" fontId="36" fillId="31" borderId="17" xfId="10" applyNumberFormat="1" applyFont="1" applyFill="1" applyBorder="1" applyAlignment="1">
      <alignment horizontal="center" vertical="center" wrapText="1"/>
    </xf>
    <xf numFmtId="0" fontId="9" fillId="2" borderId="8" xfId="6" applyFont="1" applyFill="1" applyBorder="1" applyAlignment="1">
      <alignment horizontal="left"/>
    </xf>
    <xf numFmtId="168" fontId="36" fillId="24" borderId="14" xfId="10" applyNumberFormat="1" applyFont="1" applyFill="1" applyBorder="1" applyAlignment="1">
      <alignment horizontal="center" vertical="center" wrapText="1"/>
    </xf>
  </cellXfs>
  <cellStyles count="13">
    <cellStyle name="Ezres" xfId="12" builtinId="3"/>
    <cellStyle name="Ezres 2" xfId="2"/>
    <cellStyle name="Ezres 2 2" xfId="3"/>
    <cellStyle name="Ezres 3" xfId="4"/>
    <cellStyle name="Normál" xfId="0" builtinId="0"/>
    <cellStyle name="Normál 2" xfId="5"/>
    <cellStyle name="Normál 2 2" xfId="6"/>
    <cellStyle name="Normál 3" xfId="1"/>
    <cellStyle name="Normál 4" xfId="10"/>
    <cellStyle name="Normál_KIADKON3" xfId="11"/>
    <cellStyle name="Százalék 2" xfId="7"/>
    <cellStyle name="Százalék 3" xfId="8"/>
    <cellStyle name="TableStyleLight1" xfId="9"/>
  </cellStyles>
  <dxfs count="0"/>
  <tableStyles count="0" defaultTableStyle="TableStyleMedium9" defaultPivotStyle="PivotStyleLight16"/>
  <colors>
    <mruColors>
      <color rgb="FFFF66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El&#337;terjeszt&#233;sek/2013%20&#233;v/Els&#337;%20f&#233;l&#233;v/Febru&#225;r%2021/2012%20&#233;vi%20k&#246;lts&#233;gvet&#233;s%20m&#243;dos&#237;t&#225;sa/M2_kv2012_3m_02_08_ja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2014.%20&#233;vi%20k&#246;lts&#233;gvet&#233;s/Int&#233;zm&#233;nyi%20tervez&#233;s/MMMH%20r&#233;szletek/2014%20K&#214;LTS&#201;GVET&#201;S%20&#218;J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főbevétel"/>
      <sheetName val="2. főkiadás"/>
      <sheetName val="3. bev"/>
      <sheetName val="4. Kiadások"/>
      <sheetName val="4-1. szakfeladat"/>
      <sheetName val="4-2. céltartalék"/>
      <sheetName val="4-3_PH_bev_kiad"/>
      <sheetName val="4-4közvtám"/>
      <sheetName val="4_5 VG"/>
      <sheetName val="4-5.1 VG_szakf"/>
      <sheetName val="5. intezmeny"/>
      <sheetName val="6. onallo"/>
      <sheetName val="7. nemzetiség"/>
      <sheetName val="8. létszámkeret"/>
      <sheetName val="9. fejlesztés"/>
      <sheetName val="10. felújítás"/>
      <sheetName val="11. hitelállomány (2)"/>
      <sheetName val="11. hitelállomány"/>
      <sheetName val="10-1.hitelképesség"/>
      <sheetName val="12. mérleg_gördül"/>
      <sheetName val="13. többéves"/>
      <sheetName val="14. összevontMérleg"/>
      <sheetName val="15. eifelhütem"/>
      <sheetName val="16. címrend"/>
      <sheetName val="Szakf"/>
      <sheetName val="normativ"/>
      <sheetName val="hitelfelvétel"/>
      <sheetName val="8 B EU programok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D5">
            <v>51.5</v>
          </cell>
        </row>
      </sheetData>
      <sheetData sheetId="10">
        <row r="7">
          <cell r="G7">
            <v>13</v>
          </cell>
          <cell r="H7">
            <v>13</v>
          </cell>
          <cell r="K7">
            <v>31.5</v>
          </cell>
          <cell r="L7">
            <v>30</v>
          </cell>
          <cell r="O7">
            <v>42</v>
          </cell>
          <cell r="P7">
            <v>40</v>
          </cell>
          <cell r="W7">
            <v>12.5</v>
          </cell>
          <cell r="X7">
            <v>12.5</v>
          </cell>
          <cell r="AA7">
            <v>4.5</v>
          </cell>
          <cell r="AB7">
            <v>4.5</v>
          </cell>
          <cell r="AE7">
            <v>13</v>
          </cell>
          <cell r="AF7">
            <v>13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9">
          <cell r="E19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MMH"/>
      <sheetName val="MMMH reszletes"/>
      <sheetName val="MMMH dologi"/>
      <sheetName val="MMMH bevetel"/>
    </sheetNames>
    <sheetDataSet>
      <sheetData sheetId="0"/>
      <sheetData sheetId="1">
        <row r="7">
          <cell r="D7">
            <v>0</v>
          </cell>
        </row>
        <row r="130">
          <cell r="H130">
            <v>0</v>
          </cell>
        </row>
        <row r="131">
          <cell r="F131">
            <v>0</v>
          </cell>
          <cell r="H131">
            <v>0</v>
          </cell>
        </row>
        <row r="132">
          <cell r="F132">
            <v>0</v>
          </cell>
          <cell r="H132">
            <v>0</v>
          </cell>
        </row>
        <row r="133">
          <cell r="F133">
            <v>0</v>
          </cell>
          <cell r="H133">
            <v>0</v>
          </cell>
        </row>
        <row r="134">
          <cell r="F134">
            <v>0</v>
          </cell>
          <cell r="H134">
            <v>0</v>
          </cell>
        </row>
        <row r="135">
          <cell r="F135">
            <v>0</v>
          </cell>
          <cell r="H135">
            <v>0</v>
          </cell>
        </row>
        <row r="137">
          <cell r="F137">
            <v>0</v>
          </cell>
          <cell r="H137">
            <v>0</v>
          </cell>
        </row>
        <row r="141">
          <cell r="H141">
            <v>0</v>
          </cell>
        </row>
        <row r="145">
          <cell r="F145">
            <v>0</v>
          </cell>
          <cell r="H145">
            <v>0</v>
          </cell>
        </row>
        <row r="146">
          <cell r="F146">
            <v>0</v>
          </cell>
          <cell r="H146">
            <v>0</v>
          </cell>
        </row>
        <row r="147">
          <cell r="H147">
            <v>0</v>
          </cell>
        </row>
        <row r="148">
          <cell r="H148">
            <v>0</v>
          </cell>
        </row>
        <row r="154">
          <cell r="F154">
            <v>0</v>
          </cell>
          <cell r="H154">
            <v>0</v>
          </cell>
        </row>
        <row r="155">
          <cell r="F155">
            <v>0</v>
          </cell>
          <cell r="H155">
            <v>0</v>
          </cell>
        </row>
        <row r="158">
          <cell r="F158">
            <v>0</v>
          </cell>
          <cell r="H158">
            <v>0</v>
          </cell>
        </row>
        <row r="159">
          <cell r="H159">
            <v>0</v>
          </cell>
        </row>
        <row r="162">
          <cell r="F162">
            <v>0</v>
          </cell>
          <cell r="H162">
            <v>0</v>
          </cell>
        </row>
        <row r="163">
          <cell r="F163">
            <v>0</v>
          </cell>
          <cell r="H163">
            <v>0</v>
          </cell>
        </row>
        <row r="164">
          <cell r="H164">
            <v>0</v>
          </cell>
        </row>
        <row r="165">
          <cell r="F165">
            <v>0</v>
          </cell>
          <cell r="H165">
            <v>0</v>
          </cell>
        </row>
        <row r="169">
          <cell r="H169">
            <v>0</v>
          </cell>
        </row>
        <row r="174">
          <cell r="F174">
            <v>0</v>
          </cell>
          <cell r="H174">
            <v>0</v>
          </cell>
        </row>
        <row r="177">
          <cell r="H177">
            <v>0</v>
          </cell>
        </row>
        <row r="178">
          <cell r="H178">
            <v>0</v>
          </cell>
        </row>
        <row r="179">
          <cell r="F179">
            <v>0</v>
          </cell>
          <cell r="H179">
            <v>0</v>
          </cell>
        </row>
        <row r="180">
          <cell r="H180">
            <v>0</v>
          </cell>
        </row>
        <row r="181">
          <cell r="F181">
            <v>0</v>
          </cell>
          <cell r="H181">
            <v>0</v>
          </cell>
        </row>
        <row r="183">
          <cell r="F183">
            <v>0</v>
          </cell>
          <cell r="H183">
            <v>0</v>
          </cell>
        </row>
        <row r="184">
          <cell r="F184">
            <v>0</v>
          </cell>
          <cell r="H184">
            <v>0</v>
          </cell>
        </row>
        <row r="189">
          <cell r="H189">
            <v>0</v>
          </cell>
        </row>
        <row r="209">
          <cell r="H209">
            <v>0</v>
          </cell>
        </row>
        <row r="212">
          <cell r="H212">
            <v>0</v>
          </cell>
        </row>
        <row r="216">
          <cell r="F216">
            <v>0</v>
          </cell>
          <cell r="H216">
            <v>0</v>
          </cell>
        </row>
        <row r="219">
          <cell r="F219">
            <v>0</v>
          </cell>
        </row>
        <row r="232">
          <cell r="F232">
            <v>0</v>
          </cell>
        </row>
        <row r="248">
          <cell r="H248">
            <v>0</v>
          </cell>
        </row>
        <row r="250">
          <cell r="H250">
            <v>0</v>
          </cell>
        </row>
        <row r="255">
          <cell r="H255">
            <v>0</v>
          </cell>
        </row>
        <row r="275">
          <cell r="H275">
            <v>0</v>
          </cell>
        </row>
        <row r="281">
          <cell r="F281">
            <v>0</v>
          </cell>
          <cell r="H281">
            <v>0</v>
          </cell>
        </row>
        <row r="304">
          <cell r="F304">
            <v>0</v>
          </cell>
          <cell r="H304">
            <v>0</v>
          </cell>
        </row>
        <row r="324">
          <cell r="E324">
            <v>0</v>
          </cell>
          <cell r="G324">
            <v>0</v>
          </cell>
          <cell r="H324">
            <v>0</v>
          </cell>
          <cell r="I324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60">
          <cell r="D360">
            <v>0</v>
          </cell>
          <cell r="E360">
            <v>0</v>
          </cell>
          <cell r="G360">
            <v>0</v>
          </cell>
          <cell r="H360">
            <v>0</v>
          </cell>
          <cell r="I360">
            <v>0</v>
          </cell>
        </row>
        <row r="364">
          <cell r="D364">
            <v>0</v>
          </cell>
          <cell r="E364">
            <v>0</v>
          </cell>
          <cell r="G364">
            <v>0</v>
          </cell>
          <cell r="H364">
            <v>0</v>
          </cell>
          <cell r="I364">
            <v>0</v>
          </cell>
        </row>
        <row r="369">
          <cell r="E369">
            <v>0</v>
          </cell>
          <cell r="G369">
            <v>0</v>
          </cell>
          <cell r="H369">
            <v>0</v>
          </cell>
          <cell r="I369">
            <v>0</v>
          </cell>
        </row>
        <row r="370">
          <cell r="D370">
            <v>0</v>
          </cell>
          <cell r="E370">
            <v>0</v>
          </cell>
          <cell r="G370">
            <v>0</v>
          </cell>
          <cell r="H370">
            <v>0</v>
          </cell>
          <cell r="I370">
            <v>0</v>
          </cell>
        </row>
        <row r="371"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</row>
        <row r="374"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72"/>
  <sheetViews>
    <sheetView view="pageBreakPreview" zoomScaleNormal="100" zoomScaleSheetLayoutView="100" workbookViewId="0">
      <selection activeCell="F4" sqref="F4"/>
    </sheetView>
  </sheetViews>
  <sheetFormatPr defaultRowHeight="15"/>
  <cols>
    <col min="1" max="1" width="5.5703125" customWidth="1"/>
    <col min="2" max="2" width="53.28515625" customWidth="1"/>
    <col min="3" max="3" width="11.7109375" customWidth="1"/>
    <col min="4" max="4" width="5.85546875" customWidth="1"/>
    <col min="5" max="5" width="56.85546875" customWidth="1"/>
    <col min="6" max="6" width="12.140625" customWidth="1"/>
  </cols>
  <sheetData>
    <row r="2" spans="1:6" ht="45">
      <c r="A2" s="4" t="s">
        <v>60</v>
      </c>
      <c r="B2" s="5" t="s">
        <v>59</v>
      </c>
      <c r="C2" s="18" t="s">
        <v>57</v>
      </c>
      <c r="D2" s="4" t="s">
        <v>60</v>
      </c>
      <c r="E2" s="5" t="s">
        <v>138</v>
      </c>
      <c r="F2" s="4" t="s">
        <v>57</v>
      </c>
    </row>
    <row r="3" spans="1:6">
      <c r="A3" s="6" t="s">
        <v>1</v>
      </c>
      <c r="B3" s="7" t="s">
        <v>2</v>
      </c>
      <c r="C3" s="14">
        <f t="shared" ref="C3" si="0">SUM(C4:C7)</f>
        <v>3183736</v>
      </c>
      <c r="D3" s="6" t="s">
        <v>1</v>
      </c>
      <c r="E3" s="38" t="s">
        <v>119</v>
      </c>
      <c r="F3" s="39">
        <f t="shared" ref="F3" si="1">SUM(F4:F8)</f>
        <v>4307511</v>
      </c>
    </row>
    <row r="4" spans="1:6">
      <c r="A4" s="48" t="s">
        <v>3</v>
      </c>
      <c r="B4" s="49" t="s">
        <v>7</v>
      </c>
      <c r="C4" s="50">
        <f>'1A. Fő bev'!C4</f>
        <v>495867</v>
      </c>
      <c r="D4" s="48" t="s">
        <v>3</v>
      </c>
      <c r="E4" s="51" t="s">
        <v>102</v>
      </c>
      <c r="F4" s="52">
        <f>'1B. Fő kiad'!C4</f>
        <v>1241954</v>
      </c>
    </row>
    <row r="5" spans="1:6" ht="17.25" customHeight="1">
      <c r="A5" s="48" t="s">
        <v>4</v>
      </c>
      <c r="B5" s="49" t="s">
        <v>20</v>
      </c>
      <c r="C5" s="50">
        <f>'1A. Fő bev'!C9</f>
        <v>2351000</v>
      </c>
      <c r="D5" s="48" t="s">
        <v>4</v>
      </c>
      <c r="E5" s="51" t="s">
        <v>103</v>
      </c>
      <c r="F5" s="52">
        <f>'1B. Fő kiad'!C5</f>
        <v>349979</v>
      </c>
    </row>
    <row r="6" spans="1:6" ht="17.25" customHeight="1">
      <c r="A6" s="48" t="s">
        <v>5</v>
      </c>
      <c r="B6" s="49" t="s">
        <v>32</v>
      </c>
      <c r="C6" s="50">
        <f>'1A. Fő bev'!C19</f>
        <v>336869</v>
      </c>
      <c r="D6" s="48" t="s">
        <v>5</v>
      </c>
      <c r="E6" s="51" t="s">
        <v>104</v>
      </c>
      <c r="F6" s="52">
        <f>'1B. Fő kiad'!C6</f>
        <v>1981474</v>
      </c>
    </row>
    <row r="7" spans="1:6" ht="17.25" customHeight="1">
      <c r="A7" s="48" t="s">
        <v>6</v>
      </c>
      <c r="B7" s="49" t="s">
        <v>41</v>
      </c>
      <c r="C7" s="50">
        <f>'1A. Fő bev'!C28</f>
        <v>0</v>
      </c>
      <c r="D7" s="48" t="s">
        <v>6</v>
      </c>
      <c r="E7" s="51" t="s">
        <v>105</v>
      </c>
      <c r="F7" s="52">
        <f>'1B. Fő kiad'!C7</f>
        <v>75453</v>
      </c>
    </row>
    <row r="8" spans="1:6" ht="17.25" customHeight="1">
      <c r="A8" s="47"/>
      <c r="B8" s="61"/>
      <c r="C8" s="61"/>
      <c r="D8" s="48" t="s">
        <v>106</v>
      </c>
      <c r="E8" s="51" t="s">
        <v>107</v>
      </c>
      <c r="F8" s="52">
        <f>'1B. Fő kiad'!C8</f>
        <v>658651</v>
      </c>
    </row>
    <row r="9" spans="1:6" ht="17.25" customHeight="1">
      <c r="A9" s="63"/>
      <c r="B9" s="67" t="s">
        <v>143</v>
      </c>
      <c r="C9" s="67">
        <f>IF(C3-F3&lt;0,F3-C3,0)</f>
        <v>1123775</v>
      </c>
      <c r="D9" s="65"/>
      <c r="E9" s="66" t="s">
        <v>144</v>
      </c>
      <c r="F9" s="66">
        <f>IF(C3-F3&gt;0,C3-F3,0)</f>
        <v>0</v>
      </c>
    </row>
    <row r="10" spans="1:6" ht="17.25" customHeight="1">
      <c r="A10" s="6" t="s">
        <v>13</v>
      </c>
      <c r="B10" s="7" t="s">
        <v>14</v>
      </c>
      <c r="C10" s="14">
        <f t="shared" ref="C10" si="2">SUM(C11:C13)</f>
        <v>118722</v>
      </c>
      <c r="D10" s="6" t="s">
        <v>13</v>
      </c>
      <c r="E10" s="38" t="s">
        <v>120</v>
      </c>
      <c r="F10" s="39">
        <f t="shared" ref="F10" si="3">SUM(F11:F13)</f>
        <v>255971</v>
      </c>
    </row>
    <row r="11" spans="1:6" ht="17.25" customHeight="1">
      <c r="A11" s="48" t="s">
        <v>3</v>
      </c>
      <c r="B11" s="49" t="s">
        <v>18</v>
      </c>
      <c r="C11" s="50">
        <f>'1A. Fő bev'!C32</f>
        <v>0</v>
      </c>
      <c r="D11" s="48" t="s">
        <v>3</v>
      </c>
      <c r="E11" s="51" t="s">
        <v>130</v>
      </c>
      <c r="F11" s="52">
        <f>'1B. Fő kiad'!C14</f>
        <v>174473</v>
      </c>
    </row>
    <row r="12" spans="1:6" ht="17.25" customHeight="1">
      <c r="A12" s="48" t="s">
        <v>4</v>
      </c>
      <c r="B12" s="49" t="s">
        <v>40</v>
      </c>
      <c r="C12" s="50">
        <f>'1A. Fő bev'!C36</f>
        <v>100000</v>
      </c>
      <c r="D12" s="48" t="s">
        <v>4</v>
      </c>
      <c r="E12" s="51" t="s">
        <v>110</v>
      </c>
      <c r="F12" s="52">
        <f>'1B. Fő kiad'!C15</f>
        <v>81498</v>
      </c>
    </row>
    <row r="13" spans="1:6" ht="17.25" customHeight="1">
      <c r="A13" s="48" t="s">
        <v>5</v>
      </c>
      <c r="B13" s="49" t="s">
        <v>43</v>
      </c>
      <c r="C13" s="50">
        <f>'1A. Fő bev'!C41</f>
        <v>18722</v>
      </c>
      <c r="D13" s="48" t="s">
        <v>5</v>
      </c>
      <c r="E13" s="51" t="s">
        <v>111</v>
      </c>
      <c r="F13" s="52">
        <f>'1B. Fő kiad'!C16</f>
        <v>0</v>
      </c>
    </row>
    <row r="14" spans="1:6" ht="17.25" customHeight="1">
      <c r="A14" s="62"/>
      <c r="B14" s="63" t="s">
        <v>145</v>
      </c>
      <c r="C14" s="67">
        <f>IF(C10-F10&lt;0,F10-C10,0)</f>
        <v>137249</v>
      </c>
      <c r="D14" s="64"/>
      <c r="E14" s="65" t="s">
        <v>146</v>
      </c>
      <c r="F14" s="66">
        <f>IF(C10-F10&gt;0,C10-F10,0)</f>
        <v>0</v>
      </c>
    </row>
    <row r="15" spans="1:6" ht="17.25" customHeight="1">
      <c r="A15" s="5"/>
      <c r="B15" s="29" t="s">
        <v>100</v>
      </c>
      <c r="C15" s="27">
        <f>C3+C10</f>
        <v>3302458</v>
      </c>
      <c r="D15" s="5"/>
      <c r="E15" s="29" t="s">
        <v>122</v>
      </c>
      <c r="F15" s="19">
        <f>F3+F10</f>
        <v>4563482</v>
      </c>
    </row>
    <row r="16" spans="1:6" ht="17.25" customHeight="1">
      <c r="A16" s="6" t="s">
        <v>44</v>
      </c>
      <c r="B16" s="7" t="s">
        <v>45</v>
      </c>
      <c r="C16" s="14">
        <f>C17+C20</f>
        <v>1272481</v>
      </c>
      <c r="D16" s="6" t="s">
        <v>44</v>
      </c>
      <c r="E16" s="38" t="s">
        <v>123</v>
      </c>
      <c r="F16" s="39">
        <f t="shared" ref="F16" si="4">F17+F20</f>
        <v>11457</v>
      </c>
    </row>
    <row r="17" spans="1:6" ht="17.25" customHeight="1">
      <c r="A17" s="63"/>
      <c r="B17" s="67" t="s">
        <v>147</v>
      </c>
      <c r="C17" s="67">
        <f t="shared" ref="C17" si="5">C18</f>
        <v>1123775</v>
      </c>
      <c r="D17" s="65"/>
      <c r="E17" s="66" t="s">
        <v>149</v>
      </c>
      <c r="F17" s="66">
        <f t="shared" ref="F17" si="6">F18+F19</f>
        <v>0</v>
      </c>
    </row>
    <row r="18" spans="1:6" ht="17.25" customHeight="1">
      <c r="A18" s="68" t="s">
        <v>3</v>
      </c>
      <c r="B18" s="61" t="s">
        <v>148</v>
      </c>
      <c r="C18" s="50">
        <f t="shared" ref="C18" si="7">C9</f>
        <v>1123775</v>
      </c>
      <c r="D18" s="68" t="s">
        <v>3</v>
      </c>
      <c r="E18" s="69" t="s">
        <v>124</v>
      </c>
      <c r="F18" s="53"/>
    </row>
    <row r="19" spans="1:6" ht="17.25" customHeight="1">
      <c r="A19" s="48"/>
      <c r="B19" s="49"/>
      <c r="C19" s="50"/>
      <c r="D19" s="68" t="s">
        <v>4</v>
      </c>
      <c r="E19" s="69" t="s">
        <v>134</v>
      </c>
      <c r="F19" s="53"/>
    </row>
    <row r="20" spans="1:6" ht="17.25" customHeight="1">
      <c r="A20" s="63"/>
      <c r="B20" s="67" t="s">
        <v>150</v>
      </c>
      <c r="C20" s="67">
        <f t="shared" ref="C20" si="8">C21+C22</f>
        <v>148706</v>
      </c>
      <c r="D20" s="65"/>
      <c r="E20" s="66" t="s">
        <v>151</v>
      </c>
      <c r="F20" s="66">
        <f t="shared" ref="F20" si="9">F21</f>
        <v>11457</v>
      </c>
    </row>
    <row r="21" spans="1:6" ht="17.25" customHeight="1">
      <c r="A21" s="68" t="s">
        <v>3</v>
      </c>
      <c r="B21" s="61" t="s">
        <v>46</v>
      </c>
      <c r="C21" s="50">
        <f>'1A. Fő bev'!C46-C18</f>
        <v>148706</v>
      </c>
      <c r="D21" s="68" t="s">
        <v>3</v>
      </c>
      <c r="E21" s="69" t="s">
        <v>124</v>
      </c>
      <c r="F21" s="53">
        <f>'1B. Fő kiad'!C24</f>
        <v>11457</v>
      </c>
    </row>
    <row r="22" spans="1:6" ht="17.25" customHeight="1">
      <c r="A22" s="68" t="s">
        <v>4</v>
      </c>
      <c r="B22" s="61" t="s">
        <v>53</v>
      </c>
      <c r="C22" s="50">
        <f>'1A. Fő bev'!C59</f>
        <v>0</v>
      </c>
      <c r="D22" s="68" t="s">
        <v>4</v>
      </c>
      <c r="E22" s="69" t="s">
        <v>134</v>
      </c>
      <c r="F22" s="53"/>
    </row>
    <row r="23" spans="1:6" ht="17.25" customHeight="1">
      <c r="A23" s="31"/>
      <c r="B23" s="32" t="s">
        <v>56</v>
      </c>
      <c r="C23" s="33">
        <f>C15+C16</f>
        <v>4574939</v>
      </c>
      <c r="D23" s="31"/>
      <c r="E23" s="32" t="s">
        <v>112</v>
      </c>
      <c r="F23" s="34">
        <f>F15+F16</f>
        <v>4574939</v>
      </c>
    </row>
    <row r="24" spans="1:6" ht="17.25" customHeight="1">
      <c r="A24" s="10"/>
      <c r="B24" s="11"/>
      <c r="C24" s="35"/>
      <c r="D24" s="10"/>
      <c r="E24" s="30"/>
      <c r="F24" s="16"/>
    </row>
    <row r="25" spans="1:6" ht="17.25" customHeight="1">
      <c r="A25" s="8"/>
      <c r="B25" s="9"/>
      <c r="C25" s="15"/>
      <c r="D25" s="10"/>
      <c r="E25" s="20"/>
      <c r="F25" s="36"/>
    </row>
    <row r="26" spans="1:6" ht="17.25" customHeight="1">
      <c r="A26" s="10"/>
      <c r="B26" s="11"/>
      <c r="C26" s="35"/>
      <c r="D26" s="10"/>
      <c r="E26" s="30"/>
      <c r="F26" s="16"/>
    </row>
    <row r="27" spans="1:6" ht="17.25" customHeight="1">
      <c r="A27" s="10"/>
      <c r="B27" s="11"/>
      <c r="C27" s="35"/>
      <c r="D27" s="10"/>
      <c r="E27" s="30"/>
      <c r="F27" s="16"/>
    </row>
    <row r="28" spans="1:6" ht="17.25" customHeight="1">
      <c r="A28" s="10"/>
      <c r="B28" s="11"/>
      <c r="C28" s="35"/>
      <c r="D28" s="10"/>
      <c r="E28" s="30"/>
      <c r="F28" s="16"/>
    </row>
    <row r="29" spans="1:6" ht="17.25" customHeight="1">
      <c r="A29" s="10"/>
      <c r="B29" s="11"/>
      <c r="C29" s="35"/>
      <c r="D29" s="10"/>
      <c r="E29" s="42"/>
      <c r="F29" s="16"/>
    </row>
    <row r="30" spans="1:6" ht="17.25" customHeight="1">
      <c r="A30" s="10"/>
      <c r="B30" s="11"/>
      <c r="C30" s="35"/>
      <c r="D30" s="10"/>
      <c r="E30" s="42"/>
      <c r="F30" s="16"/>
    </row>
    <row r="31" spans="1:6" ht="17.25" customHeight="1">
      <c r="A31" s="10"/>
      <c r="B31" s="11"/>
      <c r="C31" s="35"/>
      <c r="D31" s="10"/>
      <c r="E31" s="42"/>
      <c r="F31" s="16"/>
    </row>
    <row r="32" spans="1:6" ht="17.25" customHeight="1">
      <c r="A32" s="10"/>
      <c r="B32" s="11"/>
      <c r="C32" s="35"/>
      <c r="D32" s="10"/>
      <c r="E32" s="30"/>
      <c r="F32" s="16"/>
    </row>
    <row r="33" spans="1:6" ht="17.25" customHeight="1">
      <c r="A33" s="10"/>
      <c r="B33" s="11"/>
      <c r="C33" s="35"/>
      <c r="D33" s="10"/>
      <c r="E33" s="30"/>
      <c r="F33" s="16"/>
    </row>
    <row r="34" spans="1:6" ht="17.25" customHeight="1">
      <c r="A34" s="8"/>
      <c r="B34" s="9"/>
      <c r="C34" s="15"/>
      <c r="D34" s="10"/>
      <c r="E34" s="30"/>
      <c r="F34" s="16"/>
    </row>
    <row r="35" spans="1:6" ht="17.25" customHeight="1">
      <c r="A35" s="10"/>
      <c r="B35" s="11"/>
      <c r="C35" s="35"/>
      <c r="D35" s="10"/>
      <c r="E35" s="30"/>
      <c r="F35" s="16"/>
    </row>
    <row r="36" spans="1:6" ht="17.25" customHeight="1">
      <c r="A36" s="10"/>
      <c r="B36" s="11"/>
      <c r="C36" s="35"/>
      <c r="D36" s="10"/>
      <c r="E36" s="30"/>
      <c r="F36" s="16"/>
    </row>
    <row r="37" spans="1:6" ht="17.25" customHeight="1">
      <c r="D37" s="10"/>
      <c r="E37" s="30"/>
      <c r="F37" s="16"/>
    </row>
    <row r="38" spans="1:6" ht="17.25" customHeight="1">
      <c r="D38" s="10"/>
      <c r="E38" s="30"/>
      <c r="F38" s="16"/>
    </row>
    <row r="39" spans="1:6" ht="17.25" customHeight="1">
      <c r="A39" s="10"/>
      <c r="B39" s="13"/>
      <c r="C39" s="17"/>
      <c r="D39" s="10"/>
      <c r="E39" s="30"/>
      <c r="F39" s="16"/>
    </row>
    <row r="40" spans="1:6" ht="17.25" customHeight="1">
      <c r="A40" s="10"/>
      <c r="B40" s="13"/>
      <c r="C40" s="17"/>
      <c r="D40" s="10"/>
      <c r="E40" s="30"/>
      <c r="F40" s="16"/>
    </row>
    <row r="41" spans="1:6" ht="17.25" customHeight="1">
      <c r="A41" s="10"/>
      <c r="B41" s="13"/>
      <c r="C41" s="17"/>
      <c r="D41" s="10"/>
      <c r="E41" s="20"/>
      <c r="F41" s="21"/>
    </row>
    <row r="42" spans="1:6" ht="17.25" customHeight="1">
      <c r="D42" s="10"/>
      <c r="E42" s="30"/>
      <c r="F42" s="16"/>
    </row>
    <row r="43" spans="1:6" ht="17.25" customHeight="1">
      <c r="A43" s="10"/>
      <c r="B43" s="13"/>
      <c r="C43" s="17"/>
      <c r="D43" s="10"/>
      <c r="E43" s="30"/>
      <c r="F43" s="16"/>
    </row>
    <row r="44" spans="1:6" ht="17.25" customHeight="1">
      <c r="A44" s="10"/>
      <c r="B44" s="13"/>
      <c r="C44" s="17"/>
    </row>
    <row r="45" spans="1:6" ht="17.25" customHeight="1">
      <c r="A45" s="10"/>
      <c r="B45" s="13"/>
      <c r="C45" s="17"/>
    </row>
    <row r="46" spans="1:6" ht="17.25" customHeight="1">
      <c r="A46" s="10"/>
      <c r="B46" s="13"/>
      <c r="C46" s="17"/>
    </row>
    <row r="47" spans="1:6" ht="17.25" customHeight="1"/>
    <row r="48" spans="1:6" ht="17.25" customHeight="1">
      <c r="A48" s="10"/>
      <c r="B48" s="13"/>
      <c r="C48" s="17"/>
      <c r="D48" s="10"/>
      <c r="E48" s="20"/>
      <c r="F48" s="21"/>
    </row>
    <row r="49" spans="1:6" ht="17.25" customHeight="1">
      <c r="A49" s="10"/>
      <c r="B49" s="13"/>
      <c r="C49" s="17"/>
      <c r="D49" s="10"/>
      <c r="E49" s="20"/>
      <c r="F49" s="21"/>
    </row>
    <row r="50" spans="1:6" ht="17.25" customHeight="1">
      <c r="D50" s="10"/>
      <c r="E50" s="20"/>
      <c r="F50" s="21"/>
    </row>
    <row r="51" spans="1:6" ht="17.25" customHeight="1">
      <c r="D51" s="10"/>
      <c r="E51" s="20"/>
      <c r="F51" s="21"/>
    </row>
    <row r="52" spans="1:6" ht="17.25" customHeight="1">
      <c r="D52" s="10"/>
      <c r="E52" s="30"/>
      <c r="F52" s="16"/>
    </row>
    <row r="53" spans="1:6" ht="17.25" customHeight="1">
      <c r="A53" s="10"/>
      <c r="B53" s="13"/>
      <c r="C53" s="17"/>
      <c r="D53" s="10"/>
      <c r="E53" s="30"/>
      <c r="F53" s="16"/>
    </row>
    <row r="54" spans="1:6" ht="17.25" customHeight="1">
      <c r="A54" s="10"/>
      <c r="B54" s="12"/>
      <c r="C54" s="17"/>
      <c r="D54" s="10"/>
      <c r="E54" s="20"/>
      <c r="F54" s="21"/>
    </row>
    <row r="55" spans="1:6" ht="17.25" customHeight="1">
      <c r="A55" s="10"/>
      <c r="B55" s="12"/>
      <c r="C55" s="17"/>
      <c r="D55" s="10"/>
      <c r="E55" s="30"/>
      <c r="F55" s="16"/>
    </row>
    <row r="56" spans="1:6" ht="17.25" customHeight="1">
      <c r="A56" s="10"/>
      <c r="B56" s="13"/>
      <c r="C56" s="17"/>
      <c r="D56" s="10"/>
      <c r="E56" s="30"/>
      <c r="F56" s="16"/>
    </row>
    <row r="57" spans="1:6" ht="17.25" customHeight="1">
      <c r="A57" s="10"/>
      <c r="B57" s="13"/>
      <c r="C57" s="17"/>
      <c r="D57" s="10"/>
      <c r="E57" s="20"/>
      <c r="F57" s="21"/>
    </row>
    <row r="58" spans="1:6" ht="17.25" customHeight="1">
      <c r="A58" s="10"/>
      <c r="B58" s="13"/>
      <c r="C58" s="17"/>
    </row>
    <row r="59" spans="1:6" ht="17.25" customHeight="1">
      <c r="A59" s="10"/>
      <c r="B59" s="13"/>
      <c r="C59" s="17"/>
    </row>
    <row r="60" spans="1:6" ht="17.25" customHeight="1"/>
    <row r="61" spans="1:6" ht="17.25" customHeight="1">
      <c r="A61" s="10"/>
      <c r="B61" s="13"/>
      <c r="C61" s="17"/>
      <c r="D61" s="10"/>
      <c r="E61" s="43"/>
      <c r="F61" s="45"/>
    </row>
    <row r="62" spans="1:6" ht="17.25" customHeight="1">
      <c r="A62" s="10"/>
      <c r="B62" s="13"/>
      <c r="C62" s="17"/>
      <c r="D62" s="10"/>
      <c r="E62" s="30"/>
      <c r="F62" s="46"/>
    </row>
    <row r="63" spans="1:6" ht="17.25" customHeight="1">
      <c r="D63" s="10"/>
      <c r="E63" s="30"/>
      <c r="F63" s="46"/>
    </row>
    <row r="64" spans="1:6" ht="17.25" customHeight="1">
      <c r="D64" s="10"/>
      <c r="E64" s="43"/>
      <c r="F64" s="45"/>
    </row>
    <row r="65" spans="4:6" ht="17.25" customHeight="1">
      <c r="D65" s="10"/>
      <c r="E65" s="43"/>
      <c r="F65" s="45"/>
    </row>
    <row r="66" spans="4:6" ht="17.25" customHeight="1">
      <c r="D66" s="10"/>
      <c r="E66" s="43"/>
      <c r="F66" s="45"/>
    </row>
    <row r="67" spans="4:6" ht="17.25" customHeight="1">
      <c r="D67" s="10"/>
      <c r="E67" s="43"/>
      <c r="F67" s="45"/>
    </row>
    <row r="68" spans="4:6" ht="17.25" customHeight="1">
      <c r="D68" s="10"/>
      <c r="E68" s="43"/>
      <c r="F68" s="45"/>
    </row>
    <row r="69" spans="4:6" ht="17.25" customHeight="1"/>
    <row r="70" spans="4:6" ht="17.25" customHeight="1">
      <c r="D70" s="10"/>
      <c r="E70" s="43"/>
      <c r="F70" s="45"/>
    </row>
    <row r="71" spans="4:6" ht="17.25" customHeight="1">
      <c r="D71" s="10"/>
      <c r="E71" s="43"/>
      <c r="F71" s="45"/>
    </row>
    <row r="72" spans="4:6" ht="17.25" customHeight="1"/>
  </sheetData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&amp;C&amp;"-,Félkövér"&amp;16Törökbálint Város Önkormányzat költségvetési mérlege 2014. év (0. olvasat)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D46"/>
  <sheetViews>
    <sheetView view="pageLayout" topLeftCell="C1" zoomScaleNormal="100" zoomScaleSheetLayoutView="100" workbookViewId="0">
      <selection activeCell="E5" sqref="E5"/>
    </sheetView>
  </sheetViews>
  <sheetFormatPr defaultRowHeight="15"/>
  <cols>
    <col min="1" max="1" width="5.7109375" style="3" customWidth="1"/>
    <col min="2" max="2" width="62.140625" bestFit="1" customWidth="1"/>
    <col min="3" max="4" width="12.5703125" style="26" customWidth="1"/>
    <col min="5" max="5" width="60.7109375" customWidth="1"/>
  </cols>
  <sheetData>
    <row r="1" spans="1:4">
      <c r="C1" s="28"/>
      <c r="D1" s="28" t="s">
        <v>0</v>
      </c>
    </row>
    <row r="2" spans="1:4">
      <c r="A2" s="570" t="s">
        <v>1797</v>
      </c>
      <c r="B2" s="570" t="s">
        <v>1799</v>
      </c>
      <c r="C2" s="571"/>
      <c r="D2" s="571"/>
    </row>
    <row r="3" spans="1:4" ht="30">
      <c r="A3" s="4" t="s">
        <v>60</v>
      </c>
      <c r="B3" s="5" t="s">
        <v>58</v>
      </c>
      <c r="C3" s="550" t="s">
        <v>437</v>
      </c>
      <c r="D3" s="550" t="s">
        <v>1827</v>
      </c>
    </row>
    <row r="4" spans="1:4">
      <c r="A4" s="572"/>
      <c r="B4" s="573" t="s">
        <v>113</v>
      </c>
      <c r="C4" s="574">
        <f>'3B PH fel'!C5</f>
        <v>73</v>
      </c>
      <c r="D4" s="574">
        <f>'3B PH fel'!D5</f>
        <v>75</v>
      </c>
    </row>
    <row r="5" spans="1:4">
      <c r="A5" s="572"/>
      <c r="B5" s="573" t="s">
        <v>114</v>
      </c>
      <c r="C5" s="574">
        <v>32</v>
      </c>
      <c r="D5" s="574">
        <v>32</v>
      </c>
    </row>
    <row r="6" spans="1:4">
      <c r="A6" s="572"/>
      <c r="B6" s="573" t="s">
        <v>1764</v>
      </c>
      <c r="C6" s="574">
        <v>10</v>
      </c>
      <c r="D6" s="574">
        <v>10</v>
      </c>
    </row>
    <row r="7" spans="1:4">
      <c r="A7" s="6" t="s">
        <v>1</v>
      </c>
      <c r="B7" s="7" t="s">
        <v>2</v>
      </c>
      <c r="C7" s="14">
        <f t="shared" ref="C7:D7" si="0">C8+C10+C13</f>
        <v>1000</v>
      </c>
      <c r="D7" s="14">
        <f t="shared" si="0"/>
        <v>5840</v>
      </c>
    </row>
    <row r="8" spans="1:4">
      <c r="A8" s="8" t="s">
        <v>3</v>
      </c>
      <c r="B8" s="9" t="s">
        <v>7</v>
      </c>
      <c r="C8" s="15">
        <f t="shared" ref="C8:D8" si="1">C9</f>
        <v>0</v>
      </c>
      <c r="D8" s="15">
        <f t="shared" si="1"/>
        <v>4840</v>
      </c>
    </row>
    <row r="9" spans="1:4" ht="30">
      <c r="A9" s="10"/>
      <c r="B9" s="11" t="s">
        <v>1513</v>
      </c>
      <c r="C9" s="17"/>
      <c r="D9" s="17">
        <f>4840</f>
        <v>4840</v>
      </c>
    </row>
    <row r="10" spans="1:4">
      <c r="A10" s="8" t="s">
        <v>3</v>
      </c>
      <c r="B10" s="9" t="s">
        <v>20</v>
      </c>
      <c r="C10" s="15">
        <f>SUM(C11:C12)</f>
        <v>1000</v>
      </c>
      <c r="D10" s="15">
        <f>SUM(D11:D12)</f>
        <v>1000</v>
      </c>
    </row>
    <row r="11" spans="1:4">
      <c r="A11" s="10"/>
      <c r="B11" s="30" t="s">
        <v>88</v>
      </c>
      <c r="C11" s="17">
        <f>ph!E195</f>
        <v>1000</v>
      </c>
      <c r="D11" s="17">
        <v>1000</v>
      </c>
    </row>
    <row r="12" spans="1:4">
      <c r="A12" s="10"/>
      <c r="B12" s="11" t="s">
        <v>89</v>
      </c>
      <c r="C12" s="17"/>
      <c r="D12" s="17"/>
    </row>
    <row r="13" spans="1:4">
      <c r="A13" s="8" t="s">
        <v>4</v>
      </c>
      <c r="B13" s="9" t="s">
        <v>32</v>
      </c>
      <c r="C13" s="15">
        <f t="shared" ref="C13:D13" si="2">SUM(C14:C19)</f>
        <v>0</v>
      </c>
      <c r="D13" s="15">
        <f t="shared" si="2"/>
        <v>0</v>
      </c>
    </row>
    <row r="14" spans="1:4">
      <c r="A14" s="10"/>
      <c r="B14" s="11" t="s">
        <v>1514</v>
      </c>
      <c r="C14" s="17"/>
      <c r="D14" s="17"/>
    </row>
    <row r="15" spans="1:4">
      <c r="A15" s="10"/>
      <c r="B15" s="11" t="s">
        <v>90</v>
      </c>
      <c r="C15" s="17"/>
      <c r="D15" s="17"/>
    </row>
    <row r="16" spans="1:4">
      <c r="A16" s="10"/>
      <c r="B16" s="11" t="s">
        <v>91</v>
      </c>
      <c r="C16" s="17"/>
      <c r="D16" s="17"/>
    </row>
    <row r="17" spans="1:4">
      <c r="A17" s="10"/>
      <c r="B17" s="11" t="s">
        <v>92</v>
      </c>
      <c r="C17" s="17"/>
      <c r="D17" s="17"/>
    </row>
    <row r="18" spans="1:4">
      <c r="A18" s="10"/>
      <c r="B18" s="11" t="s">
        <v>93</v>
      </c>
      <c r="C18" s="17"/>
      <c r="D18" s="17"/>
    </row>
    <row r="19" spans="1:4">
      <c r="A19" s="10"/>
      <c r="B19" s="11" t="s">
        <v>94</v>
      </c>
      <c r="C19" s="17"/>
      <c r="D19" s="17"/>
    </row>
    <row r="20" spans="1:4">
      <c r="A20" s="8" t="s">
        <v>5</v>
      </c>
      <c r="B20" s="9" t="s">
        <v>41</v>
      </c>
      <c r="C20" s="15">
        <f>SUM(C21:C21)</f>
        <v>0</v>
      </c>
      <c r="D20" s="15">
        <f>SUM(D21:D21)</f>
        <v>0</v>
      </c>
    </row>
    <row r="21" spans="1:4">
      <c r="A21" s="10"/>
      <c r="B21" s="11" t="s">
        <v>95</v>
      </c>
      <c r="C21" s="17"/>
      <c r="D21" s="17"/>
    </row>
    <row r="22" spans="1:4">
      <c r="A22" s="6" t="s">
        <v>13</v>
      </c>
      <c r="B22" s="7" t="s">
        <v>14</v>
      </c>
      <c r="C22" s="14">
        <f>C23+C25+C28</f>
        <v>0</v>
      </c>
      <c r="D22" s="14">
        <f>D23+D25+D28</f>
        <v>0</v>
      </c>
    </row>
    <row r="23" spans="1:4">
      <c r="A23" s="8" t="s">
        <v>3</v>
      </c>
      <c r="B23" s="9" t="s">
        <v>18</v>
      </c>
      <c r="C23" s="15">
        <f>SUM(C24:C24)</f>
        <v>0</v>
      </c>
      <c r="D23" s="15">
        <f>SUM(D24:D24)</f>
        <v>0</v>
      </c>
    </row>
    <row r="24" spans="1:4" ht="30">
      <c r="A24" s="10"/>
      <c r="B24" s="447" t="s">
        <v>1515</v>
      </c>
      <c r="C24" s="17"/>
      <c r="D24" s="17"/>
    </row>
    <row r="25" spans="1:4">
      <c r="A25" s="8" t="s">
        <v>4</v>
      </c>
      <c r="B25" s="9" t="s">
        <v>40</v>
      </c>
      <c r="C25" s="15">
        <f>SUM(C26:C27)</f>
        <v>0</v>
      </c>
      <c r="D25" s="15">
        <f>SUM(D26:D27)</f>
        <v>0</v>
      </c>
    </row>
    <row r="26" spans="1:4">
      <c r="A26" s="10"/>
      <c r="B26" s="13" t="s">
        <v>62</v>
      </c>
      <c r="C26" s="17"/>
      <c r="D26" s="17"/>
    </row>
    <row r="27" spans="1:4">
      <c r="A27" s="10"/>
      <c r="B27" s="13" t="s">
        <v>96</v>
      </c>
      <c r="C27" s="17"/>
      <c r="D27" s="17"/>
    </row>
    <row r="28" spans="1:4">
      <c r="A28" s="8" t="s">
        <v>5</v>
      </c>
      <c r="B28" s="9" t="s">
        <v>43</v>
      </c>
      <c r="C28" s="15">
        <f>SUM(C29:C29)</f>
        <v>0</v>
      </c>
      <c r="D28" s="15">
        <f>SUM(D29:D29)</f>
        <v>0</v>
      </c>
    </row>
    <row r="29" spans="1:4">
      <c r="A29" s="10"/>
      <c r="B29" s="13" t="s">
        <v>97</v>
      </c>
      <c r="C29" s="17"/>
      <c r="D29" s="17"/>
    </row>
    <row r="30" spans="1:4">
      <c r="A30" s="5"/>
      <c r="B30" s="29" t="s">
        <v>100</v>
      </c>
      <c r="C30" s="19">
        <f t="shared" ref="C30:D30" si="3">C22+C7</f>
        <v>1000</v>
      </c>
      <c r="D30" s="19">
        <f t="shared" si="3"/>
        <v>5840</v>
      </c>
    </row>
    <row r="31" spans="1:4">
      <c r="A31" s="6" t="s">
        <v>44</v>
      </c>
      <c r="B31" s="7" t="s">
        <v>45</v>
      </c>
      <c r="C31" s="14">
        <f t="shared" ref="C31:D31" si="4">C32</f>
        <v>781831</v>
      </c>
      <c r="D31" s="14">
        <f t="shared" si="4"/>
        <v>856998</v>
      </c>
    </row>
    <row r="32" spans="1:4">
      <c r="A32" s="8" t="s">
        <v>3</v>
      </c>
      <c r="B32" s="9" t="s">
        <v>46</v>
      </c>
      <c r="C32" s="15">
        <f>SUM(C33:C34)</f>
        <v>781831</v>
      </c>
      <c r="D32" s="15">
        <f>SUM(D33:D34)</f>
        <v>856998</v>
      </c>
    </row>
    <row r="33" spans="1:4">
      <c r="A33" s="10"/>
      <c r="B33" s="13" t="s">
        <v>98</v>
      </c>
      <c r="C33" s="17"/>
      <c r="D33" s="586">
        <f>'3B PH fel'!R5</f>
        <v>44904</v>
      </c>
    </row>
    <row r="34" spans="1:4">
      <c r="A34" s="10"/>
      <c r="B34" s="13" t="s">
        <v>99</v>
      </c>
      <c r="C34" s="17">
        <f>C36+C42-C30-C33</f>
        <v>781831</v>
      </c>
      <c r="D34" s="586">
        <f>D36+D42-D30-D33</f>
        <v>812094</v>
      </c>
    </row>
    <row r="35" spans="1:4">
      <c r="A35" s="31"/>
      <c r="B35" s="32" t="s">
        <v>56</v>
      </c>
      <c r="C35" s="33">
        <f>C31+C22+C7</f>
        <v>782831</v>
      </c>
      <c r="D35" s="33">
        <f>D31+D22+D7</f>
        <v>862838</v>
      </c>
    </row>
    <row r="36" spans="1:4">
      <c r="A36" s="6" t="s">
        <v>1</v>
      </c>
      <c r="B36" s="7" t="s">
        <v>101</v>
      </c>
      <c r="C36" s="14">
        <f t="shared" ref="C36:D36" si="5">SUM(C37:C41)</f>
        <v>781434</v>
      </c>
      <c r="D36" s="14">
        <f t="shared" si="5"/>
        <v>861187</v>
      </c>
    </row>
    <row r="37" spans="1:4">
      <c r="A37" s="8" t="s">
        <v>3</v>
      </c>
      <c r="B37" s="9" t="s">
        <v>102</v>
      </c>
      <c r="C37" s="15">
        <f>ph!E58</f>
        <v>461787</v>
      </c>
      <c r="D37" s="15">
        <f>461787+719+39+3397+15054+3000</f>
        <v>483996</v>
      </c>
    </row>
    <row r="38" spans="1:4">
      <c r="A38" s="8" t="s">
        <v>4</v>
      </c>
      <c r="B38" s="9" t="s">
        <v>103</v>
      </c>
      <c r="C38" s="15">
        <f>ph!E67</f>
        <v>123586</v>
      </c>
      <c r="D38" s="15">
        <f>123586+195+11+1051+4065+810</f>
        <v>129718</v>
      </c>
    </row>
    <row r="39" spans="1:4">
      <c r="A39" s="8" t="s">
        <v>5</v>
      </c>
      <c r="B39" s="9" t="s">
        <v>104</v>
      </c>
      <c r="C39" s="15">
        <f>ph!E152</f>
        <v>161423</v>
      </c>
      <c r="D39" s="15">
        <f>161423+1920+45000+4100+392</f>
        <v>212835</v>
      </c>
    </row>
    <row r="40" spans="1:4">
      <c r="A40" s="8" t="s">
        <v>6</v>
      </c>
      <c r="B40" s="9" t="s">
        <v>105</v>
      </c>
      <c r="C40" s="15">
        <f>ph!E187</f>
        <v>34638</v>
      </c>
      <c r="D40" s="15">
        <v>34638</v>
      </c>
    </row>
    <row r="41" spans="1:4">
      <c r="A41" s="8" t="s">
        <v>106</v>
      </c>
      <c r="B41" s="9" t="s">
        <v>107</v>
      </c>
      <c r="C41" s="15"/>
      <c r="D41" s="15"/>
    </row>
    <row r="42" spans="1:4">
      <c r="A42" s="6" t="s">
        <v>13</v>
      </c>
      <c r="B42" s="7" t="s">
        <v>108</v>
      </c>
      <c r="C42" s="14">
        <f t="shared" ref="C42:D42" si="6">SUM(C43:C45)</f>
        <v>1397</v>
      </c>
      <c r="D42" s="14">
        <f t="shared" si="6"/>
        <v>1651</v>
      </c>
    </row>
    <row r="43" spans="1:4">
      <c r="A43" s="8" t="s">
        <v>3</v>
      </c>
      <c r="B43" s="9" t="s">
        <v>109</v>
      </c>
      <c r="C43" s="15">
        <f>ph!E170</f>
        <v>1397</v>
      </c>
      <c r="D43" s="15">
        <f>1397+254</f>
        <v>1651</v>
      </c>
    </row>
    <row r="44" spans="1:4">
      <c r="A44" s="8" t="s">
        <v>4</v>
      </c>
      <c r="B44" s="9" t="s">
        <v>110</v>
      </c>
      <c r="C44" s="15"/>
      <c r="D44" s="15"/>
    </row>
    <row r="45" spans="1:4">
      <c r="A45" s="8" t="s">
        <v>5</v>
      </c>
      <c r="B45" s="9" t="s">
        <v>111</v>
      </c>
      <c r="C45" s="15"/>
      <c r="D45" s="15"/>
    </row>
    <row r="46" spans="1:4">
      <c r="A46" s="31"/>
      <c r="B46" s="32" t="s">
        <v>112</v>
      </c>
      <c r="C46" s="33">
        <f t="shared" ref="C46:D46" si="7">C36+C42</f>
        <v>782831</v>
      </c>
      <c r="D46" s="33">
        <f t="shared" si="7"/>
        <v>862838</v>
      </c>
    </row>
  </sheetData>
  <printOptions horizontalCentered="1"/>
  <pageMargins left="0.70866141732283472" right="0.70866141732283472" top="1.2604166666666667" bottom="0.74803149606299213" header="0.31496062992125984" footer="0.31496062992125984"/>
  <pageSetup paperSize="9" scale="92" orientation="portrait" r:id="rId1"/>
  <headerFooter>
    <oddHeader>&amp;L3/A. melléklet a 20/2014. (VI.30.) önkormányzati rendelethez&amp;C&amp;"-,Félkövér"&amp;16
A Polgármesteri Hivatal 2014. évi bevételei forrásonként, kiadásai jogcímenként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T47"/>
  <sheetViews>
    <sheetView view="pageLayout" zoomScaleNormal="100" zoomScaleSheetLayoutView="100" workbookViewId="0">
      <selection activeCell="R19" sqref="R19"/>
    </sheetView>
  </sheetViews>
  <sheetFormatPr defaultRowHeight="15"/>
  <cols>
    <col min="1" max="1" width="7.7109375" style="73" bestFit="1" customWidth="1"/>
    <col min="2" max="2" width="52.140625" style="72" customWidth="1"/>
    <col min="3" max="3" width="9.5703125" style="461" customWidth="1"/>
    <col min="4" max="4" width="10.5703125" style="461" customWidth="1"/>
    <col min="5" max="5" width="9.5703125" style="461" customWidth="1"/>
    <col min="6" max="6" width="11" style="461" customWidth="1"/>
    <col min="7" max="7" width="9.5703125" style="461" customWidth="1"/>
    <col min="8" max="8" width="12" style="461" customWidth="1"/>
    <col min="9" max="9" width="10.85546875" style="26" bestFit="1" customWidth="1"/>
    <col min="10" max="10" width="10.85546875" style="26" customWidth="1"/>
    <col min="11" max="11" width="10.85546875" style="26" bestFit="1" customWidth="1"/>
    <col min="12" max="12" width="10.85546875" style="26" customWidth="1"/>
    <col min="13" max="13" width="10.140625" style="26" bestFit="1" customWidth="1"/>
    <col min="14" max="14" width="11.85546875" style="26" customWidth="1"/>
    <col min="15" max="15" width="10.28515625" style="26" customWidth="1"/>
    <col min="16" max="18" width="12.28515625" style="26" customWidth="1"/>
    <col min="19" max="19" width="14" style="26" bestFit="1" customWidth="1"/>
    <col min="20" max="20" width="14" style="26" customWidth="1"/>
  </cols>
  <sheetData>
    <row r="1" spans="1:20">
      <c r="J1" s="566" t="s">
        <v>0</v>
      </c>
      <c r="M1" s="575"/>
      <c r="N1" s="575"/>
      <c r="O1" s="575"/>
      <c r="P1" s="575"/>
      <c r="Q1" s="575"/>
      <c r="R1" s="575"/>
      <c r="S1" s="575"/>
      <c r="T1" s="566" t="s">
        <v>0</v>
      </c>
    </row>
    <row r="2" spans="1:20" ht="16.5" customHeight="1">
      <c r="A2" s="634" t="s">
        <v>152</v>
      </c>
      <c r="B2" s="644" t="s">
        <v>58</v>
      </c>
      <c r="C2" s="645" t="s">
        <v>446</v>
      </c>
      <c r="D2" s="646"/>
      <c r="E2" s="645" t="s">
        <v>405</v>
      </c>
      <c r="F2" s="646"/>
      <c r="G2" s="645" t="s">
        <v>1831</v>
      </c>
      <c r="H2" s="646"/>
      <c r="I2" s="635" t="s">
        <v>204</v>
      </c>
      <c r="J2" s="636"/>
      <c r="K2" s="639" t="s">
        <v>205</v>
      </c>
      <c r="L2" s="643"/>
      <c r="M2" s="643"/>
      <c r="N2" s="643"/>
      <c r="O2" s="643"/>
      <c r="P2" s="643"/>
      <c r="Q2" s="643"/>
      <c r="R2" s="643"/>
      <c r="S2" s="643"/>
      <c r="T2" s="640"/>
    </row>
    <row r="3" spans="1:20" s="3" customFormat="1" ht="30" customHeight="1">
      <c r="A3" s="634"/>
      <c r="B3" s="644"/>
      <c r="C3" s="647"/>
      <c r="D3" s="648"/>
      <c r="E3" s="647"/>
      <c r="F3" s="648"/>
      <c r="G3" s="647"/>
      <c r="H3" s="648"/>
      <c r="I3" s="637"/>
      <c r="J3" s="638"/>
      <c r="K3" s="639" t="s">
        <v>213</v>
      </c>
      <c r="L3" s="640"/>
      <c r="M3" s="641" t="s">
        <v>206</v>
      </c>
      <c r="N3" s="642"/>
      <c r="O3" s="641" t="s">
        <v>207</v>
      </c>
      <c r="P3" s="642"/>
      <c r="Q3" s="641" t="s">
        <v>527</v>
      </c>
      <c r="R3" s="642"/>
      <c r="S3" s="641" t="s">
        <v>208</v>
      </c>
      <c r="T3" s="642"/>
    </row>
    <row r="4" spans="1:20" s="3" customFormat="1" ht="30">
      <c r="A4" s="547"/>
      <c r="B4" s="548"/>
      <c r="C4" s="547" t="s">
        <v>1829</v>
      </c>
      <c r="D4" s="547" t="s">
        <v>1830</v>
      </c>
      <c r="E4" s="547" t="s">
        <v>1829</v>
      </c>
      <c r="F4" s="547" t="s">
        <v>1830</v>
      </c>
      <c r="G4" s="550" t="s">
        <v>1829</v>
      </c>
      <c r="H4" s="550" t="s">
        <v>1830</v>
      </c>
      <c r="I4" s="550" t="s">
        <v>1829</v>
      </c>
      <c r="J4" s="550" t="s">
        <v>1830</v>
      </c>
      <c r="K4" s="561" t="s">
        <v>1829</v>
      </c>
      <c r="L4" s="561" t="s">
        <v>1830</v>
      </c>
      <c r="M4" s="128" t="s">
        <v>1829</v>
      </c>
      <c r="N4" s="128" t="s">
        <v>1830</v>
      </c>
      <c r="O4" s="128" t="s">
        <v>1829</v>
      </c>
      <c r="P4" s="128" t="s">
        <v>1830</v>
      </c>
      <c r="Q4" s="581" t="s">
        <v>1829</v>
      </c>
      <c r="R4" s="581" t="s">
        <v>1830</v>
      </c>
      <c r="S4" s="128" t="s">
        <v>1829</v>
      </c>
      <c r="T4" s="128" t="s">
        <v>1830</v>
      </c>
    </row>
    <row r="5" spans="1:20" s="3" customFormat="1">
      <c r="A5" s="108" t="s">
        <v>4</v>
      </c>
      <c r="B5" s="112" t="s">
        <v>440</v>
      </c>
      <c r="C5" s="441">
        <f t="shared" ref="C5:G5" si="0">C6+C28+C43</f>
        <v>73</v>
      </c>
      <c r="D5" s="441">
        <f t="shared" ref="D5" si="1">D6+D28+D43</f>
        <v>75</v>
      </c>
      <c r="E5" s="441">
        <f t="shared" si="0"/>
        <v>32</v>
      </c>
      <c r="F5" s="441">
        <f t="shared" ref="F5" si="2">F6+F28+F43</f>
        <v>32</v>
      </c>
      <c r="G5" s="441">
        <f t="shared" si="0"/>
        <v>10</v>
      </c>
      <c r="H5" s="441">
        <f t="shared" ref="H5" si="3">H6+H28+H43</f>
        <v>10</v>
      </c>
      <c r="I5" s="33">
        <f>I6+I28+I43</f>
        <v>782831</v>
      </c>
      <c r="J5" s="33">
        <f>J6+J28+J43</f>
        <v>862838</v>
      </c>
      <c r="K5" s="33">
        <f t="shared" ref="K5:S5" si="4">K6+K28+K43</f>
        <v>782831</v>
      </c>
      <c r="L5" s="33">
        <f t="shared" ref="L5" si="5">L6+L28+L43</f>
        <v>862838</v>
      </c>
      <c r="M5" s="33">
        <f t="shared" si="4"/>
        <v>0</v>
      </c>
      <c r="N5" s="33">
        <f t="shared" ref="N5" si="6">N6+N28+N43</f>
        <v>4840</v>
      </c>
      <c r="O5" s="33">
        <f t="shared" si="4"/>
        <v>0</v>
      </c>
      <c r="P5" s="33">
        <f t="shared" ref="P5:R5" si="7">P6+P28+P43</f>
        <v>1000</v>
      </c>
      <c r="Q5" s="33">
        <f t="shared" si="7"/>
        <v>0</v>
      </c>
      <c r="R5" s="33">
        <f t="shared" si="7"/>
        <v>44904</v>
      </c>
      <c r="S5" s="33">
        <f t="shared" si="4"/>
        <v>782831</v>
      </c>
      <c r="T5" s="33">
        <f t="shared" ref="T5" si="8">T6+T28+T43</f>
        <v>812094</v>
      </c>
    </row>
    <row r="6" spans="1:20">
      <c r="A6" s="127" t="s">
        <v>1</v>
      </c>
      <c r="B6" s="38" t="s">
        <v>153</v>
      </c>
      <c r="C6" s="462">
        <f t="shared" ref="C6:H6" si="9">C7+C12+C16+C25</f>
        <v>67</v>
      </c>
      <c r="D6" s="462">
        <f t="shared" si="9"/>
        <v>69</v>
      </c>
      <c r="E6" s="462">
        <f t="shared" si="9"/>
        <v>32</v>
      </c>
      <c r="F6" s="462">
        <f t="shared" si="9"/>
        <v>32</v>
      </c>
      <c r="G6" s="462">
        <f t="shared" si="9"/>
        <v>10</v>
      </c>
      <c r="H6" s="462">
        <f t="shared" si="9"/>
        <v>10</v>
      </c>
      <c r="I6" s="39">
        <f>I7+I12+I16+I21+I25</f>
        <v>646909</v>
      </c>
      <c r="J6" s="39">
        <f>J7+J12+J16+J21+J25</f>
        <v>726889</v>
      </c>
      <c r="K6" s="39">
        <f t="shared" ref="K6:S6" si="10">K7+K12+K16+K21+K25</f>
        <v>646909</v>
      </c>
      <c r="L6" s="39">
        <f t="shared" ref="L6" si="11">L7+L12+L16+L21+L25</f>
        <v>726889</v>
      </c>
      <c r="M6" s="39">
        <f t="shared" si="10"/>
        <v>0</v>
      </c>
      <c r="N6" s="39">
        <f t="shared" ref="N6" si="12">N7+N12+N16+N21+N25</f>
        <v>4840</v>
      </c>
      <c r="O6" s="39">
        <f t="shared" si="10"/>
        <v>0</v>
      </c>
      <c r="P6" s="39">
        <f t="shared" ref="P6:R6" si="13">P7+P12+P16+P21+P25</f>
        <v>1000</v>
      </c>
      <c r="Q6" s="39">
        <f t="shared" si="13"/>
        <v>0</v>
      </c>
      <c r="R6" s="39">
        <f t="shared" si="13"/>
        <v>44904</v>
      </c>
      <c r="S6" s="39">
        <f t="shared" si="10"/>
        <v>646909</v>
      </c>
      <c r="T6" s="39">
        <f t="shared" ref="T6" si="14">T7+T12+T16+T21+T25</f>
        <v>676145</v>
      </c>
    </row>
    <row r="7" spans="1:20">
      <c r="A7" s="143" t="s">
        <v>3</v>
      </c>
      <c r="B7" s="144" t="s">
        <v>1485</v>
      </c>
      <c r="C7" s="463">
        <v>60</v>
      </c>
      <c r="D7" s="463">
        <f>60+2</f>
        <v>62</v>
      </c>
      <c r="E7" s="463"/>
      <c r="F7" s="463"/>
      <c r="G7" s="463">
        <v>10</v>
      </c>
      <c r="H7" s="463">
        <v>10</v>
      </c>
      <c r="I7" s="22">
        <f>I8+I9+I10+I11</f>
        <v>599740</v>
      </c>
      <c r="J7" s="22">
        <f>J8+J9+J10+J11</f>
        <v>670480</v>
      </c>
      <c r="K7" s="22">
        <f>M7+O7+S7</f>
        <v>599740</v>
      </c>
      <c r="L7" s="22">
        <f>N7+P7+T7+R7</f>
        <v>670480</v>
      </c>
      <c r="M7" s="22">
        <v>0</v>
      </c>
      <c r="N7" s="22">
        <v>0</v>
      </c>
      <c r="O7" s="22">
        <v>0</v>
      </c>
      <c r="P7" s="22">
        <v>1000</v>
      </c>
      <c r="Q7" s="22">
        <v>0</v>
      </c>
      <c r="R7" s="593">
        <f>44904</f>
        <v>44904</v>
      </c>
      <c r="S7" s="593">
        <f>I7-M7-O7</f>
        <v>599740</v>
      </c>
      <c r="T7" s="593">
        <f>J7-N7-P7-R7</f>
        <v>624576</v>
      </c>
    </row>
    <row r="8" spans="1:20">
      <c r="A8" s="74"/>
      <c r="B8" s="75" t="s">
        <v>414</v>
      </c>
      <c r="C8" s="459"/>
      <c r="D8" s="459"/>
      <c r="E8" s="459"/>
      <c r="F8" s="459"/>
      <c r="G8" s="459"/>
      <c r="H8" s="459"/>
      <c r="I8" s="17">
        <f>ph!G58</f>
        <v>350028</v>
      </c>
      <c r="J8" s="17">
        <f>350028+662+39+15054+3000</f>
        <v>368783</v>
      </c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>
      <c r="A9" s="74"/>
      <c r="B9" s="75" t="s">
        <v>1359</v>
      </c>
      <c r="C9" s="459"/>
      <c r="D9" s="459"/>
      <c r="E9" s="459"/>
      <c r="F9" s="459"/>
      <c r="G9" s="459"/>
      <c r="H9" s="459"/>
      <c r="I9" s="17">
        <f>ph!G67</f>
        <v>93359</v>
      </c>
      <c r="J9" s="17">
        <f>93359+179+11+4065+810</f>
        <v>98424</v>
      </c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>
      <c r="A10" s="74"/>
      <c r="B10" s="75" t="s">
        <v>214</v>
      </c>
      <c r="C10" s="459"/>
      <c r="D10" s="459"/>
      <c r="E10" s="459"/>
      <c r="F10" s="459"/>
      <c r="G10" s="459"/>
      <c r="H10" s="459"/>
      <c r="I10" s="17">
        <f>ph!G152</f>
        <v>154956</v>
      </c>
      <c r="J10" s="17">
        <f>154956+1920+45000</f>
        <v>201876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>
      <c r="A11" s="74"/>
      <c r="B11" s="75" t="s">
        <v>1365</v>
      </c>
      <c r="C11" s="459"/>
      <c r="D11" s="459"/>
      <c r="E11" s="459"/>
      <c r="F11" s="459"/>
      <c r="G11" s="459"/>
      <c r="H11" s="459"/>
      <c r="I11" s="17">
        <f>ph!G170</f>
        <v>1397</v>
      </c>
      <c r="J11" s="17">
        <v>1397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>
      <c r="A12" s="143" t="s">
        <v>4</v>
      </c>
      <c r="B12" s="144" t="s">
        <v>1446</v>
      </c>
      <c r="C12" s="463">
        <v>7</v>
      </c>
      <c r="D12" s="463">
        <v>7</v>
      </c>
      <c r="E12" s="463"/>
      <c r="F12" s="463"/>
      <c r="G12" s="463"/>
      <c r="H12" s="463"/>
      <c r="I12" s="22">
        <f>I13+I14+I15</f>
        <v>27272</v>
      </c>
      <c r="J12" s="22">
        <f>J13+J14+J15</f>
        <v>27318</v>
      </c>
      <c r="K12" s="22">
        <f>M12+O12+S12</f>
        <v>27272</v>
      </c>
      <c r="L12" s="22">
        <f>N12+P12+T12+R12</f>
        <v>27318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f>I12-M12-O12</f>
        <v>27272</v>
      </c>
      <c r="T12" s="22">
        <f>J12-N12-P12-R12</f>
        <v>27318</v>
      </c>
    </row>
    <row r="13" spans="1:20">
      <c r="A13" s="74"/>
      <c r="B13" s="75" t="s">
        <v>414</v>
      </c>
      <c r="C13" s="459"/>
      <c r="D13" s="459"/>
      <c r="E13" s="459"/>
      <c r="F13" s="459"/>
      <c r="G13" s="459"/>
      <c r="H13" s="459"/>
      <c r="I13" s="17">
        <f>ph!K58</f>
        <v>21502</v>
      </c>
      <c r="J13" s="17">
        <f>21502+36</f>
        <v>21538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>
      <c r="A14" s="74"/>
      <c r="B14" s="75" t="s">
        <v>1359</v>
      </c>
      <c r="C14" s="459"/>
      <c r="D14" s="459"/>
      <c r="E14" s="459"/>
      <c r="F14" s="459"/>
      <c r="G14" s="459"/>
      <c r="H14" s="459"/>
      <c r="I14" s="17">
        <f>ph!K67</f>
        <v>5770</v>
      </c>
      <c r="J14" s="17">
        <f>5770+10</f>
        <v>5780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>
      <c r="A15" s="74"/>
      <c r="B15" s="75" t="s">
        <v>214</v>
      </c>
      <c r="C15" s="459"/>
      <c r="D15" s="459"/>
      <c r="E15" s="459"/>
      <c r="F15" s="459"/>
      <c r="G15" s="459"/>
      <c r="H15" s="459"/>
      <c r="I15" s="17">
        <f>ph!K152</f>
        <v>0</v>
      </c>
      <c r="J15" s="17">
        <f>ph!L152</f>
        <v>0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>
      <c r="A16" s="143" t="s">
        <v>5</v>
      </c>
      <c r="B16" s="144" t="s">
        <v>1486</v>
      </c>
      <c r="C16" s="463"/>
      <c r="D16" s="463"/>
      <c r="E16" s="463"/>
      <c r="F16" s="463"/>
      <c r="G16" s="463"/>
      <c r="H16" s="463"/>
      <c r="I16" s="22">
        <f>I17+I18+I19</f>
        <v>2540</v>
      </c>
      <c r="J16" s="22">
        <f>J17+J18+J19+J20</f>
        <v>11734</v>
      </c>
      <c r="K16" s="22">
        <f>M16+O16+S16</f>
        <v>2540</v>
      </c>
      <c r="L16" s="22">
        <f>N16+P16+T16+R16</f>
        <v>11734</v>
      </c>
      <c r="M16" s="22">
        <v>0</v>
      </c>
      <c r="N16" s="22">
        <f>4840</f>
        <v>4840</v>
      </c>
      <c r="O16" s="22">
        <v>0</v>
      </c>
      <c r="P16" s="22">
        <v>0</v>
      </c>
      <c r="Q16" s="22">
        <v>0</v>
      </c>
      <c r="R16" s="22">
        <v>0</v>
      </c>
      <c r="S16" s="22">
        <f>I16-M16-O16</f>
        <v>2540</v>
      </c>
      <c r="T16" s="22">
        <f>J16-N16-P16-R16</f>
        <v>6894</v>
      </c>
    </row>
    <row r="17" spans="1:20">
      <c r="A17" s="74"/>
      <c r="B17" s="75" t="s">
        <v>414</v>
      </c>
      <c r="C17" s="459"/>
      <c r="D17" s="459"/>
      <c r="E17" s="459"/>
      <c r="F17" s="459"/>
      <c r="G17" s="459"/>
      <c r="H17" s="459"/>
      <c r="I17" s="17">
        <f>ph!M58</f>
        <v>2000</v>
      </c>
      <c r="J17" s="17">
        <f>2000+3397</f>
        <v>5397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0">
      <c r="A18" s="74"/>
      <c r="B18" s="75" t="s">
        <v>1359</v>
      </c>
      <c r="C18" s="459"/>
      <c r="D18" s="459"/>
      <c r="E18" s="459"/>
      <c r="F18" s="459"/>
      <c r="G18" s="459"/>
      <c r="H18" s="459"/>
      <c r="I18" s="17">
        <f>ph!M67</f>
        <v>540</v>
      </c>
      <c r="J18" s="17">
        <f>540+1051</f>
        <v>1591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0">
      <c r="A19" s="74"/>
      <c r="B19" s="75" t="s">
        <v>214</v>
      </c>
      <c r="C19" s="459"/>
      <c r="D19" s="459"/>
      <c r="E19" s="459"/>
      <c r="F19" s="459"/>
      <c r="G19" s="459"/>
      <c r="H19" s="459"/>
      <c r="I19" s="17">
        <f>ph!M152</f>
        <v>0</v>
      </c>
      <c r="J19" s="17">
        <f>4100+392</f>
        <v>4492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:20">
      <c r="A20" s="74"/>
      <c r="B20" s="75" t="s">
        <v>1365</v>
      </c>
      <c r="C20" s="459"/>
      <c r="D20" s="459"/>
      <c r="E20" s="459"/>
      <c r="F20" s="459"/>
      <c r="G20" s="459"/>
      <c r="H20" s="459"/>
      <c r="I20" s="17"/>
      <c r="J20" s="17">
        <f>254</f>
        <v>254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>
      <c r="A21" s="143" t="s">
        <v>6</v>
      </c>
      <c r="B21" s="144" t="s">
        <v>1452</v>
      </c>
      <c r="C21" s="463"/>
      <c r="D21" s="463"/>
      <c r="E21" s="463"/>
      <c r="F21" s="463"/>
      <c r="G21" s="463"/>
      <c r="H21" s="463"/>
      <c r="I21" s="22">
        <f>I22+I23+I24</f>
        <v>1511</v>
      </c>
      <c r="J21" s="22">
        <f>J22+J23+J24</f>
        <v>1511</v>
      </c>
      <c r="K21" s="22">
        <f>M21+O21+S21</f>
        <v>1511</v>
      </c>
      <c r="L21" s="22">
        <f>N21+P21+T21+R21</f>
        <v>1511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f>I21-M21-O21</f>
        <v>1511</v>
      </c>
      <c r="T21" s="22">
        <f>J21-N21-P21-R21</f>
        <v>1511</v>
      </c>
    </row>
    <row r="22" spans="1:20">
      <c r="A22" s="74"/>
      <c r="B22" s="75" t="s">
        <v>414</v>
      </c>
      <c r="C22" s="459"/>
      <c r="D22" s="459"/>
      <c r="E22" s="459"/>
      <c r="F22" s="459"/>
      <c r="G22" s="459"/>
      <c r="H22" s="459"/>
      <c r="I22" s="17">
        <f>ph!O58</f>
        <v>1000</v>
      </c>
      <c r="J22" s="17">
        <v>1000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1:20">
      <c r="A23" s="74"/>
      <c r="B23" s="75" t="s">
        <v>1359</v>
      </c>
      <c r="C23" s="459"/>
      <c r="D23" s="459"/>
      <c r="E23" s="459"/>
      <c r="F23" s="459"/>
      <c r="G23" s="459"/>
      <c r="H23" s="459"/>
      <c r="I23" s="17">
        <f>ph!O67</f>
        <v>511</v>
      </c>
      <c r="J23" s="17">
        <v>511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1:20">
      <c r="A24" s="74"/>
      <c r="B24" s="75" t="s">
        <v>214</v>
      </c>
      <c r="C24" s="459"/>
      <c r="D24" s="459"/>
      <c r="E24" s="459"/>
      <c r="F24" s="459"/>
      <c r="G24" s="459"/>
      <c r="H24" s="459"/>
      <c r="I24" s="17">
        <f>ph!O152</f>
        <v>0</v>
      </c>
      <c r="J24" s="17">
        <f>ph!P152</f>
        <v>0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1:20" s="145" customFormat="1">
      <c r="A25" s="143" t="s">
        <v>106</v>
      </c>
      <c r="B25" s="144" t="s">
        <v>1761</v>
      </c>
      <c r="C25" s="463"/>
      <c r="D25" s="463"/>
      <c r="E25" s="463">
        <v>32</v>
      </c>
      <c r="F25" s="463">
        <v>32</v>
      </c>
      <c r="G25" s="463"/>
      <c r="H25" s="463"/>
      <c r="I25" s="22">
        <f>I26+I27</f>
        <v>15846</v>
      </c>
      <c r="J25" s="22">
        <f>J26+J27</f>
        <v>15846</v>
      </c>
      <c r="K25" s="22">
        <f>M25+O25+S25</f>
        <v>15846</v>
      </c>
      <c r="L25" s="22">
        <f>N25+P25+T25+R25</f>
        <v>15846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f>I25-M25-O25</f>
        <v>15846</v>
      </c>
      <c r="T25" s="22">
        <f>J25-N25-P25-R25</f>
        <v>15846</v>
      </c>
    </row>
    <row r="26" spans="1:20">
      <c r="A26" s="74"/>
      <c r="B26" s="75" t="s">
        <v>414</v>
      </c>
      <c r="C26" s="459"/>
      <c r="D26" s="459"/>
      <c r="E26" s="459"/>
      <c r="F26" s="459"/>
      <c r="G26" s="459"/>
      <c r="H26" s="459"/>
      <c r="I26" s="17">
        <f>ph!I58</f>
        <v>12477</v>
      </c>
      <c r="J26" s="17">
        <v>12477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1:20">
      <c r="A27" s="74"/>
      <c r="B27" s="75" t="s">
        <v>1359</v>
      </c>
      <c r="C27" s="459"/>
      <c r="D27" s="459"/>
      <c r="E27" s="459"/>
      <c r="F27" s="459"/>
      <c r="G27" s="459"/>
      <c r="H27" s="459"/>
      <c r="I27" s="17">
        <f>ph!I67</f>
        <v>3369</v>
      </c>
      <c r="J27" s="17">
        <v>3369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>
      <c r="A28" s="127" t="s">
        <v>13</v>
      </c>
      <c r="B28" s="38" t="s">
        <v>155</v>
      </c>
      <c r="C28" s="462">
        <f t="shared" ref="C28:E28" si="15">C29+C33</f>
        <v>6</v>
      </c>
      <c r="D28" s="462">
        <f t="shared" ref="D28" si="16">D29+D33</f>
        <v>6</v>
      </c>
      <c r="E28" s="462">
        <f t="shared" si="15"/>
        <v>0</v>
      </c>
      <c r="F28" s="462">
        <f t="shared" ref="F28" si="17">F29+F33</f>
        <v>0</v>
      </c>
      <c r="G28" s="462"/>
      <c r="H28" s="462"/>
      <c r="I28" s="39">
        <f>I29+I33+I37+I40</f>
        <v>101284</v>
      </c>
      <c r="J28" s="39">
        <f>J29+J33+J37+J40</f>
        <v>101311</v>
      </c>
      <c r="K28" s="39">
        <f t="shared" ref="K28:S28" si="18">K29+K33+K37+K40</f>
        <v>101284</v>
      </c>
      <c r="L28" s="39">
        <f t="shared" ref="L28" si="19">L29+L33+L37+L40</f>
        <v>101311</v>
      </c>
      <c r="M28" s="39">
        <f t="shared" si="18"/>
        <v>0</v>
      </c>
      <c r="N28" s="39">
        <f t="shared" ref="N28" si="20">N29+N33+N37+N40</f>
        <v>0</v>
      </c>
      <c r="O28" s="39">
        <f t="shared" si="18"/>
        <v>0</v>
      </c>
      <c r="P28" s="39">
        <f t="shared" ref="P28:R28" si="21">P29+P33+P37+P40</f>
        <v>0</v>
      </c>
      <c r="Q28" s="39">
        <f t="shared" si="21"/>
        <v>0</v>
      </c>
      <c r="R28" s="39">
        <f t="shared" si="21"/>
        <v>0</v>
      </c>
      <c r="S28" s="39">
        <f t="shared" si="18"/>
        <v>101284</v>
      </c>
      <c r="T28" s="39">
        <f t="shared" ref="T28" si="22">T29+T33+T37+T40</f>
        <v>101311</v>
      </c>
    </row>
    <row r="29" spans="1:20" s="145" customFormat="1">
      <c r="A29" s="143" t="s">
        <v>3</v>
      </c>
      <c r="B29" s="144" t="s">
        <v>1822</v>
      </c>
      <c r="C29" s="463">
        <v>6</v>
      </c>
      <c r="D29" s="463">
        <v>6</v>
      </c>
      <c r="E29" s="463"/>
      <c r="F29" s="463"/>
      <c r="G29" s="463"/>
      <c r="H29" s="463"/>
      <c r="I29" s="22">
        <f>I30+I31+I32</f>
        <v>30085</v>
      </c>
      <c r="J29" s="22">
        <f>J30+J31+J32</f>
        <v>30112</v>
      </c>
      <c r="K29" s="22">
        <f>M29+O29+S29</f>
        <v>30085</v>
      </c>
      <c r="L29" s="22">
        <f>N29+P29+T29+R29</f>
        <v>30112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f>I29-M29-O29</f>
        <v>30085</v>
      </c>
      <c r="T29" s="22">
        <f>J29-N29-P29-R29</f>
        <v>30112</v>
      </c>
    </row>
    <row r="30" spans="1:20">
      <c r="A30" s="74"/>
      <c r="B30" s="75" t="s">
        <v>414</v>
      </c>
      <c r="C30" s="459"/>
      <c r="D30" s="459"/>
      <c r="E30" s="459"/>
      <c r="F30" s="459"/>
      <c r="G30" s="459"/>
      <c r="H30" s="459"/>
      <c r="I30" s="17">
        <f>ph!Q58+ph!S58</f>
        <v>18522</v>
      </c>
      <c r="J30" s="17">
        <f>18522+21</f>
        <v>18543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>
      <c r="A31" s="74"/>
      <c r="B31" s="75" t="s">
        <v>1359</v>
      </c>
      <c r="C31" s="459"/>
      <c r="D31" s="459"/>
      <c r="E31" s="459"/>
      <c r="F31" s="459"/>
      <c r="G31" s="459"/>
      <c r="H31" s="459"/>
      <c r="I31" s="17">
        <f>ph!Q67+ph!S67</f>
        <v>5096</v>
      </c>
      <c r="J31" s="17">
        <f>5096+6</f>
        <v>5102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1:20">
      <c r="A32" s="74"/>
      <c r="B32" s="75" t="s">
        <v>214</v>
      </c>
      <c r="C32" s="459"/>
      <c r="D32" s="459"/>
      <c r="E32" s="459"/>
      <c r="F32" s="459"/>
      <c r="G32" s="459"/>
      <c r="H32" s="459"/>
      <c r="I32" s="17">
        <f>ph!Q152+ph!S152</f>
        <v>6467</v>
      </c>
      <c r="J32" s="17">
        <v>6467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1:20">
      <c r="A33" s="143" t="s">
        <v>4</v>
      </c>
      <c r="B33" s="144" t="s">
        <v>1487</v>
      </c>
      <c r="C33" s="463">
        <v>0</v>
      </c>
      <c r="D33" s="463">
        <v>0</v>
      </c>
      <c r="E33" s="463"/>
      <c r="F33" s="463"/>
      <c r="G33" s="463"/>
      <c r="H33" s="463"/>
      <c r="I33" s="22">
        <f>I34+I35+I36</f>
        <v>0</v>
      </c>
      <c r="J33" s="22">
        <f>J34+J35+J36</f>
        <v>0</v>
      </c>
      <c r="K33" s="22">
        <f>M33+O33+S33</f>
        <v>0</v>
      </c>
      <c r="L33" s="22">
        <f>N33+P33+T33+R33</f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f>I33-M33-O33</f>
        <v>0</v>
      </c>
      <c r="T33" s="22">
        <f>J33-N33-P33-R33</f>
        <v>0</v>
      </c>
    </row>
    <row r="34" spans="1:20">
      <c r="A34" s="74"/>
      <c r="B34" s="75" t="s">
        <v>414</v>
      </c>
      <c r="C34" s="459"/>
      <c r="D34" s="459"/>
      <c r="E34" s="459"/>
      <c r="F34" s="459"/>
      <c r="G34" s="459"/>
      <c r="H34" s="459"/>
      <c r="I34" s="17">
        <v>0</v>
      </c>
      <c r="J34" s="17">
        <v>0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1:20">
      <c r="A35" s="74"/>
      <c r="B35" s="75" t="s">
        <v>1359</v>
      </c>
      <c r="C35" s="459"/>
      <c r="D35" s="459"/>
      <c r="E35" s="459"/>
      <c r="F35" s="459"/>
      <c r="G35" s="459"/>
      <c r="H35" s="459"/>
      <c r="I35" s="17">
        <v>0</v>
      </c>
      <c r="J35" s="17">
        <v>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1:20">
      <c r="A36" s="74"/>
      <c r="B36" s="75" t="s">
        <v>214</v>
      </c>
      <c r="C36" s="459"/>
      <c r="D36" s="459"/>
      <c r="E36" s="459"/>
      <c r="F36" s="459"/>
      <c r="G36" s="459"/>
      <c r="H36" s="459"/>
      <c r="I36" s="17">
        <v>0</v>
      </c>
      <c r="J36" s="17">
        <v>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1:20" s="145" customFormat="1">
      <c r="A37" s="143" t="s">
        <v>4</v>
      </c>
      <c r="B37" s="144" t="s">
        <v>1769</v>
      </c>
      <c r="C37" s="463"/>
      <c r="D37" s="463"/>
      <c r="E37" s="463"/>
      <c r="F37" s="463"/>
      <c r="G37" s="463"/>
      <c r="H37" s="463"/>
      <c r="I37" s="22">
        <f>I38+I39</f>
        <v>66599</v>
      </c>
      <c r="J37" s="22">
        <f>J38+J39</f>
        <v>66599</v>
      </c>
      <c r="K37" s="22">
        <f>M37+O37+S37</f>
        <v>66599</v>
      </c>
      <c r="L37" s="22">
        <f>N37+P37+T37+R37</f>
        <v>66599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f>I37-M37-O37</f>
        <v>66599</v>
      </c>
      <c r="T37" s="22">
        <f>J37-N37-P37-R37</f>
        <v>66599</v>
      </c>
    </row>
    <row r="38" spans="1:20">
      <c r="A38" s="74"/>
      <c r="B38" s="75" t="s">
        <v>414</v>
      </c>
      <c r="C38" s="459"/>
      <c r="D38" s="459"/>
      <c r="E38" s="459"/>
      <c r="F38" s="459"/>
      <c r="G38" s="459"/>
      <c r="H38" s="459"/>
      <c r="I38" s="17">
        <f>ph!U58</f>
        <v>52440</v>
      </c>
      <c r="J38" s="17">
        <v>52440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</row>
    <row r="39" spans="1:20">
      <c r="A39" s="74"/>
      <c r="B39" s="75" t="s">
        <v>1359</v>
      </c>
      <c r="C39" s="459"/>
      <c r="D39" s="459"/>
      <c r="E39" s="459"/>
      <c r="F39" s="459"/>
      <c r="G39" s="459"/>
      <c r="H39" s="459"/>
      <c r="I39" s="17">
        <f>ph!U67</f>
        <v>14159</v>
      </c>
      <c r="J39" s="17">
        <v>14159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0" s="145" customFormat="1">
      <c r="A40" s="143" t="s">
        <v>5</v>
      </c>
      <c r="B40" s="144" t="s">
        <v>1794</v>
      </c>
      <c r="C40" s="463"/>
      <c r="D40" s="463"/>
      <c r="E40" s="463"/>
      <c r="F40" s="463"/>
      <c r="G40" s="463"/>
      <c r="H40" s="463"/>
      <c r="I40" s="22">
        <f>I41+I42</f>
        <v>4600</v>
      </c>
      <c r="J40" s="22">
        <f>J41+J42</f>
        <v>4600</v>
      </c>
      <c r="K40" s="22">
        <f>M40+O40+S40</f>
        <v>4600</v>
      </c>
      <c r="L40" s="22">
        <f>N40+P40+T40+R40</f>
        <v>4600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f>I40-M40-O40</f>
        <v>4600</v>
      </c>
      <c r="T40" s="22">
        <f>J40-N40-P40-R40</f>
        <v>4600</v>
      </c>
    </row>
    <row r="41" spans="1:20">
      <c r="A41" s="74"/>
      <c r="B41" s="75" t="s">
        <v>414</v>
      </c>
      <c r="C41" s="459"/>
      <c r="D41" s="459"/>
      <c r="E41" s="459"/>
      <c r="F41" s="459"/>
      <c r="G41" s="459"/>
      <c r="H41" s="459"/>
      <c r="I41" s="17">
        <f>ph!W58</f>
        <v>3818</v>
      </c>
      <c r="J41" s="17">
        <v>3818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1:20">
      <c r="A42" s="74"/>
      <c r="B42" s="75" t="s">
        <v>1359</v>
      </c>
      <c r="C42" s="459"/>
      <c r="D42" s="459"/>
      <c r="E42" s="459"/>
      <c r="F42" s="459"/>
      <c r="G42" s="459"/>
      <c r="H42" s="459"/>
      <c r="I42" s="17">
        <f>ph!W67</f>
        <v>782</v>
      </c>
      <c r="J42" s="17">
        <v>782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</row>
    <row r="43" spans="1:20">
      <c r="A43" s="127" t="s">
        <v>44</v>
      </c>
      <c r="B43" s="38" t="s">
        <v>1358</v>
      </c>
      <c r="C43" s="462">
        <f t="shared" ref="C43:E43" si="23">C44+C46</f>
        <v>0</v>
      </c>
      <c r="D43" s="462">
        <f t="shared" ref="D43" si="24">D44+D46</f>
        <v>0</v>
      </c>
      <c r="E43" s="462">
        <f t="shared" si="23"/>
        <v>0</v>
      </c>
      <c r="F43" s="462">
        <f t="shared" ref="F43" si="25">F44+F46</f>
        <v>0</v>
      </c>
      <c r="G43" s="462"/>
      <c r="H43" s="462"/>
      <c r="I43" s="39">
        <f>I44+I46</f>
        <v>34638</v>
      </c>
      <c r="J43" s="39">
        <f>J44+J46</f>
        <v>34638</v>
      </c>
      <c r="K43" s="39">
        <f t="shared" ref="K43:S43" si="26">K44+K46</f>
        <v>34638</v>
      </c>
      <c r="L43" s="39">
        <f t="shared" ref="L43" si="27">L44+L46</f>
        <v>34638</v>
      </c>
      <c r="M43" s="39">
        <f t="shared" si="26"/>
        <v>0</v>
      </c>
      <c r="N43" s="39">
        <f t="shared" ref="N43" si="28">N44+N46</f>
        <v>0</v>
      </c>
      <c r="O43" s="39">
        <f t="shared" si="26"/>
        <v>0</v>
      </c>
      <c r="P43" s="39">
        <f t="shared" ref="P43:R43" si="29">P44+P46</f>
        <v>0</v>
      </c>
      <c r="Q43" s="39">
        <f t="shared" si="29"/>
        <v>0</v>
      </c>
      <c r="R43" s="39">
        <f t="shared" si="29"/>
        <v>0</v>
      </c>
      <c r="S43" s="39">
        <f t="shared" si="26"/>
        <v>34638</v>
      </c>
      <c r="T43" s="39">
        <f t="shared" ref="T43" si="30">T44+T46</f>
        <v>34638</v>
      </c>
    </row>
    <row r="44" spans="1:20" s="145" customFormat="1">
      <c r="A44" s="143" t="s">
        <v>3</v>
      </c>
      <c r="B44" s="144" t="s">
        <v>1488</v>
      </c>
      <c r="C44" s="463"/>
      <c r="D44" s="463"/>
      <c r="E44" s="463"/>
      <c r="F44" s="463"/>
      <c r="G44" s="463"/>
      <c r="H44" s="463"/>
      <c r="I44" s="22">
        <f>I45</f>
        <v>34638</v>
      </c>
      <c r="J44" s="22">
        <f>J45</f>
        <v>34638</v>
      </c>
      <c r="K44" s="22">
        <f>M44+O44+S44</f>
        <v>34638</v>
      </c>
      <c r="L44" s="22">
        <f>N44+P44+T44+R44</f>
        <v>34638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f>I44-M44-O44</f>
        <v>34638</v>
      </c>
      <c r="T44" s="22">
        <f>J44-N44-P44-R44</f>
        <v>34638</v>
      </c>
    </row>
    <row r="45" spans="1:20">
      <c r="A45" s="74"/>
      <c r="B45" s="75" t="s">
        <v>105</v>
      </c>
      <c r="C45" s="459"/>
      <c r="D45" s="459"/>
      <c r="E45" s="459"/>
      <c r="F45" s="459"/>
      <c r="G45" s="459"/>
      <c r="H45" s="459"/>
      <c r="I45" s="17">
        <f>ph!Y187</f>
        <v>34638</v>
      </c>
      <c r="J45" s="17">
        <v>34638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1:20" s="145" customFormat="1">
      <c r="A46" s="143" t="s">
        <v>4</v>
      </c>
      <c r="B46" s="144" t="s">
        <v>1489</v>
      </c>
      <c r="C46" s="463"/>
      <c r="D46" s="463"/>
      <c r="E46" s="463"/>
      <c r="F46" s="463"/>
      <c r="G46" s="463"/>
      <c r="H46" s="463"/>
      <c r="I46" s="22">
        <f>I47</f>
        <v>0</v>
      </c>
      <c r="J46" s="22">
        <f>J47</f>
        <v>0</v>
      </c>
      <c r="K46" s="22">
        <f>M46+O46+S46</f>
        <v>0</v>
      </c>
      <c r="L46" s="22">
        <f>N46+P46+T46+R46</f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f>I46-M46-O46</f>
        <v>0</v>
      </c>
      <c r="T46" s="22">
        <f>J46-N46-P46</f>
        <v>0</v>
      </c>
    </row>
    <row r="47" spans="1:20">
      <c r="A47" s="74"/>
      <c r="B47" s="75" t="s">
        <v>214</v>
      </c>
      <c r="C47" s="459"/>
      <c r="D47" s="459"/>
      <c r="E47" s="459"/>
      <c r="F47" s="459"/>
      <c r="G47" s="459"/>
      <c r="H47" s="459"/>
      <c r="I47" s="17">
        <v>0</v>
      </c>
      <c r="J47" s="17">
        <v>0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</row>
  </sheetData>
  <autoFilter ref="A1:T47">
    <filterColumn colId="16"/>
    <filterColumn colId="17"/>
  </autoFilter>
  <mergeCells count="12">
    <mergeCell ref="A2:A3"/>
    <mergeCell ref="B2:B3"/>
    <mergeCell ref="C2:D3"/>
    <mergeCell ref="E2:F3"/>
    <mergeCell ref="G2:H3"/>
    <mergeCell ref="I2:J3"/>
    <mergeCell ref="K3:L3"/>
    <mergeCell ref="M3:N3"/>
    <mergeCell ref="O3:P3"/>
    <mergeCell ref="S3:T3"/>
    <mergeCell ref="K2:T2"/>
    <mergeCell ref="Q3:R3"/>
  </mergeCells>
  <printOptions horizontalCentered="1"/>
  <pageMargins left="0.70866141732283472" right="0.70866141732283472" top="0.9055118110236221" bottom="0.74803149606299213" header="0.31496062992125984" footer="0.31496062992125984"/>
  <pageSetup paperSize="8" scale="64" pageOrder="overThenDown" orientation="portrait" r:id="rId1"/>
  <headerFooter>
    <oddHeader>&amp;L3/B. melléklet a 20/2014. (VI.30.) önkormányzati rendelethez&amp;C&amp;"-,Félkövér"&amp;16
A Polgármesteri Hivatal 2014. évi bevételei és kiadásai feladatonként</oddHeader>
    <oddFooter>&amp;C&amp;P</oddFooter>
  </headerFooter>
  <colBreaks count="1" manualBreakCount="1">
    <brk id="10" max="4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D46"/>
  <sheetViews>
    <sheetView view="pageLayout" topLeftCell="C1" zoomScaleNormal="100" zoomScaleSheetLayoutView="100" workbookViewId="0">
      <selection activeCell="E3" sqref="E3"/>
    </sheetView>
  </sheetViews>
  <sheetFormatPr defaultRowHeight="15"/>
  <cols>
    <col min="1" max="1" width="5.7109375" style="3" customWidth="1"/>
    <col min="2" max="2" width="62.140625" bestFit="1" customWidth="1"/>
    <col min="3" max="4" width="12.5703125" style="26" customWidth="1"/>
    <col min="5" max="5" width="60.7109375" customWidth="1"/>
  </cols>
  <sheetData>
    <row r="1" spans="1:4">
      <c r="C1" s="28"/>
      <c r="D1" s="28" t="s">
        <v>0</v>
      </c>
    </row>
    <row r="2" spans="1:4" ht="15" customHeight="1">
      <c r="A2" s="570" t="s">
        <v>1797</v>
      </c>
      <c r="B2" s="570" t="s">
        <v>1800</v>
      </c>
      <c r="C2" s="571"/>
      <c r="D2" s="571"/>
    </row>
    <row r="3" spans="1:4" ht="30">
      <c r="A3" s="4" t="s">
        <v>60</v>
      </c>
      <c r="B3" s="5" t="s">
        <v>58</v>
      </c>
      <c r="C3" s="550" t="s">
        <v>437</v>
      </c>
      <c r="D3" s="550" t="s">
        <v>1827</v>
      </c>
    </row>
    <row r="4" spans="1:4">
      <c r="A4" s="572"/>
      <c r="B4" s="573" t="s">
        <v>113</v>
      </c>
      <c r="C4" s="574">
        <f>'4B VG fel'!C5</f>
        <v>158</v>
      </c>
      <c r="D4" s="574">
        <f>'4B VG fel'!D5</f>
        <v>158</v>
      </c>
    </row>
    <row r="5" spans="1:4">
      <c r="A5" s="572"/>
      <c r="B5" s="573" t="s">
        <v>114</v>
      </c>
      <c r="C5" s="576">
        <f>'4B VG fel'!E5</f>
        <v>0</v>
      </c>
      <c r="D5" s="576">
        <f>'4B VG fel'!F5</f>
        <v>0</v>
      </c>
    </row>
    <row r="6" spans="1:4">
      <c r="A6" s="6" t="s">
        <v>1</v>
      </c>
      <c r="B6" s="7" t="s">
        <v>2</v>
      </c>
      <c r="C6" s="14">
        <f>C7+C9+C20</f>
        <v>176688</v>
      </c>
      <c r="D6" s="14">
        <f>D7+D9+D20</f>
        <v>177915</v>
      </c>
    </row>
    <row r="7" spans="1:4">
      <c r="A7" s="8" t="s">
        <v>3</v>
      </c>
      <c r="B7" s="9" t="s">
        <v>7</v>
      </c>
      <c r="C7" s="15">
        <f t="shared" ref="C7:D7" si="0">C8</f>
        <v>0</v>
      </c>
      <c r="D7" s="15">
        <f t="shared" si="0"/>
        <v>180</v>
      </c>
    </row>
    <row r="8" spans="1:4" ht="30">
      <c r="A8" s="10"/>
      <c r="B8" s="11" t="s">
        <v>1513</v>
      </c>
      <c r="C8" s="16"/>
      <c r="D8" s="16">
        <f>180</f>
        <v>180</v>
      </c>
    </row>
    <row r="9" spans="1:4">
      <c r="A9" s="8" t="s">
        <v>3</v>
      </c>
      <c r="B9" s="9" t="s">
        <v>32</v>
      </c>
      <c r="C9" s="15">
        <f>C10+C11+C12+C15+C16+C17+C18+C19</f>
        <v>176688</v>
      </c>
      <c r="D9" s="15">
        <f>D10+D11+D12+D15+D16+D17+D18+D19</f>
        <v>176688</v>
      </c>
    </row>
    <row r="10" spans="1:4">
      <c r="A10" s="10"/>
      <c r="B10" s="11" t="s">
        <v>1516</v>
      </c>
      <c r="C10" s="17">
        <v>50</v>
      </c>
      <c r="D10" s="17">
        <v>50</v>
      </c>
    </row>
    <row r="11" spans="1:4">
      <c r="A11" s="10"/>
      <c r="B11" s="11" t="s">
        <v>115</v>
      </c>
      <c r="C11" s="35">
        <v>65300</v>
      </c>
      <c r="D11" s="35">
        <v>65300</v>
      </c>
    </row>
    <row r="12" spans="1:4">
      <c r="A12" s="10"/>
      <c r="B12" s="11" t="s">
        <v>431</v>
      </c>
      <c r="C12" s="17">
        <f>SUM(C13:C14)</f>
        <v>30772</v>
      </c>
      <c r="D12" s="17">
        <f>SUM(D13:D14)</f>
        <v>30772</v>
      </c>
    </row>
    <row r="13" spans="1:4">
      <c r="A13" s="10"/>
      <c r="B13" s="12" t="s">
        <v>67</v>
      </c>
      <c r="C13" s="17">
        <v>7500</v>
      </c>
      <c r="D13" s="17">
        <v>7500</v>
      </c>
    </row>
    <row r="14" spans="1:4">
      <c r="A14" s="10"/>
      <c r="B14" s="12" t="s">
        <v>70</v>
      </c>
      <c r="C14" s="17">
        <v>23272</v>
      </c>
      <c r="D14" s="17">
        <v>23272</v>
      </c>
    </row>
    <row r="15" spans="1:4">
      <c r="A15" s="10"/>
      <c r="B15" s="11" t="s">
        <v>432</v>
      </c>
      <c r="C15" s="17">
        <v>49240</v>
      </c>
      <c r="D15" s="17">
        <v>49240</v>
      </c>
    </row>
    <row r="16" spans="1:4">
      <c r="A16" s="10"/>
      <c r="B16" s="11" t="s">
        <v>433</v>
      </c>
      <c r="C16" s="17">
        <v>30926</v>
      </c>
      <c r="D16" s="17">
        <v>30926</v>
      </c>
    </row>
    <row r="17" spans="1:4">
      <c r="A17" s="10"/>
      <c r="B17" s="11" t="s">
        <v>434</v>
      </c>
      <c r="C17" s="17"/>
      <c r="D17" s="17"/>
    </row>
    <row r="18" spans="1:4">
      <c r="A18" s="10"/>
      <c r="B18" s="11" t="s">
        <v>435</v>
      </c>
      <c r="C18" s="17">
        <v>400</v>
      </c>
      <c r="D18" s="17">
        <v>400</v>
      </c>
    </row>
    <row r="19" spans="1:4">
      <c r="A19" s="10"/>
      <c r="B19" s="11" t="s">
        <v>436</v>
      </c>
      <c r="C19" s="17">
        <v>0</v>
      </c>
      <c r="D19" s="17">
        <v>0</v>
      </c>
    </row>
    <row r="20" spans="1:4">
      <c r="A20" s="8" t="s">
        <v>5</v>
      </c>
      <c r="B20" s="9" t="s">
        <v>41</v>
      </c>
      <c r="C20" s="15">
        <f>SUM(C21:C21)</f>
        <v>0</v>
      </c>
      <c r="D20" s="15">
        <f>SUM(D21:D21)</f>
        <v>1047</v>
      </c>
    </row>
    <row r="21" spans="1:4">
      <c r="A21" s="10"/>
      <c r="B21" s="11" t="s">
        <v>95</v>
      </c>
      <c r="C21" s="17"/>
      <c r="D21" s="17">
        <f>1047</f>
        <v>1047</v>
      </c>
    </row>
    <row r="22" spans="1:4">
      <c r="A22" s="6" t="s">
        <v>13</v>
      </c>
      <c r="B22" s="7" t="s">
        <v>14</v>
      </c>
      <c r="C22" s="14">
        <f>C23+C25+C28</f>
        <v>0</v>
      </c>
      <c r="D22" s="14">
        <f>D23+D25+D28</f>
        <v>0</v>
      </c>
    </row>
    <row r="23" spans="1:4">
      <c r="A23" s="8" t="s">
        <v>3</v>
      </c>
      <c r="B23" s="9" t="s">
        <v>18</v>
      </c>
      <c r="C23" s="15">
        <f>SUM(C24:C24)</f>
        <v>0</v>
      </c>
      <c r="D23" s="15">
        <f>SUM(D24:D24)</f>
        <v>0</v>
      </c>
    </row>
    <row r="24" spans="1:4" ht="30">
      <c r="A24" s="10"/>
      <c r="B24" s="447" t="s">
        <v>1515</v>
      </c>
      <c r="C24" s="17"/>
      <c r="D24" s="17"/>
    </row>
    <row r="25" spans="1:4">
      <c r="A25" s="8" t="s">
        <v>4</v>
      </c>
      <c r="B25" s="9" t="s">
        <v>40</v>
      </c>
      <c r="C25" s="15">
        <f>SUM(C26:C27)</f>
        <v>0</v>
      </c>
      <c r="D25" s="15">
        <f>SUM(D26:D27)</f>
        <v>0</v>
      </c>
    </row>
    <row r="26" spans="1:4">
      <c r="A26" s="10"/>
      <c r="B26" s="13" t="s">
        <v>62</v>
      </c>
      <c r="C26" s="17"/>
      <c r="D26" s="17"/>
    </row>
    <row r="27" spans="1:4">
      <c r="A27" s="10"/>
      <c r="B27" s="13" t="s">
        <v>96</v>
      </c>
      <c r="C27" s="17"/>
      <c r="D27" s="17"/>
    </row>
    <row r="28" spans="1:4">
      <c r="A28" s="8" t="s">
        <v>5</v>
      </c>
      <c r="B28" s="9" t="s">
        <v>43</v>
      </c>
      <c r="C28" s="15">
        <f>SUM(C29:C29)</f>
        <v>0</v>
      </c>
      <c r="D28" s="15">
        <f>SUM(D29:D29)</f>
        <v>0</v>
      </c>
    </row>
    <row r="29" spans="1:4">
      <c r="A29" s="10"/>
      <c r="B29" s="13" t="s">
        <v>97</v>
      </c>
      <c r="C29" s="17"/>
      <c r="D29" s="17"/>
    </row>
    <row r="30" spans="1:4">
      <c r="A30" s="5"/>
      <c r="B30" s="29" t="s">
        <v>100</v>
      </c>
      <c r="C30" s="19">
        <f>C22+C6</f>
        <v>176688</v>
      </c>
      <c r="D30" s="19">
        <f>D22+D6</f>
        <v>177915</v>
      </c>
    </row>
    <row r="31" spans="1:4">
      <c r="A31" s="6" t="s">
        <v>44</v>
      </c>
      <c r="B31" s="7" t="s">
        <v>45</v>
      </c>
      <c r="C31" s="14">
        <f t="shared" ref="C31:D31" si="1">C32</f>
        <v>1095011</v>
      </c>
      <c r="D31" s="14">
        <f t="shared" si="1"/>
        <v>1132218</v>
      </c>
    </row>
    <row r="32" spans="1:4">
      <c r="A32" s="8" t="s">
        <v>3</v>
      </c>
      <c r="B32" s="9" t="s">
        <v>46</v>
      </c>
      <c r="C32" s="15">
        <f>SUM(C33:C34)</f>
        <v>1095011</v>
      </c>
      <c r="D32" s="15">
        <f>SUM(D33:D34)</f>
        <v>1132218</v>
      </c>
    </row>
    <row r="33" spans="1:4">
      <c r="A33" s="10"/>
      <c r="B33" s="13" t="s">
        <v>98</v>
      </c>
      <c r="C33" s="17"/>
      <c r="D33" s="586">
        <f>'4B VG fel'!P5</f>
        <v>20765</v>
      </c>
    </row>
    <row r="34" spans="1:4">
      <c r="A34" s="10"/>
      <c r="B34" s="13" t="s">
        <v>99</v>
      </c>
      <c r="C34" s="17">
        <f>1105011-10000</f>
        <v>1095011</v>
      </c>
      <c r="D34" s="586">
        <f>1105011-10000+1814+3510+5000+1270+350+100+497+3901</f>
        <v>1111453</v>
      </c>
    </row>
    <row r="35" spans="1:4">
      <c r="A35" s="31"/>
      <c r="B35" s="32" t="s">
        <v>56</v>
      </c>
      <c r="C35" s="33">
        <f>C31+C22+C6</f>
        <v>1271699</v>
      </c>
      <c r="D35" s="33">
        <f>D31+D22+D6</f>
        <v>1310133</v>
      </c>
    </row>
    <row r="36" spans="1:4">
      <c r="A36" s="6" t="s">
        <v>1</v>
      </c>
      <c r="B36" s="7" t="s">
        <v>101</v>
      </c>
      <c r="C36" s="14">
        <f t="shared" ref="C36:D36" si="2">SUM(C37:C41)</f>
        <v>1229415</v>
      </c>
      <c r="D36" s="14">
        <f t="shared" si="2"/>
        <v>1258506</v>
      </c>
    </row>
    <row r="37" spans="1:4">
      <c r="A37" s="8" t="s">
        <v>3</v>
      </c>
      <c r="B37" s="9" t="s">
        <v>102</v>
      </c>
      <c r="C37" s="15">
        <f>'4B VG fel'!G8+'4B VG fel'!G13+'4B VG fel'!G27+'4B VG fel'!G32+'4B VG fel'!G37+'4B VG fel'!G43+'4B VG fel'!G51+'4B VG fel'!G54+'4B VG fel'!G59+'4B VG fel'!G64</f>
        <v>360942</v>
      </c>
      <c r="D37" s="15">
        <f>'4B VG fel'!H8+'4B VG fel'!H13+'4B VG fel'!H27+'4B VG fel'!H32+'4B VG fel'!H37+'4B VG fel'!H43+'4B VG fel'!H51+'4B VG fel'!H54+'4B VG fel'!H59+'4B VG fel'!H69</f>
        <v>365817</v>
      </c>
    </row>
    <row r="38" spans="1:4">
      <c r="A38" s="8" t="s">
        <v>4</v>
      </c>
      <c r="B38" s="9" t="s">
        <v>103</v>
      </c>
      <c r="C38" s="15">
        <f>'4B VG fel'!G9+'4B VG fel'!G14+'4B VG fel'!G28+'4B VG fel'!G33+'4B VG fel'!G38+'4B VG fel'!G44+'4B VG fel'!G52+'4B VG fel'!G55+'4B VG fel'!G60+'4B VG fel'!G65</f>
        <v>110488</v>
      </c>
      <c r="D38" s="15">
        <f>'4B VG fel'!H9+'4B VG fel'!H14+'4B VG fel'!H28+'4B VG fel'!H33+'4B VG fel'!H38+'4B VG fel'!H44+'4B VG fel'!H52+'4B VG fel'!H55+'4B VG fel'!H60+'4B VG fel'!H70</f>
        <v>111805</v>
      </c>
    </row>
    <row r="39" spans="1:4">
      <c r="A39" s="8" t="s">
        <v>5</v>
      </c>
      <c r="B39" s="9" t="s">
        <v>104</v>
      </c>
      <c r="C39" s="15">
        <f>'4B VG fel'!G10+'4B VG fel'!G15+'4B VG fel'!G18+'4B VG fel'!G21+'4B VG fel'!G24+'4B VG fel'!G29+'4B VG fel'!G34+'4B VG fel'!G40+'4B VG fel'!G45+'4B VG fel'!G48+'4B VG fel'!G56+'4B VG fel'!G61+'4B VG fel'!G66+'4B VG fel'!G71+'4B VG fel'!G75+'4B VG fel'!G78</f>
        <v>757985</v>
      </c>
      <c r="D39" s="15">
        <f>'4B VG fel'!H10+'4B VG fel'!H15+'4B VG fel'!H18+'4B VG fel'!H21+'4B VG fel'!H24+'4B VG fel'!H29+'4B VG fel'!H34+'4B VG fel'!H40+'4B VG fel'!H45+'4B VG fel'!H48+'4B VG fel'!H56+'4B VG fel'!H61+'4B VG fel'!H66+'4B VG fel'!H71+'4B VG fel'!H75+'4B VG fel'!H78</f>
        <v>780353</v>
      </c>
    </row>
    <row r="40" spans="1:4">
      <c r="A40" s="8" t="s">
        <v>6</v>
      </c>
      <c r="B40" s="9" t="s">
        <v>105</v>
      </c>
      <c r="C40" s="15"/>
      <c r="D40" s="15">
        <f>'4B VG fel'!H73</f>
        <v>531</v>
      </c>
    </row>
    <row r="41" spans="1:4">
      <c r="A41" s="8" t="s">
        <v>106</v>
      </c>
      <c r="B41" s="9" t="s">
        <v>107</v>
      </c>
      <c r="C41" s="15"/>
      <c r="D41" s="15"/>
    </row>
    <row r="42" spans="1:4">
      <c r="A42" s="6" t="s">
        <v>13</v>
      </c>
      <c r="B42" s="7" t="s">
        <v>108</v>
      </c>
      <c r="C42" s="14">
        <f t="shared" ref="C42:D42" si="3">SUM(C43:C45)</f>
        <v>42284</v>
      </c>
      <c r="D42" s="14">
        <f t="shared" si="3"/>
        <v>51627</v>
      </c>
    </row>
    <row r="43" spans="1:4">
      <c r="A43" s="8" t="s">
        <v>3</v>
      </c>
      <c r="B43" s="9" t="s">
        <v>109</v>
      </c>
      <c r="C43" s="15">
        <f>'4B VG fel'!G11+'4B VG fel'!G16+'4B VG fel'!G19+'4B VG fel'!G22+'4B VG fel'!G25+'4B VG fel'!G30+'4B VG fel'!G35+'4B VG fel'!G41+'4B VG fel'!G46+'4B VG fel'!G49+'4B VG fel'!G57+'4B VG fel'!G62+'4B VG fel'!G72+'4B VG fel'!G76+'4B VG fel'!G79</f>
        <v>42284</v>
      </c>
      <c r="D43" s="15">
        <f>'4B VG fel'!H11+'4B VG fel'!H16+'4B VG fel'!H19+'4B VG fel'!H22+'4B VG fel'!H25+'4B VG fel'!H30+'4B VG fel'!H35+'4B VG fel'!H41+'4B VG fel'!H46+'4B VG fel'!H49+'4B VG fel'!H57+'4B VG fel'!H62+'4B VG fel'!H72+'4B VG fel'!H76+'4B VG fel'!H79+'4B VG fel'!H81</f>
        <v>51627</v>
      </c>
    </row>
    <row r="44" spans="1:4">
      <c r="A44" s="8" t="s">
        <v>4</v>
      </c>
      <c r="B44" s="9" t="s">
        <v>110</v>
      </c>
      <c r="C44" s="15"/>
      <c r="D44" s="15">
        <f>'4B VG fel'!H82</f>
        <v>0</v>
      </c>
    </row>
    <row r="45" spans="1:4">
      <c r="A45" s="8" t="s">
        <v>5</v>
      </c>
      <c r="B45" s="9" t="s">
        <v>111</v>
      </c>
      <c r="C45" s="15"/>
      <c r="D45" s="15"/>
    </row>
    <row r="46" spans="1:4">
      <c r="A46" s="31"/>
      <c r="B46" s="32" t="s">
        <v>112</v>
      </c>
      <c r="C46" s="33">
        <f t="shared" ref="C46:D46" si="4">C36+C42</f>
        <v>1271699</v>
      </c>
      <c r="D46" s="33">
        <f t="shared" si="4"/>
        <v>1310133</v>
      </c>
    </row>
  </sheetData>
  <printOptions horizontalCentered="1"/>
  <pageMargins left="0.70866141732283472" right="0.70866141732283472" top="1.2395833333333333" bottom="0.74803149606299213" header="0.31496062992125984" footer="0.31496062992125984"/>
  <pageSetup paperSize="9" scale="90" orientation="portrait" r:id="rId1"/>
  <headerFooter>
    <oddHeader>&amp;L4/A. melléklet a 20/2014. (VI.30.) önkormányzati rendelethez&amp;C&amp;"-,Félkövér"&amp;16
A Városgondnokság 2014. évi bevételei forrásonként, kiadásai jogcímenként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S82"/>
  <sheetViews>
    <sheetView view="pageLayout" topLeftCell="I1" zoomScaleNormal="100" zoomScaleSheetLayoutView="100" workbookViewId="0">
      <selection activeCell="M17" sqref="M17"/>
    </sheetView>
  </sheetViews>
  <sheetFormatPr defaultRowHeight="15"/>
  <cols>
    <col min="1" max="1" width="7.7109375" style="73" bestFit="1" customWidth="1"/>
    <col min="2" max="2" width="48.7109375" style="72" customWidth="1"/>
    <col min="3" max="3" width="9.5703125" style="154" customWidth="1"/>
    <col min="4" max="4" width="11.140625" style="154" customWidth="1"/>
    <col min="5" max="5" width="9.5703125" style="154" customWidth="1"/>
    <col min="6" max="6" width="10.85546875" style="154" customWidth="1"/>
    <col min="7" max="7" width="10.85546875" style="26" bestFit="1" customWidth="1"/>
    <col min="8" max="8" width="10.85546875" style="26" customWidth="1"/>
    <col min="9" max="9" width="10.85546875" style="26" bestFit="1" customWidth="1"/>
    <col min="10" max="10" width="10.85546875" style="26" customWidth="1"/>
    <col min="11" max="11" width="10.140625" style="26" bestFit="1" customWidth="1"/>
    <col min="12" max="12" width="11.5703125" style="26" customWidth="1"/>
    <col min="13" max="13" width="10.28515625" style="26" customWidth="1"/>
    <col min="14" max="16" width="12.28515625" style="26" customWidth="1"/>
    <col min="17" max="17" width="14" style="26" bestFit="1" customWidth="1"/>
    <col min="18" max="19" width="14" style="26" customWidth="1"/>
    <col min="267" max="267" width="7.7109375" bestFit="1" customWidth="1"/>
    <col min="268" max="268" width="48.7109375" customWidth="1"/>
    <col min="269" max="270" width="9.5703125" customWidth="1"/>
    <col min="271" max="272" width="10.85546875" bestFit="1" customWidth="1"/>
    <col min="273" max="273" width="10.140625" bestFit="1" customWidth="1"/>
    <col min="274" max="274" width="10.28515625" customWidth="1"/>
    <col min="275" max="275" width="14" bestFit="1" customWidth="1"/>
    <col min="523" max="523" width="7.7109375" bestFit="1" customWidth="1"/>
    <col min="524" max="524" width="48.7109375" customWidth="1"/>
    <col min="525" max="526" width="9.5703125" customWidth="1"/>
    <col min="527" max="528" width="10.85546875" bestFit="1" customWidth="1"/>
    <col min="529" max="529" width="10.140625" bestFit="1" customWidth="1"/>
    <col min="530" max="530" width="10.28515625" customWidth="1"/>
    <col min="531" max="531" width="14" bestFit="1" customWidth="1"/>
    <col min="779" max="779" width="7.7109375" bestFit="1" customWidth="1"/>
    <col min="780" max="780" width="48.7109375" customWidth="1"/>
    <col min="781" max="782" width="9.5703125" customWidth="1"/>
    <col min="783" max="784" width="10.85546875" bestFit="1" customWidth="1"/>
    <col min="785" max="785" width="10.140625" bestFit="1" customWidth="1"/>
    <col min="786" max="786" width="10.28515625" customWidth="1"/>
    <col min="787" max="787" width="14" bestFit="1" customWidth="1"/>
    <col min="1035" max="1035" width="7.7109375" bestFit="1" customWidth="1"/>
    <col min="1036" max="1036" width="48.7109375" customWidth="1"/>
    <col min="1037" max="1038" width="9.5703125" customWidth="1"/>
    <col min="1039" max="1040" width="10.85546875" bestFit="1" customWidth="1"/>
    <col min="1041" max="1041" width="10.140625" bestFit="1" customWidth="1"/>
    <col min="1042" max="1042" width="10.28515625" customWidth="1"/>
    <col min="1043" max="1043" width="14" bestFit="1" customWidth="1"/>
    <col min="1291" max="1291" width="7.7109375" bestFit="1" customWidth="1"/>
    <col min="1292" max="1292" width="48.7109375" customWidth="1"/>
    <col min="1293" max="1294" width="9.5703125" customWidth="1"/>
    <col min="1295" max="1296" width="10.85546875" bestFit="1" customWidth="1"/>
    <col min="1297" max="1297" width="10.140625" bestFit="1" customWidth="1"/>
    <col min="1298" max="1298" width="10.28515625" customWidth="1"/>
    <col min="1299" max="1299" width="14" bestFit="1" customWidth="1"/>
    <col min="1547" max="1547" width="7.7109375" bestFit="1" customWidth="1"/>
    <col min="1548" max="1548" width="48.7109375" customWidth="1"/>
    <col min="1549" max="1550" width="9.5703125" customWidth="1"/>
    <col min="1551" max="1552" width="10.85546875" bestFit="1" customWidth="1"/>
    <col min="1553" max="1553" width="10.140625" bestFit="1" customWidth="1"/>
    <col min="1554" max="1554" width="10.28515625" customWidth="1"/>
    <col min="1555" max="1555" width="14" bestFit="1" customWidth="1"/>
    <col min="1803" max="1803" width="7.7109375" bestFit="1" customWidth="1"/>
    <col min="1804" max="1804" width="48.7109375" customWidth="1"/>
    <col min="1805" max="1806" width="9.5703125" customWidth="1"/>
    <col min="1807" max="1808" width="10.85546875" bestFit="1" customWidth="1"/>
    <col min="1809" max="1809" width="10.140625" bestFit="1" customWidth="1"/>
    <col min="1810" max="1810" width="10.28515625" customWidth="1"/>
    <col min="1811" max="1811" width="14" bestFit="1" customWidth="1"/>
    <col min="2059" max="2059" width="7.7109375" bestFit="1" customWidth="1"/>
    <col min="2060" max="2060" width="48.7109375" customWidth="1"/>
    <col min="2061" max="2062" width="9.5703125" customWidth="1"/>
    <col min="2063" max="2064" width="10.85546875" bestFit="1" customWidth="1"/>
    <col min="2065" max="2065" width="10.140625" bestFit="1" customWidth="1"/>
    <col min="2066" max="2066" width="10.28515625" customWidth="1"/>
    <col min="2067" max="2067" width="14" bestFit="1" customWidth="1"/>
    <col min="2315" max="2315" width="7.7109375" bestFit="1" customWidth="1"/>
    <col min="2316" max="2316" width="48.7109375" customWidth="1"/>
    <col min="2317" max="2318" width="9.5703125" customWidth="1"/>
    <col min="2319" max="2320" width="10.85546875" bestFit="1" customWidth="1"/>
    <col min="2321" max="2321" width="10.140625" bestFit="1" customWidth="1"/>
    <col min="2322" max="2322" width="10.28515625" customWidth="1"/>
    <col min="2323" max="2323" width="14" bestFit="1" customWidth="1"/>
    <col min="2571" max="2571" width="7.7109375" bestFit="1" customWidth="1"/>
    <col min="2572" max="2572" width="48.7109375" customWidth="1"/>
    <col min="2573" max="2574" width="9.5703125" customWidth="1"/>
    <col min="2575" max="2576" width="10.85546875" bestFit="1" customWidth="1"/>
    <col min="2577" max="2577" width="10.140625" bestFit="1" customWidth="1"/>
    <col min="2578" max="2578" width="10.28515625" customWidth="1"/>
    <col min="2579" max="2579" width="14" bestFit="1" customWidth="1"/>
    <col min="2827" max="2827" width="7.7109375" bestFit="1" customWidth="1"/>
    <col min="2828" max="2828" width="48.7109375" customWidth="1"/>
    <col min="2829" max="2830" width="9.5703125" customWidth="1"/>
    <col min="2831" max="2832" width="10.85546875" bestFit="1" customWidth="1"/>
    <col min="2833" max="2833" width="10.140625" bestFit="1" customWidth="1"/>
    <col min="2834" max="2834" width="10.28515625" customWidth="1"/>
    <col min="2835" max="2835" width="14" bestFit="1" customWidth="1"/>
    <col min="3083" max="3083" width="7.7109375" bestFit="1" customWidth="1"/>
    <col min="3084" max="3084" width="48.7109375" customWidth="1"/>
    <col min="3085" max="3086" width="9.5703125" customWidth="1"/>
    <col min="3087" max="3088" width="10.85546875" bestFit="1" customWidth="1"/>
    <col min="3089" max="3089" width="10.140625" bestFit="1" customWidth="1"/>
    <col min="3090" max="3090" width="10.28515625" customWidth="1"/>
    <col min="3091" max="3091" width="14" bestFit="1" customWidth="1"/>
    <col min="3339" max="3339" width="7.7109375" bestFit="1" customWidth="1"/>
    <col min="3340" max="3340" width="48.7109375" customWidth="1"/>
    <col min="3341" max="3342" width="9.5703125" customWidth="1"/>
    <col min="3343" max="3344" width="10.85546875" bestFit="1" customWidth="1"/>
    <col min="3345" max="3345" width="10.140625" bestFit="1" customWidth="1"/>
    <col min="3346" max="3346" width="10.28515625" customWidth="1"/>
    <col min="3347" max="3347" width="14" bestFit="1" customWidth="1"/>
    <col min="3595" max="3595" width="7.7109375" bestFit="1" customWidth="1"/>
    <col min="3596" max="3596" width="48.7109375" customWidth="1"/>
    <col min="3597" max="3598" width="9.5703125" customWidth="1"/>
    <col min="3599" max="3600" width="10.85546875" bestFit="1" customWidth="1"/>
    <col min="3601" max="3601" width="10.140625" bestFit="1" customWidth="1"/>
    <col min="3602" max="3602" width="10.28515625" customWidth="1"/>
    <col min="3603" max="3603" width="14" bestFit="1" customWidth="1"/>
    <col min="3851" max="3851" width="7.7109375" bestFit="1" customWidth="1"/>
    <col min="3852" max="3852" width="48.7109375" customWidth="1"/>
    <col min="3853" max="3854" width="9.5703125" customWidth="1"/>
    <col min="3855" max="3856" width="10.85546875" bestFit="1" customWidth="1"/>
    <col min="3857" max="3857" width="10.140625" bestFit="1" customWidth="1"/>
    <col min="3858" max="3858" width="10.28515625" customWidth="1"/>
    <col min="3859" max="3859" width="14" bestFit="1" customWidth="1"/>
    <col min="4107" max="4107" width="7.7109375" bestFit="1" customWidth="1"/>
    <col min="4108" max="4108" width="48.7109375" customWidth="1"/>
    <col min="4109" max="4110" width="9.5703125" customWidth="1"/>
    <col min="4111" max="4112" width="10.85546875" bestFit="1" customWidth="1"/>
    <col min="4113" max="4113" width="10.140625" bestFit="1" customWidth="1"/>
    <col min="4114" max="4114" width="10.28515625" customWidth="1"/>
    <col min="4115" max="4115" width="14" bestFit="1" customWidth="1"/>
    <col min="4363" max="4363" width="7.7109375" bestFit="1" customWidth="1"/>
    <col min="4364" max="4364" width="48.7109375" customWidth="1"/>
    <col min="4365" max="4366" width="9.5703125" customWidth="1"/>
    <col min="4367" max="4368" width="10.85546875" bestFit="1" customWidth="1"/>
    <col min="4369" max="4369" width="10.140625" bestFit="1" customWidth="1"/>
    <col min="4370" max="4370" width="10.28515625" customWidth="1"/>
    <col min="4371" max="4371" width="14" bestFit="1" customWidth="1"/>
    <col min="4619" max="4619" width="7.7109375" bestFit="1" customWidth="1"/>
    <col min="4620" max="4620" width="48.7109375" customWidth="1"/>
    <col min="4621" max="4622" width="9.5703125" customWidth="1"/>
    <col min="4623" max="4624" width="10.85546875" bestFit="1" customWidth="1"/>
    <col min="4625" max="4625" width="10.140625" bestFit="1" customWidth="1"/>
    <col min="4626" max="4626" width="10.28515625" customWidth="1"/>
    <col min="4627" max="4627" width="14" bestFit="1" customWidth="1"/>
    <col min="4875" max="4875" width="7.7109375" bestFit="1" customWidth="1"/>
    <col min="4876" max="4876" width="48.7109375" customWidth="1"/>
    <col min="4877" max="4878" width="9.5703125" customWidth="1"/>
    <col min="4879" max="4880" width="10.85546875" bestFit="1" customWidth="1"/>
    <col min="4881" max="4881" width="10.140625" bestFit="1" customWidth="1"/>
    <col min="4882" max="4882" width="10.28515625" customWidth="1"/>
    <col min="4883" max="4883" width="14" bestFit="1" customWidth="1"/>
    <col min="5131" max="5131" width="7.7109375" bestFit="1" customWidth="1"/>
    <col min="5132" max="5132" width="48.7109375" customWidth="1"/>
    <col min="5133" max="5134" width="9.5703125" customWidth="1"/>
    <col min="5135" max="5136" width="10.85546875" bestFit="1" customWidth="1"/>
    <col min="5137" max="5137" width="10.140625" bestFit="1" customWidth="1"/>
    <col min="5138" max="5138" width="10.28515625" customWidth="1"/>
    <col min="5139" max="5139" width="14" bestFit="1" customWidth="1"/>
    <col min="5387" max="5387" width="7.7109375" bestFit="1" customWidth="1"/>
    <col min="5388" max="5388" width="48.7109375" customWidth="1"/>
    <col min="5389" max="5390" width="9.5703125" customWidth="1"/>
    <col min="5391" max="5392" width="10.85546875" bestFit="1" customWidth="1"/>
    <col min="5393" max="5393" width="10.140625" bestFit="1" customWidth="1"/>
    <col min="5394" max="5394" width="10.28515625" customWidth="1"/>
    <col min="5395" max="5395" width="14" bestFit="1" customWidth="1"/>
    <col min="5643" max="5643" width="7.7109375" bestFit="1" customWidth="1"/>
    <col min="5644" max="5644" width="48.7109375" customWidth="1"/>
    <col min="5645" max="5646" width="9.5703125" customWidth="1"/>
    <col min="5647" max="5648" width="10.85546875" bestFit="1" customWidth="1"/>
    <col min="5649" max="5649" width="10.140625" bestFit="1" customWidth="1"/>
    <col min="5650" max="5650" width="10.28515625" customWidth="1"/>
    <col min="5651" max="5651" width="14" bestFit="1" customWidth="1"/>
    <col min="5899" max="5899" width="7.7109375" bestFit="1" customWidth="1"/>
    <col min="5900" max="5900" width="48.7109375" customWidth="1"/>
    <col min="5901" max="5902" width="9.5703125" customWidth="1"/>
    <col min="5903" max="5904" width="10.85546875" bestFit="1" customWidth="1"/>
    <col min="5905" max="5905" width="10.140625" bestFit="1" customWidth="1"/>
    <col min="5906" max="5906" width="10.28515625" customWidth="1"/>
    <col min="5907" max="5907" width="14" bestFit="1" customWidth="1"/>
    <col min="6155" max="6155" width="7.7109375" bestFit="1" customWidth="1"/>
    <col min="6156" max="6156" width="48.7109375" customWidth="1"/>
    <col min="6157" max="6158" width="9.5703125" customWidth="1"/>
    <col min="6159" max="6160" width="10.85546875" bestFit="1" customWidth="1"/>
    <col min="6161" max="6161" width="10.140625" bestFit="1" customWidth="1"/>
    <col min="6162" max="6162" width="10.28515625" customWidth="1"/>
    <col min="6163" max="6163" width="14" bestFit="1" customWidth="1"/>
    <col min="6411" max="6411" width="7.7109375" bestFit="1" customWidth="1"/>
    <col min="6412" max="6412" width="48.7109375" customWidth="1"/>
    <col min="6413" max="6414" width="9.5703125" customWidth="1"/>
    <col min="6415" max="6416" width="10.85546875" bestFit="1" customWidth="1"/>
    <col min="6417" max="6417" width="10.140625" bestFit="1" customWidth="1"/>
    <col min="6418" max="6418" width="10.28515625" customWidth="1"/>
    <col min="6419" max="6419" width="14" bestFit="1" customWidth="1"/>
    <col min="6667" max="6667" width="7.7109375" bestFit="1" customWidth="1"/>
    <col min="6668" max="6668" width="48.7109375" customWidth="1"/>
    <col min="6669" max="6670" width="9.5703125" customWidth="1"/>
    <col min="6671" max="6672" width="10.85546875" bestFit="1" customWidth="1"/>
    <col min="6673" max="6673" width="10.140625" bestFit="1" customWidth="1"/>
    <col min="6674" max="6674" width="10.28515625" customWidth="1"/>
    <col min="6675" max="6675" width="14" bestFit="1" customWidth="1"/>
    <col min="6923" max="6923" width="7.7109375" bestFit="1" customWidth="1"/>
    <col min="6924" max="6924" width="48.7109375" customWidth="1"/>
    <col min="6925" max="6926" width="9.5703125" customWidth="1"/>
    <col min="6927" max="6928" width="10.85546875" bestFit="1" customWidth="1"/>
    <col min="6929" max="6929" width="10.140625" bestFit="1" customWidth="1"/>
    <col min="6930" max="6930" width="10.28515625" customWidth="1"/>
    <col min="6931" max="6931" width="14" bestFit="1" customWidth="1"/>
    <col min="7179" max="7179" width="7.7109375" bestFit="1" customWidth="1"/>
    <col min="7180" max="7180" width="48.7109375" customWidth="1"/>
    <col min="7181" max="7182" width="9.5703125" customWidth="1"/>
    <col min="7183" max="7184" width="10.85546875" bestFit="1" customWidth="1"/>
    <col min="7185" max="7185" width="10.140625" bestFit="1" customWidth="1"/>
    <col min="7186" max="7186" width="10.28515625" customWidth="1"/>
    <col min="7187" max="7187" width="14" bestFit="1" customWidth="1"/>
    <col min="7435" max="7435" width="7.7109375" bestFit="1" customWidth="1"/>
    <col min="7436" max="7436" width="48.7109375" customWidth="1"/>
    <col min="7437" max="7438" width="9.5703125" customWidth="1"/>
    <col min="7439" max="7440" width="10.85546875" bestFit="1" customWidth="1"/>
    <col min="7441" max="7441" width="10.140625" bestFit="1" customWidth="1"/>
    <col min="7442" max="7442" width="10.28515625" customWidth="1"/>
    <col min="7443" max="7443" width="14" bestFit="1" customWidth="1"/>
    <col min="7691" max="7691" width="7.7109375" bestFit="1" customWidth="1"/>
    <col min="7692" max="7692" width="48.7109375" customWidth="1"/>
    <col min="7693" max="7694" width="9.5703125" customWidth="1"/>
    <col min="7695" max="7696" width="10.85546875" bestFit="1" customWidth="1"/>
    <col min="7697" max="7697" width="10.140625" bestFit="1" customWidth="1"/>
    <col min="7698" max="7698" width="10.28515625" customWidth="1"/>
    <col min="7699" max="7699" width="14" bestFit="1" customWidth="1"/>
    <col min="7947" max="7947" width="7.7109375" bestFit="1" customWidth="1"/>
    <col min="7948" max="7948" width="48.7109375" customWidth="1"/>
    <col min="7949" max="7950" width="9.5703125" customWidth="1"/>
    <col min="7951" max="7952" width="10.85546875" bestFit="1" customWidth="1"/>
    <col min="7953" max="7953" width="10.140625" bestFit="1" customWidth="1"/>
    <col min="7954" max="7954" width="10.28515625" customWidth="1"/>
    <col min="7955" max="7955" width="14" bestFit="1" customWidth="1"/>
    <col min="8203" max="8203" width="7.7109375" bestFit="1" customWidth="1"/>
    <col min="8204" max="8204" width="48.7109375" customWidth="1"/>
    <col min="8205" max="8206" width="9.5703125" customWidth="1"/>
    <col min="8207" max="8208" width="10.85546875" bestFit="1" customWidth="1"/>
    <col min="8209" max="8209" width="10.140625" bestFit="1" customWidth="1"/>
    <col min="8210" max="8210" width="10.28515625" customWidth="1"/>
    <col min="8211" max="8211" width="14" bestFit="1" customWidth="1"/>
    <col min="8459" max="8459" width="7.7109375" bestFit="1" customWidth="1"/>
    <col min="8460" max="8460" width="48.7109375" customWidth="1"/>
    <col min="8461" max="8462" width="9.5703125" customWidth="1"/>
    <col min="8463" max="8464" width="10.85546875" bestFit="1" customWidth="1"/>
    <col min="8465" max="8465" width="10.140625" bestFit="1" customWidth="1"/>
    <col min="8466" max="8466" width="10.28515625" customWidth="1"/>
    <col min="8467" max="8467" width="14" bestFit="1" customWidth="1"/>
    <col min="8715" max="8715" width="7.7109375" bestFit="1" customWidth="1"/>
    <col min="8716" max="8716" width="48.7109375" customWidth="1"/>
    <col min="8717" max="8718" width="9.5703125" customWidth="1"/>
    <col min="8719" max="8720" width="10.85546875" bestFit="1" customWidth="1"/>
    <col min="8721" max="8721" width="10.140625" bestFit="1" customWidth="1"/>
    <col min="8722" max="8722" width="10.28515625" customWidth="1"/>
    <col min="8723" max="8723" width="14" bestFit="1" customWidth="1"/>
    <col min="8971" max="8971" width="7.7109375" bestFit="1" customWidth="1"/>
    <col min="8972" max="8972" width="48.7109375" customWidth="1"/>
    <col min="8973" max="8974" width="9.5703125" customWidth="1"/>
    <col min="8975" max="8976" width="10.85546875" bestFit="1" customWidth="1"/>
    <col min="8977" max="8977" width="10.140625" bestFit="1" customWidth="1"/>
    <col min="8978" max="8978" width="10.28515625" customWidth="1"/>
    <col min="8979" max="8979" width="14" bestFit="1" customWidth="1"/>
    <col min="9227" max="9227" width="7.7109375" bestFit="1" customWidth="1"/>
    <col min="9228" max="9228" width="48.7109375" customWidth="1"/>
    <col min="9229" max="9230" width="9.5703125" customWidth="1"/>
    <col min="9231" max="9232" width="10.85546875" bestFit="1" customWidth="1"/>
    <col min="9233" max="9233" width="10.140625" bestFit="1" customWidth="1"/>
    <col min="9234" max="9234" width="10.28515625" customWidth="1"/>
    <col min="9235" max="9235" width="14" bestFit="1" customWidth="1"/>
    <col min="9483" max="9483" width="7.7109375" bestFit="1" customWidth="1"/>
    <col min="9484" max="9484" width="48.7109375" customWidth="1"/>
    <col min="9485" max="9486" width="9.5703125" customWidth="1"/>
    <col min="9487" max="9488" width="10.85546875" bestFit="1" customWidth="1"/>
    <col min="9489" max="9489" width="10.140625" bestFit="1" customWidth="1"/>
    <col min="9490" max="9490" width="10.28515625" customWidth="1"/>
    <col min="9491" max="9491" width="14" bestFit="1" customWidth="1"/>
    <col min="9739" max="9739" width="7.7109375" bestFit="1" customWidth="1"/>
    <col min="9740" max="9740" width="48.7109375" customWidth="1"/>
    <col min="9741" max="9742" width="9.5703125" customWidth="1"/>
    <col min="9743" max="9744" width="10.85546875" bestFit="1" customWidth="1"/>
    <col min="9745" max="9745" width="10.140625" bestFit="1" customWidth="1"/>
    <col min="9746" max="9746" width="10.28515625" customWidth="1"/>
    <col min="9747" max="9747" width="14" bestFit="1" customWidth="1"/>
    <col min="9995" max="9995" width="7.7109375" bestFit="1" customWidth="1"/>
    <col min="9996" max="9996" width="48.7109375" customWidth="1"/>
    <col min="9997" max="9998" width="9.5703125" customWidth="1"/>
    <col min="9999" max="10000" width="10.85546875" bestFit="1" customWidth="1"/>
    <col min="10001" max="10001" width="10.140625" bestFit="1" customWidth="1"/>
    <col min="10002" max="10002" width="10.28515625" customWidth="1"/>
    <col min="10003" max="10003" width="14" bestFit="1" customWidth="1"/>
    <col min="10251" max="10251" width="7.7109375" bestFit="1" customWidth="1"/>
    <col min="10252" max="10252" width="48.7109375" customWidth="1"/>
    <col min="10253" max="10254" width="9.5703125" customWidth="1"/>
    <col min="10255" max="10256" width="10.85546875" bestFit="1" customWidth="1"/>
    <col min="10257" max="10257" width="10.140625" bestFit="1" customWidth="1"/>
    <col min="10258" max="10258" width="10.28515625" customWidth="1"/>
    <col min="10259" max="10259" width="14" bestFit="1" customWidth="1"/>
    <col min="10507" max="10507" width="7.7109375" bestFit="1" customWidth="1"/>
    <col min="10508" max="10508" width="48.7109375" customWidth="1"/>
    <col min="10509" max="10510" width="9.5703125" customWidth="1"/>
    <col min="10511" max="10512" width="10.85546875" bestFit="1" customWidth="1"/>
    <col min="10513" max="10513" width="10.140625" bestFit="1" customWidth="1"/>
    <col min="10514" max="10514" width="10.28515625" customWidth="1"/>
    <col min="10515" max="10515" width="14" bestFit="1" customWidth="1"/>
    <col min="10763" max="10763" width="7.7109375" bestFit="1" customWidth="1"/>
    <col min="10764" max="10764" width="48.7109375" customWidth="1"/>
    <col min="10765" max="10766" width="9.5703125" customWidth="1"/>
    <col min="10767" max="10768" width="10.85546875" bestFit="1" customWidth="1"/>
    <col min="10769" max="10769" width="10.140625" bestFit="1" customWidth="1"/>
    <col min="10770" max="10770" width="10.28515625" customWidth="1"/>
    <col min="10771" max="10771" width="14" bestFit="1" customWidth="1"/>
    <col min="11019" max="11019" width="7.7109375" bestFit="1" customWidth="1"/>
    <col min="11020" max="11020" width="48.7109375" customWidth="1"/>
    <col min="11021" max="11022" width="9.5703125" customWidth="1"/>
    <col min="11023" max="11024" width="10.85546875" bestFit="1" customWidth="1"/>
    <col min="11025" max="11025" width="10.140625" bestFit="1" customWidth="1"/>
    <col min="11026" max="11026" width="10.28515625" customWidth="1"/>
    <col min="11027" max="11027" width="14" bestFit="1" customWidth="1"/>
    <col min="11275" max="11275" width="7.7109375" bestFit="1" customWidth="1"/>
    <col min="11276" max="11276" width="48.7109375" customWidth="1"/>
    <col min="11277" max="11278" width="9.5703125" customWidth="1"/>
    <col min="11279" max="11280" width="10.85546875" bestFit="1" customWidth="1"/>
    <col min="11281" max="11281" width="10.140625" bestFit="1" customWidth="1"/>
    <col min="11282" max="11282" width="10.28515625" customWidth="1"/>
    <col min="11283" max="11283" width="14" bestFit="1" customWidth="1"/>
    <col min="11531" max="11531" width="7.7109375" bestFit="1" customWidth="1"/>
    <col min="11532" max="11532" width="48.7109375" customWidth="1"/>
    <col min="11533" max="11534" width="9.5703125" customWidth="1"/>
    <col min="11535" max="11536" width="10.85546875" bestFit="1" customWidth="1"/>
    <col min="11537" max="11537" width="10.140625" bestFit="1" customWidth="1"/>
    <col min="11538" max="11538" width="10.28515625" customWidth="1"/>
    <col min="11539" max="11539" width="14" bestFit="1" customWidth="1"/>
    <col min="11787" max="11787" width="7.7109375" bestFit="1" customWidth="1"/>
    <col min="11788" max="11788" width="48.7109375" customWidth="1"/>
    <col min="11789" max="11790" width="9.5703125" customWidth="1"/>
    <col min="11791" max="11792" width="10.85546875" bestFit="1" customWidth="1"/>
    <col min="11793" max="11793" width="10.140625" bestFit="1" customWidth="1"/>
    <col min="11794" max="11794" width="10.28515625" customWidth="1"/>
    <col min="11795" max="11795" width="14" bestFit="1" customWidth="1"/>
    <col min="12043" max="12043" width="7.7109375" bestFit="1" customWidth="1"/>
    <col min="12044" max="12044" width="48.7109375" customWidth="1"/>
    <col min="12045" max="12046" width="9.5703125" customWidth="1"/>
    <col min="12047" max="12048" width="10.85546875" bestFit="1" customWidth="1"/>
    <col min="12049" max="12049" width="10.140625" bestFit="1" customWidth="1"/>
    <col min="12050" max="12050" width="10.28515625" customWidth="1"/>
    <col min="12051" max="12051" width="14" bestFit="1" customWidth="1"/>
    <col min="12299" max="12299" width="7.7109375" bestFit="1" customWidth="1"/>
    <col min="12300" max="12300" width="48.7109375" customWidth="1"/>
    <col min="12301" max="12302" width="9.5703125" customWidth="1"/>
    <col min="12303" max="12304" width="10.85546875" bestFit="1" customWidth="1"/>
    <col min="12305" max="12305" width="10.140625" bestFit="1" customWidth="1"/>
    <col min="12306" max="12306" width="10.28515625" customWidth="1"/>
    <col min="12307" max="12307" width="14" bestFit="1" customWidth="1"/>
    <col min="12555" max="12555" width="7.7109375" bestFit="1" customWidth="1"/>
    <col min="12556" max="12556" width="48.7109375" customWidth="1"/>
    <col min="12557" max="12558" width="9.5703125" customWidth="1"/>
    <col min="12559" max="12560" width="10.85546875" bestFit="1" customWidth="1"/>
    <col min="12561" max="12561" width="10.140625" bestFit="1" customWidth="1"/>
    <col min="12562" max="12562" width="10.28515625" customWidth="1"/>
    <col min="12563" max="12563" width="14" bestFit="1" customWidth="1"/>
    <col min="12811" max="12811" width="7.7109375" bestFit="1" customWidth="1"/>
    <col min="12812" max="12812" width="48.7109375" customWidth="1"/>
    <col min="12813" max="12814" width="9.5703125" customWidth="1"/>
    <col min="12815" max="12816" width="10.85546875" bestFit="1" customWidth="1"/>
    <col min="12817" max="12817" width="10.140625" bestFit="1" customWidth="1"/>
    <col min="12818" max="12818" width="10.28515625" customWidth="1"/>
    <col min="12819" max="12819" width="14" bestFit="1" customWidth="1"/>
    <col min="13067" max="13067" width="7.7109375" bestFit="1" customWidth="1"/>
    <col min="13068" max="13068" width="48.7109375" customWidth="1"/>
    <col min="13069" max="13070" width="9.5703125" customWidth="1"/>
    <col min="13071" max="13072" width="10.85546875" bestFit="1" customWidth="1"/>
    <col min="13073" max="13073" width="10.140625" bestFit="1" customWidth="1"/>
    <col min="13074" max="13074" width="10.28515625" customWidth="1"/>
    <col min="13075" max="13075" width="14" bestFit="1" customWidth="1"/>
    <col min="13323" max="13323" width="7.7109375" bestFit="1" customWidth="1"/>
    <col min="13324" max="13324" width="48.7109375" customWidth="1"/>
    <col min="13325" max="13326" width="9.5703125" customWidth="1"/>
    <col min="13327" max="13328" width="10.85546875" bestFit="1" customWidth="1"/>
    <col min="13329" max="13329" width="10.140625" bestFit="1" customWidth="1"/>
    <col min="13330" max="13330" width="10.28515625" customWidth="1"/>
    <col min="13331" max="13331" width="14" bestFit="1" customWidth="1"/>
    <col min="13579" max="13579" width="7.7109375" bestFit="1" customWidth="1"/>
    <col min="13580" max="13580" width="48.7109375" customWidth="1"/>
    <col min="13581" max="13582" width="9.5703125" customWidth="1"/>
    <col min="13583" max="13584" width="10.85546875" bestFit="1" customWidth="1"/>
    <col min="13585" max="13585" width="10.140625" bestFit="1" customWidth="1"/>
    <col min="13586" max="13586" width="10.28515625" customWidth="1"/>
    <col min="13587" max="13587" width="14" bestFit="1" customWidth="1"/>
    <col min="13835" max="13835" width="7.7109375" bestFit="1" customWidth="1"/>
    <col min="13836" max="13836" width="48.7109375" customWidth="1"/>
    <col min="13837" max="13838" width="9.5703125" customWidth="1"/>
    <col min="13839" max="13840" width="10.85546875" bestFit="1" customWidth="1"/>
    <col min="13841" max="13841" width="10.140625" bestFit="1" customWidth="1"/>
    <col min="13842" max="13842" width="10.28515625" customWidth="1"/>
    <col min="13843" max="13843" width="14" bestFit="1" customWidth="1"/>
    <col min="14091" max="14091" width="7.7109375" bestFit="1" customWidth="1"/>
    <col min="14092" max="14092" width="48.7109375" customWidth="1"/>
    <col min="14093" max="14094" width="9.5703125" customWidth="1"/>
    <col min="14095" max="14096" width="10.85546875" bestFit="1" customWidth="1"/>
    <col min="14097" max="14097" width="10.140625" bestFit="1" customWidth="1"/>
    <col min="14098" max="14098" width="10.28515625" customWidth="1"/>
    <col min="14099" max="14099" width="14" bestFit="1" customWidth="1"/>
    <col min="14347" max="14347" width="7.7109375" bestFit="1" customWidth="1"/>
    <col min="14348" max="14348" width="48.7109375" customWidth="1"/>
    <col min="14349" max="14350" width="9.5703125" customWidth="1"/>
    <col min="14351" max="14352" width="10.85546875" bestFit="1" customWidth="1"/>
    <col min="14353" max="14353" width="10.140625" bestFit="1" customWidth="1"/>
    <col min="14354" max="14354" width="10.28515625" customWidth="1"/>
    <col min="14355" max="14355" width="14" bestFit="1" customWidth="1"/>
    <col min="14603" max="14603" width="7.7109375" bestFit="1" customWidth="1"/>
    <col min="14604" max="14604" width="48.7109375" customWidth="1"/>
    <col min="14605" max="14606" width="9.5703125" customWidth="1"/>
    <col min="14607" max="14608" width="10.85546875" bestFit="1" customWidth="1"/>
    <col min="14609" max="14609" width="10.140625" bestFit="1" customWidth="1"/>
    <col min="14610" max="14610" width="10.28515625" customWidth="1"/>
    <col min="14611" max="14611" width="14" bestFit="1" customWidth="1"/>
    <col min="14859" max="14859" width="7.7109375" bestFit="1" customWidth="1"/>
    <col min="14860" max="14860" width="48.7109375" customWidth="1"/>
    <col min="14861" max="14862" width="9.5703125" customWidth="1"/>
    <col min="14863" max="14864" width="10.85546875" bestFit="1" customWidth="1"/>
    <col min="14865" max="14865" width="10.140625" bestFit="1" customWidth="1"/>
    <col min="14866" max="14866" width="10.28515625" customWidth="1"/>
    <col min="14867" max="14867" width="14" bestFit="1" customWidth="1"/>
    <col min="15115" max="15115" width="7.7109375" bestFit="1" customWidth="1"/>
    <col min="15116" max="15116" width="48.7109375" customWidth="1"/>
    <col min="15117" max="15118" width="9.5703125" customWidth="1"/>
    <col min="15119" max="15120" width="10.85546875" bestFit="1" customWidth="1"/>
    <col min="15121" max="15121" width="10.140625" bestFit="1" customWidth="1"/>
    <col min="15122" max="15122" width="10.28515625" customWidth="1"/>
    <col min="15123" max="15123" width="14" bestFit="1" customWidth="1"/>
    <col min="15371" max="15371" width="7.7109375" bestFit="1" customWidth="1"/>
    <col min="15372" max="15372" width="48.7109375" customWidth="1"/>
    <col min="15373" max="15374" width="9.5703125" customWidth="1"/>
    <col min="15375" max="15376" width="10.85546875" bestFit="1" customWidth="1"/>
    <col min="15377" max="15377" width="10.140625" bestFit="1" customWidth="1"/>
    <col min="15378" max="15378" width="10.28515625" customWidth="1"/>
    <col min="15379" max="15379" width="14" bestFit="1" customWidth="1"/>
    <col min="15627" max="15627" width="7.7109375" bestFit="1" customWidth="1"/>
    <col min="15628" max="15628" width="48.7109375" customWidth="1"/>
    <col min="15629" max="15630" width="9.5703125" customWidth="1"/>
    <col min="15631" max="15632" width="10.85546875" bestFit="1" customWidth="1"/>
    <col min="15633" max="15633" width="10.140625" bestFit="1" customWidth="1"/>
    <col min="15634" max="15634" width="10.28515625" customWidth="1"/>
    <col min="15635" max="15635" width="14" bestFit="1" customWidth="1"/>
    <col min="15883" max="15883" width="7.7109375" bestFit="1" customWidth="1"/>
    <col min="15884" max="15884" width="48.7109375" customWidth="1"/>
    <col min="15885" max="15886" width="9.5703125" customWidth="1"/>
    <col min="15887" max="15888" width="10.85546875" bestFit="1" customWidth="1"/>
    <col min="15889" max="15889" width="10.140625" bestFit="1" customWidth="1"/>
    <col min="15890" max="15890" width="10.28515625" customWidth="1"/>
    <col min="15891" max="15891" width="14" bestFit="1" customWidth="1"/>
    <col min="16139" max="16139" width="7.7109375" bestFit="1" customWidth="1"/>
    <col min="16140" max="16140" width="48.7109375" customWidth="1"/>
    <col min="16141" max="16142" width="9.5703125" customWidth="1"/>
    <col min="16143" max="16144" width="10.85546875" bestFit="1" customWidth="1"/>
    <col min="16145" max="16145" width="10.140625" bestFit="1" customWidth="1"/>
    <col min="16146" max="16146" width="10.28515625" customWidth="1"/>
    <col min="16147" max="16147" width="14" bestFit="1" customWidth="1"/>
  </cols>
  <sheetData>
    <row r="1" spans="1:19">
      <c r="H1" s="566" t="s">
        <v>0</v>
      </c>
      <c r="M1" s="566"/>
      <c r="N1" s="566"/>
      <c r="O1" s="566"/>
      <c r="P1" s="566"/>
      <c r="Q1" s="566"/>
      <c r="R1" s="566" t="s">
        <v>0</v>
      </c>
      <c r="S1" s="566"/>
    </row>
    <row r="2" spans="1:19" ht="16.5" customHeight="1">
      <c r="A2" s="634" t="s">
        <v>152</v>
      </c>
      <c r="B2" s="644" t="s">
        <v>58</v>
      </c>
      <c r="C2" s="649" t="s">
        <v>446</v>
      </c>
      <c r="D2" s="650"/>
      <c r="E2" s="649" t="s">
        <v>405</v>
      </c>
      <c r="F2" s="650"/>
      <c r="G2" s="635" t="s">
        <v>204</v>
      </c>
      <c r="H2" s="636"/>
      <c r="I2" s="639" t="s">
        <v>205</v>
      </c>
      <c r="J2" s="643"/>
      <c r="K2" s="643"/>
      <c r="L2" s="643"/>
      <c r="M2" s="643"/>
      <c r="N2" s="643"/>
      <c r="O2" s="643"/>
      <c r="P2" s="643"/>
      <c r="Q2" s="643"/>
      <c r="R2" s="640"/>
      <c r="S2" s="562"/>
    </row>
    <row r="3" spans="1:19" s="3" customFormat="1" ht="30" customHeight="1">
      <c r="A3" s="634"/>
      <c r="B3" s="644"/>
      <c r="C3" s="651"/>
      <c r="D3" s="652"/>
      <c r="E3" s="651"/>
      <c r="F3" s="652"/>
      <c r="G3" s="637"/>
      <c r="H3" s="638"/>
      <c r="I3" s="639" t="s">
        <v>213</v>
      </c>
      <c r="J3" s="640"/>
      <c r="K3" s="641" t="s">
        <v>206</v>
      </c>
      <c r="L3" s="642"/>
      <c r="M3" s="641" t="s">
        <v>207</v>
      </c>
      <c r="N3" s="642"/>
      <c r="O3" s="641" t="s">
        <v>527</v>
      </c>
      <c r="P3" s="642"/>
      <c r="Q3" s="641" t="s">
        <v>411</v>
      </c>
      <c r="R3" s="642"/>
      <c r="S3" s="567"/>
    </row>
    <row r="4" spans="1:19" s="3" customFormat="1">
      <c r="A4" s="634"/>
      <c r="B4" s="644"/>
      <c r="C4" s="552" t="s">
        <v>1829</v>
      </c>
      <c r="D4" s="552" t="s">
        <v>1830</v>
      </c>
      <c r="E4" s="552" t="s">
        <v>1829</v>
      </c>
      <c r="F4" s="552" t="s">
        <v>1830</v>
      </c>
      <c r="G4" s="552" t="s">
        <v>1829</v>
      </c>
      <c r="H4" s="552" t="s">
        <v>1830</v>
      </c>
      <c r="I4" s="552" t="s">
        <v>1829</v>
      </c>
      <c r="J4" s="552" t="s">
        <v>1830</v>
      </c>
      <c r="K4" s="128" t="s">
        <v>1829</v>
      </c>
      <c r="L4" s="128" t="s">
        <v>1830</v>
      </c>
      <c r="M4" s="128" t="s">
        <v>1829</v>
      </c>
      <c r="N4" s="128" t="s">
        <v>1830</v>
      </c>
      <c r="O4" s="581" t="s">
        <v>1829</v>
      </c>
      <c r="P4" s="581" t="s">
        <v>1830</v>
      </c>
      <c r="Q4" s="128" t="s">
        <v>1829</v>
      </c>
      <c r="R4" s="128" t="s">
        <v>1830</v>
      </c>
      <c r="S4" s="567"/>
    </row>
    <row r="5" spans="1:19" s="3" customFormat="1">
      <c r="A5" s="108" t="s">
        <v>5</v>
      </c>
      <c r="B5" s="112" t="s">
        <v>412</v>
      </c>
      <c r="C5" s="149">
        <f t="shared" ref="C5:Q5" si="0">C6+C67</f>
        <v>158</v>
      </c>
      <c r="D5" s="149">
        <f t="shared" ref="D5" si="1">D6+D67</f>
        <v>158</v>
      </c>
      <c r="E5" s="149">
        <f t="shared" si="0"/>
        <v>0</v>
      </c>
      <c r="F5" s="149">
        <f t="shared" ref="F5" si="2">F6+F67</f>
        <v>0</v>
      </c>
      <c r="G5" s="33">
        <f t="shared" si="0"/>
        <v>1271699</v>
      </c>
      <c r="H5" s="33">
        <f t="shared" ref="H5" si="3">H6+H67</f>
        <v>1310133</v>
      </c>
      <c r="I5" s="33">
        <f t="shared" si="0"/>
        <v>1271699</v>
      </c>
      <c r="J5" s="33">
        <f t="shared" ref="J5" si="4">J6+J67</f>
        <v>1310133</v>
      </c>
      <c r="K5" s="33">
        <f t="shared" si="0"/>
        <v>0</v>
      </c>
      <c r="L5" s="33">
        <f t="shared" ref="L5" si="5">L6+L67</f>
        <v>180</v>
      </c>
      <c r="M5" s="33">
        <f t="shared" si="0"/>
        <v>176688</v>
      </c>
      <c r="N5" s="33">
        <f t="shared" ref="N5:P5" si="6">N6+N67</f>
        <v>177735</v>
      </c>
      <c r="O5" s="33">
        <f t="shared" si="6"/>
        <v>0</v>
      </c>
      <c r="P5" s="33">
        <f t="shared" si="6"/>
        <v>20765</v>
      </c>
      <c r="Q5" s="33">
        <f t="shared" si="0"/>
        <v>1095011</v>
      </c>
      <c r="R5" s="33">
        <f t="shared" ref="R5" si="7">R6+R67</f>
        <v>1111453</v>
      </c>
      <c r="S5" s="564"/>
    </row>
    <row r="6" spans="1:19">
      <c r="A6" s="127" t="s">
        <v>1</v>
      </c>
      <c r="B6" s="38" t="s">
        <v>153</v>
      </c>
      <c r="C6" s="150">
        <f>C7+C12+C17+C20+C23+C26+C31+C36+C39+C42+C47+C50+C53+C58+C77+C63</f>
        <v>158</v>
      </c>
      <c r="D6" s="150">
        <f>D7+D12+D17+D20+D23+D26+D31+D36+D39+D42+D47+D50+D53+D58+D77+D63</f>
        <v>158</v>
      </c>
      <c r="E6" s="150">
        <f>E7+E12+E17+E20+E23+E26+E31+E36+E39+E42+E47+E50+E53+E58+E77+E63</f>
        <v>0</v>
      </c>
      <c r="F6" s="150">
        <f>F7+F12+F17+F20+F23+F26+F31+F36+F39+F42+F47+F50+F53+F58+F77+F63</f>
        <v>0</v>
      </c>
      <c r="G6" s="39">
        <f>G7+G12+G17+G20+G23+G26+G31+G36+G39+G42+G47+G50+G53+G58+G63</f>
        <v>1251699</v>
      </c>
      <c r="H6" s="39">
        <f>H7+H12+H17+H20+H23+H26+H31+H36+H39+H42+H47+H50+H53+H58+H63</f>
        <v>1279293</v>
      </c>
      <c r="I6" s="39">
        <f t="shared" ref="I6:Q6" si="8">I7+I12+I17+I20+I23+I26+I31+I36+I39+I42+I47+I50+I53+I58+I63</f>
        <v>1251699</v>
      </c>
      <c r="J6" s="39">
        <f t="shared" ref="J6" si="9">J7+J12+J17+J20+J23+J26+J31+J36+J39+J42+J47+J50+J53+J58+J63</f>
        <v>1279293</v>
      </c>
      <c r="K6" s="39">
        <f t="shared" si="8"/>
        <v>0</v>
      </c>
      <c r="L6" s="39">
        <f t="shared" ref="L6" si="10">L7+L12+L17+L20+L23+L26+L31+L36+L39+L42+L47+L50+L53+L58+L63</f>
        <v>180</v>
      </c>
      <c r="M6" s="39">
        <f t="shared" si="8"/>
        <v>176688</v>
      </c>
      <c r="N6" s="39">
        <f t="shared" ref="N6:P6" si="11">N7+N12+N17+N20+N23+N26+N31+N36+N39+N42+N47+N50+N53+N58+N63</f>
        <v>176688</v>
      </c>
      <c r="O6" s="39">
        <f t="shared" si="11"/>
        <v>0</v>
      </c>
      <c r="P6" s="39">
        <f t="shared" si="11"/>
        <v>12622</v>
      </c>
      <c r="Q6" s="39">
        <f t="shared" si="8"/>
        <v>1075011</v>
      </c>
      <c r="R6" s="39">
        <f t="shared" ref="R6" si="12">R7+R12+R17+R20+R23+R26+R31+R36+R39+R42+R47+R50+R53+R58+R63</f>
        <v>1089803</v>
      </c>
      <c r="S6" s="565"/>
    </row>
    <row r="7" spans="1:19">
      <c r="A7" s="143" t="s">
        <v>3</v>
      </c>
      <c r="B7" s="144" t="s">
        <v>413</v>
      </c>
      <c r="C7" s="151">
        <v>5</v>
      </c>
      <c r="D7" s="151">
        <v>5</v>
      </c>
      <c r="E7" s="151"/>
      <c r="F7" s="151"/>
      <c r="G7" s="22">
        <f>G8+G9+G10+G11</f>
        <v>30196</v>
      </c>
      <c r="H7" s="22">
        <f>H8+H9+H10+H11</f>
        <v>34522</v>
      </c>
      <c r="I7" s="22">
        <f>K7+M7+Q7</f>
        <v>30196</v>
      </c>
      <c r="J7" s="22">
        <f>L7+N7+R7+P7</f>
        <v>34522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f>G7-K7-M7</f>
        <v>30196</v>
      </c>
      <c r="R7" s="22">
        <f>H7-L7-N7-P7</f>
        <v>34522</v>
      </c>
      <c r="S7" s="569"/>
    </row>
    <row r="8" spans="1:19">
      <c r="A8" s="74"/>
      <c r="B8" s="75" t="s">
        <v>414</v>
      </c>
      <c r="C8" s="152"/>
      <c r="D8" s="152"/>
      <c r="E8" s="152"/>
      <c r="F8" s="152"/>
      <c r="G8" s="17">
        <v>13554</v>
      </c>
      <c r="H8" s="17">
        <f>13554+642+2764</f>
        <v>16960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563"/>
    </row>
    <row r="9" spans="1:19">
      <c r="A9" s="74"/>
      <c r="B9" s="75" t="s">
        <v>415</v>
      </c>
      <c r="C9" s="152"/>
      <c r="D9" s="152"/>
      <c r="E9" s="152"/>
      <c r="F9" s="152"/>
      <c r="G9" s="17">
        <v>3831</v>
      </c>
      <c r="H9" s="17">
        <f>3831+174+746</f>
        <v>4751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563"/>
    </row>
    <row r="10" spans="1:19">
      <c r="A10" s="74"/>
      <c r="B10" s="75" t="s">
        <v>214</v>
      </c>
      <c r="C10" s="152"/>
      <c r="D10" s="152"/>
      <c r="E10" s="152"/>
      <c r="F10" s="152"/>
      <c r="G10" s="17">
        <v>10811</v>
      </c>
      <c r="H10" s="17">
        <v>10811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563"/>
    </row>
    <row r="11" spans="1:19">
      <c r="A11" s="74"/>
      <c r="B11" s="75" t="s">
        <v>398</v>
      </c>
      <c r="C11" s="152"/>
      <c r="D11" s="152"/>
      <c r="E11" s="152"/>
      <c r="F11" s="152"/>
      <c r="G11" s="17">
        <v>2000</v>
      </c>
      <c r="H11" s="17">
        <v>2000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563"/>
    </row>
    <row r="12" spans="1:19">
      <c r="A12" s="143" t="s">
        <v>4</v>
      </c>
      <c r="B12" s="144" t="s">
        <v>416</v>
      </c>
      <c r="C12" s="151">
        <v>22</v>
      </c>
      <c r="D12" s="151">
        <v>22</v>
      </c>
      <c r="E12" s="151"/>
      <c r="F12" s="151"/>
      <c r="G12" s="22">
        <f>G13+G14+G15+G16</f>
        <v>69573</v>
      </c>
      <c r="H12" s="22">
        <f>H13+H14+H15+H16</f>
        <v>69913</v>
      </c>
      <c r="I12" s="22">
        <f>K12+M12+Q12</f>
        <v>69573</v>
      </c>
      <c r="J12" s="22">
        <f>L12+N12+R12+P12</f>
        <v>69913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f>G12-K12-M12</f>
        <v>69573</v>
      </c>
      <c r="R12" s="22">
        <f>H12-L12-N12-P12</f>
        <v>69913</v>
      </c>
      <c r="S12" s="569"/>
    </row>
    <row r="13" spans="1:19">
      <c r="A13" s="74"/>
      <c r="B13" s="75" t="s">
        <v>414</v>
      </c>
      <c r="C13" s="152"/>
      <c r="D13" s="152"/>
      <c r="E13" s="152"/>
      <c r="F13" s="152"/>
      <c r="G13" s="17">
        <v>38864</v>
      </c>
      <c r="H13" s="17">
        <f>38864+268</f>
        <v>39132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563"/>
    </row>
    <row r="14" spans="1:19">
      <c r="A14" s="74"/>
      <c r="B14" s="75" t="s">
        <v>415</v>
      </c>
      <c r="C14" s="152"/>
      <c r="D14" s="152"/>
      <c r="E14" s="152"/>
      <c r="F14" s="152"/>
      <c r="G14" s="17">
        <v>11247</v>
      </c>
      <c r="H14" s="17">
        <f>11247+72</f>
        <v>11319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563"/>
    </row>
    <row r="15" spans="1:19">
      <c r="A15" s="74"/>
      <c r="B15" s="75" t="s">
        <v>214</v>
      </c>
      <c r="C15" s="152"/>
      <c r="D15" s="152"/>
      <c r="E15" s="152"/>
      <c r="F15" s="152"/>
      <c r="G15" s="17">
        <v>16922</v>
      </c>
      <c r="H15" s="17">
        <v>16922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563"/>
    </row>
    <row r="16" spans="1:19">
      <c r="A16" s="74"/>
      <c r="B16" s="75" t="s">
        <v>398</v>
      </c>
      <c r="C16" s="152"/>
      <c r="D16" s="152"/>
      <c r="E16" s="152"/>
      <c r="F16" s="152"/>
      <c r="G16" s="17">
        <v>2540</v>
      </c>
      <c r="H16" s="17">
        <v>2540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563"/>
    </row>
    <row r="17" spans="1:19">
      <c r="A17" s="143" t="s">
        <v>5</v>
      </c>
      <c r="B17" s="144" t="s">
        <v>417</v>
      </c>
      <c r="C17" s="151"/>
      <c r="D17" s="151"/>
      <c r="E17" s="151"/>
      <c r="F17" s="151"/>
      <c r="G17" s="22">
        <f>G18+G19</f>
        <v>46990</v>
      </c>
      <c r="H17" s="22">
        <f>H18+H19</f>
        <v>48750</v>
      </c>
      <c r="I17" s="22">
        <f>K17+M17+Q17</f>
        <v>46990</v>
      </c>
      <c r="J17" s="22">
        <f>L17+N17+R17+P17</f>
        <v>48750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f>1760</f>
        <v>1760</v>
      </c>
      <c r="Q17" s="22">
        <f>G17-K17-M17</f>
        <v>46990</v>
      </c>
      <c r="R17" s="22">
        <f>H17-L17-N17-P17</f>
        <v>46990</v>
      </c>
      <c r="S17" s="569"/>
    </row>
    <row r="18" spans="1:19">
      <c r="A18" s="74"/>
      <c r="B18" s="75" t="s">
        <v>214</v>
      </c>
      <c r="C18" s="152"/>
      <c r="D18" s="152"/>
      <c r="E18" s="152"/>
      <c r="F18" s="152"/>
      <c r="G18" s="17">
        <v>45085</v>
      </c>
      <c r="H18" s="17">
        <f>45085+1760</f>
        <v>46845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563"/>
    </row>
    <row r="19" spans="1:19">
      <c r="A19" s="74"/>
      <c r="B19" s="75" t="s">
        <v>398</v>
      </c>
      <c r="C19" s="152"/>
      <c r="D19" s="152"/>
      <c r="E19" s="152"/>
      <c r="F19" s="152"/>
      <c r="G19" s="17">
        <v>1905</v>
      </c>
      <c r="H19" s="17">
        <v>1905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563"/>
    </row>
    <row r="20" spans="1:19">
      <c r="A20" s="143" t="s">
        <v>6</v>
      </c>
      <c r="B20" s="144" t="s">
        <v>418</v>
      </c>
      <c r="C20" s="151"/>
      <c r="D20" s="151"/>
      <c r="E20" s="151"/>
      <c r="F20" s="151"/>
      <c r="G20" s="22">
        <f>G21+G22</f>
        <v>58163</v>
      </c>
      <c r="H20" s="22">
        <f>H21+H22</f>
        <v>75538</v>
      </c>
      <c r="I20" s="22">
        <f>K20+M20+Q20</f>
        <v>58163</v>
      </c>
      <c r="J20" s="22">
        <f>L20+N20+R20+P20</f>
        <v>75538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593">
        <f>12305-3901</f>
        <v>8404</v>
      </c>
      <c r="Q20" s="22">
        <f>G20-K20-M20</f>
        <v>58163</v>
      </c>
      <c r="R20" s="22">
        <f>H20-L20-N20-P20</f>
        <v>67134</v>
      </c>
      <c r="S20" s="569"/>
    </row>
    <row r="21" spans="1:19">
      <c r="A21" s="74"/>
      <c r="B21" s="75" t="s">
        <v>214</v>
      </c>
      <c r="C21" s="152"/>
      <c r="D21" s="152"/>
      <c r="E21" s="152"/>
      <c r="F21" s="152"/>
      <c r="G21" s="17">
        <f>61813-10000</f>
        <v>51813</v>
      </c>
      <c r="H21" s="17">
        <f>61813-10000+5000+1270-1200+12305</f>
        <v>69188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563"/>
    </row>
    <row r="22" spans="1:19">
      <c r="A22" s="74"/>
      <c r="B22" s="75" t="s">
        <v>398</v>
      </c>
      <c r="C22" s="152"/>
      <c r="D22" s="152"/>
      <c r="E22" s="152"/>
      <c r="F22" s="152"/>
      <c r="G22" s="17">
        <v>6350</v>
      </c>
      <c r="H22" s="17">
        <v>6350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563"/>
    </row>
    <row r="23" spans="1:19">
      <c r="A23" s="143" t="s">
        <v>106</v>
      </c>
      <c r="B23" s="144" t="s">
        <v>419</v>
      </c>
      <c r="C23" s="151"/>
      <c r="D23" s="151"/>
      <c r="E23" s="151"/>
      <c r="F23" s="151"/>
      <c r="G23" s="22">
        <f>G24+G25</f>
        <v>8702</v>
      </c>
      <c r="H23" s="22">
        <f>H24+H25</f>
        <v>8702</v>
      </c>
      <c r="I23" s="22">
        <f>K23+M23+Q23</f>
        <v>8702</v>
      </c>
      <c r="J23" s="22">
        <f>L23+N23+R23+P23</f>
        <v>8702</v>
      </c>
      <c r="K23" s="22">
        <v>0</v>
      </c>
      <c r="L23" s="22">
        <v>0</v>
      </c>
      <c r="M23" s="22">
        <v>4826</v>
      </c>
      <c r="N23" s="22">
        <v>4826</v>
      </c>
      <c r="O23" s="22">
        <v>0</v>
      </c>
      <c r="P23" s="22">
        <v>0</v>
      </c>
      <c r="Q23" s="22">
        <f>G23-K23-M23</f>
        <v>3876</v>
      </c>
      <c r="R23" s="22">
        <f>H23-L23-N23-P23</f>
        <v>3876</v>
      </c>
      <c r="S23" s="569"/>
    </row>
    <row r="24" spans="1:19">
      <c r="A24" s="74"/>
      <c r="B24" s="111" t="s">
        <v>214</v>
      </c>
      <c r="C24" s="153"/>
      <c r="D24" s="153"/>
      <c r="E24" s="153"/>
      <c r="F24" s="153"/>
      <c r="G24" s="16">
        <v>7178</v>
      </c>
      <c r="H24" s="16">
        <v>7178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568"/>
    </row>
    <row r="25" spans="1:19">
      <c r="A25" s="74"/>
      <c r="B25" s="111" t="s">
        <v>398</v>
      </c>
      <c r="C25" s="153"/>
      <c r="D25" s="153"/>
      <c r="E25" s="153"/>
      <c r="F25" s="153"/>
      <c r="G25" s="16">
        <v>1524</v>
      </c>
      <c r="H25" s="16">
        <v>1524</v>
      </c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568"/>
    </row>
    <row r="26" spans="1:19">
      <c r="A26" s="143" t="s">
        <v>1411</v>
      </c>
      <c r="B26" s="144" t="s">
        <v>420</v>
      </c>
      <c r="C26" s="151">
        <v>3</v>
      </c>
      <c r="D26" s="151">
        <v>3</v>
      </c>
      <c r="E26" s="151"/>
      <c r="F26" s="151"/>
      <c r="G26" s="22">
        <f>G27+G28+G29+G30</f>
        <v>16149</v>
      </c>
      <c r="H26" s="22">
        <f>H27+H28+H29+H30</f>
        <v>16149</v>
      </c>
      <c r="I26" s="22">
        <f>K26+M26+Q26</f>
        <v>16149</v>
      </c>
      <c r="J26" s="22">
        <f>L26+N26+R26+P26</f>
        <v>16149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f>G26-K26-M26</f>
        <v>16149</v>
      </c>
      <c r="R26" s="22">
        <f>H26-L26-N26-P26</f>
        <v>16149</v>
      </c>
      <c r="S26" s="569"/>
    </row>
    <row r="27" spans="1:19">
      <c r="A27" s="74"/>
      <c r="B27" s="75" t="s">
        <v>414</v>
      </c>
      <c r="C27" s="153"/>
      <c r="D27" s="153"/>
      <c r="E27" s="153"/>
      <c r="F27" s="153"/>
      <c r="G27" s="16">
        <v>4989</v>
      </c>
      <c r="H27" s="16">
        <v>4989</v>
      </c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568"/>
    </row>
    <row r="28" spans="1:19">
      <c r="A28" s="143"/>
      <c r="B28" s="75" t="s">
        <v>415</v>
      </c>
      <c r="C28" s="153"/>
      <c r="D28" s="153"/>
      <c r="E28" s="153"/>
      <c r="F28" s="153"/>
      <c r="G28" s="16">
        <v>1433</v>
      </c>
      <c r="H28" s="16">
        <v>1433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568"/>
    </row>
    <row r="29" spans="1:19">
      <c r="A29" s="143"/>
      <c r="B29" s="75" t="s">
        <v>214</v>
      </c>
      <c r="C29" s="153"/>
      <c r="D29" s="153"/>
      <c r="E29" s="153"/>
      <c r="F29" s="153"/>
      <c r="G29" s="16">
        <v>7822</v>
      </c>
      <c r="H29" s="16">
        <v>7822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568"/>
    </row>
    <row r="30" spans="1:19">
      <c r="A30" s="143"/>
      <c r="B30" s="75" t="s">
        <v>398</v>
      </c>
      <c r="C30" s="153"/>
      <c r="D30" s="153"/>
      <c r="E30" s="153"/>
      <c r="F30" s="153"/>
      <c r="G30" s="16">
        <v>1905</v>
      </c>
      <c r="H30" s="16">
        <v>1905</v>
      </c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568"/>
    </row>
    <row r="31" spans="1:19">
      <c r="A31" s="143" t="s">
        <v>1412</v>
      </c>
      <c r="B31" s="144" t="s">
        <v>421</v>
      </c>
      <c r="C31" s="151">
        <v>2</v>
      </c>
      <c r="D31" s="151">
        <v>2</v>
      </c>
      <c r="E31" s="151"/>
      <c r="F31" s="151"/>
      <c r="G31" s="22">
        <f>G32+G33+G34+G35</f>
        <v>16353</v>
      </c>
      <c r="H31" s="22">
        <f>H32+H33+H34+H35</f>
        <v>16353</v>
      </c>
      <c r="I31" s="22">
        <f>K31+M31+Q31</f>
        <v>16353</v>
      </c>
      <c r="J31" s="22">
        <f>L31+N31+R31+P31</f>
        <v>16353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f>G31-K31-M31</f>
        <v>16353</v>
      </c>
      <c r="R31" s="22">
        <f>H31-L31-N31-P31</f>
        <v>16353</v>
      </c>
      <c r="S31" s="569"/>
    </row>
    <row r="32" spans="1:19">
      <c r="A32" s="143"/>
      <c r="B32" s="75" t="s">
        <v>414</v>
      </c>
      <c r="C32" s="152"/>
      <c r="D32" s="152"/>
      <c r="E32" s="152"/>
      <c r="F32" s="152"/>
      <c r="G32" s="17">
        <v>4779</v>
      </c>
      <c r="H32" s="17">
        <v>4779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563"/>
    </row>
    <row r="33" spans="1:19">
      <c r="A33" s="143"/>
      <c r="B33" s="75" t="s">
        <v>415</v>
      </c>
      <c r="C33" s="152"/>
      <c r="D33" s="152"/>
      <c r="E33" s="152"/>
      <c r="F33" s="152"/>
      <c r="G33" s="17">
        <v>1359</v>
      </c>
      <c r="H33" s="17">
        <v>1359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563"/>
    </row>
    <row r="34" spans="1:19">
      <c r="A34" s="143"/>
      <c r="B34" s="75" t="s">
        <v>214</v>
      </c>
      <c r="C34" s="152"/>
      <c r="D34" s="152"/>
      <c r="E34" s="152"/>
      <c r="F34" s="152"/>
      <c r="G34" s="17">
        <v>9580</v>
      </c>
      <c r="H34" s="17">
        <v>9580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563"/>
    </row>
    <row r="35" spans="1:19">
      <c r="A35" s="143"/>
      <c r="B35" s="75" t="s">
        <v>398</v>
      </c>
      <c r="C35" s="152"/>
      <c r="D35" s="152"/>
      <c r="E35" s="152"/>
      <c r="F35" s="152"/>
      <c r="G35" s="17">
        <v>635</v>
      </c>
      <c r="H35" s="17">
        <v>635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563"/>
    </row>
    <row r="36" spans="1:19">
      <c r="A36" s="143" t="s">
        <v>1413</v>
      </c>
      <c r="B36" s="144" t="s">
        <v>422</v>
      </c>
      <c r="C36" s="151">
        <v>1</v>
      </c>
      <c r="D36" s="151">
        <v>1</v>
      </c>
      <c r="E36" s="151"/>
      <c r="F36" s="151"/>
      <c r="G36" s="22">
        <f>G37+G38</f>
        <v>2769</v>
      </c>
      <c r="H36" s="22">
        <f>H37+H38</f>
        <v>2769</v>
      </c>
      <c r="I36" s="22">
        <f>K36+M36+Q36</f>
        <v>2769</v>
      </c>
      <c r="J36" s="22">
        <f>L36+N36+R36+P36</f>
        <v>2769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f>G36-K36-M36</f>
        <v>2769</v>
      </c>
      <c r="R36" s="22">
        <f>H36-L36-N36-P36</f>
        <v>2769</v>
      </c>
      <c r="S36" s="569"/>
    </row>
    <row r="37" spans="1:19">
      <c r="A37" s="143"/>
      <c r="B37" s="75" t="s">
        <v>414</v>
      </c>
      <c r="C37" s="152"/>
      <c r="D37" s="152"/>
      <c r="E37" s="152"/>
      <c r="F37" s="152"/>
      <c r="G37" s="17">
        <v>2168</v>
      </c>
      <c r="H37" s="17">
        <v>2168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563"/>
    </row>
    <row r="38" spans="1:19">
      <c r="A38" s="143"/>
      <c r="B38" s="75" t="s">
        <v>415</v>
      </c>
      <c r="C38" s="152"/>
      <c r="D38" s="152"/>
      <c r="E38" s="152"/>
      <c r="F38" s="152"/>
      <c r="G38" s="17">
        <v>601</v>
      </c>
      <c r="H38" s="17">
        <v>601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563"/>
    </row>
    <row r="39" spans="1:19">
      <c r="A39" s="143" t="s">
        <v>1414</v>
      </c>
      <c r="B39" s="144" t="s">
        <v>423</v>
      </c>
      <c r="C39" s="151"/>
      <c r="D39" s="151"/>
      <c r="E39" s="151"/>
      <c r="F39" s="151"/>
      <c r="G39" s="22">
        <f>G40+G41</f>
        <v>14801</v>
      </c>
      <c r="H39" s="22">
        <f>H40+H41</f>
        <v>14801</v>
      </c>
      <c r="I39" s="22">
        <f>K39+M39+Q39</f>
        <v>14801</v>
      </c>
      <c r="J39" s="22">
        <f>L39+N39+R39+P39</f>
        <v>14801</v>
      </c>
      <c r="K39" s="22">
        <v>0</v>
      </c>
      <c r="L39" s="22">
        <v>0</v>
      </c>
      <c r="M39" s="22">
        <v>7500</v>
      </c>
      <c r="N39" s="22">
        <v>7500</v>
      </c>
      <c r="O39" s="22">
        <v>0</v>
      </c>
      <c r="P39" s="22">
        <v>0</v>
      </c>
      <c r="Q39" s="22">
        <f>G39-K39-M39</f>
        <v>7301</v>
      </c>
      <c r="R39" s="22">
        <f>H39-L39-N39-P39</f>
        <v>7301</v>
      </c>
      <c r="S39" s="569"/>
    </row>
    <row r="40" spans="1:19">
      <c r="A40" s="143"/>
      <c r="B40" s="75" t="s">
        <v>214</v>
      </c>
      <c r="C40" s="152"/>
      <c r="D40" s="152"/>
      <c r="E40" s="152"/>
      <c r="F40" s="152"/>
      <c r="G40" s="17">
        <v>14547</v>
      </c>
      <c r="H40" s="17">
        <v>14547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563"/>
    </row>
    <row r="41" spans="1:19">
      <c r="A41" s="143"/>
      <c r="B41" s="75" t="s">
        <v>398</v>
      </c>
      <c r="C41" s="152"/>
      <c r="D41" s="152"/>
      <c r="E41" s="152"/>
      <c r="F41" s="152"/>
      <c r="G41" s="17">
        <v>254</v>
      </c>
      <c r="H41" s="17">
        <v>254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563"/>
    </row>
    <row r="42" spans="1:19">
      <c r="A42" s="143" t="s">
        <v>1415</v>
      </c>
      <c r="B42" s="144" t="s">
        <v>424</v>
      </c>
      <c r="C42" s="151">
        <v>16</v>
      </c>
      <c r="D42" s="151">
        <v>16</v>
      </c>
      <c r="E42" s="151"/>
      <c r="F42" s="151"/>
      <c r="G42" s="22">
        <f>G43+G44+G45+G46</f>
        <v>116618</v>
      </c>
      <c r="H42" s="22">
        <f>H43+H44+H45+H46</f>
        <v>119256</v>
      </c>
      <c r="I42" s="22">
        <f>K42+M42+Q42</f>
        <v>116618</v>
      </c>
      <c r="J42" s="22">
        <f>L42+N42+R42+P42</f>
        <v>119256</v>
      </c>
      <c r="K42" s="22">
        <v>0</v>
      </c>
      <c r="L42" s="22">
        <v>180</v>
      </c>
      <c r="M42" s="22">
        <v>2355</v>
      </c>
      <c r="N42" s="22">
        <v>2355</v>
      </c>
      <c r="O42" s="22">
        <v>0</v>
      </c>
      <c r="P42" s="22">
        <f>2458</f>
        <v>2458</v>
      </c>
      <c r="Q42" s="22">
        <f>G42-K42-M42</f>
        <v>114263</v>
      </c>
      <c r="R42" s="22">
        <f>H42-L42-N42-P42</f>
        <v>114263</v>
      </c>
      <c r="S42" s="569"/>
    </row>
    <row r="43" spans="1:19">
      <c r="A43" s="143"/>
      <c r="B43" s="75" t="s">
        <v>414</v>
      </c>
      <c r="C43" s="152"/>
      <c r="D43" s="152"/>
      <c r="E43" s="152"/>
      <c r="F43" s="152"/>
      <c r="G43" s="17">
        <v>64018</v>
      </c>
      <c r="H43" s="17">
        <f>64018+142</f>
        <v>64160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563"/>
    </row>
    <row r="44" spans="1:19">
      <c r="A44" s="74"/>
      <c r="B44" s="75" t="s">
        <v>415</v>
      </c>
      <c r="C44" s="152"/>
      <c r="D44" s="152"/>
      <c r="E44" s="152"/>
      <c r="F44" s="152"/>
      <c r="G44" s="17">
        <v>25419</v>
      </c>
      <c r="H44" s="17">
        <f>25419+38</f>
        <v>25457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563"/>
    </row>
    <row r="45" spans="1:19">
      <c r="A45" s="143"/>
      <c r="B45" s="75" t="s">
        <v>214</v>
      </c>
      <c r="C45" s="152"/>
      <c r="D45" s="152"/>
      <c r="E45" s="152"/>
      <c r="F45" s="152"/>
      <c r="G45" s="17">
        <v>25276</v>
      </c>
      <c r="H45" s="17">
        <f>25276+2458</f>
        <v>27734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563"/>
    </row>
    <row r="46" spans="1:19">
      <c r="A46" s="143"/>
      <c r="B46" s="75" t="s">
        <v>398</v>
      </c>
      <c r="C46" s="152"/>
      <c r="D46" s="152"/>
      <c r="E46" s="152"/>
      <c r="F46" s="152"/>
      <c r="G46" s="17">
        <v>1905</v>
      </c>
      <c r="H46" s="17">
        <v>1905</v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563"/>
    </row>
    <row r="47" spans="1:19">
      <c r="A47" s="143" t="s">
        <v>1416</v>
      </c>
      <c r="B47" s="144" t="s">
        <v>154</v>
      </c>
      <c r="C47" s="151"/>
      <c r="D47" s="151"/>
      <c r="E47" s="151"/>
      <c r="F47" s="151"/>
      <c r="G47" s="22">
        <f>G48+G49</f>
        <v>140000</v>
      </c>
      <c r="H47" s="22">
        <f>H48+H49</f>
        <v>140000</v>
      </c>
      <c r="I47" s="22">
        <f>K47+M47+Q47</f>
        <v>140000</v>
      </c>
      <c r="J47" s="22">
        <f>L47+N47+R47+P47</f>
        <v>140000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f>G47-K47-M47</f>
        <v>140000</v>
      </c>
      <c r="R47" s="22">
        <f>H47-L47-N47-P47</f>
        <v>140000</v>
      </c>
      <c r="S47" s="569"/>
    </row>
    <row r="48" spans="1:19">
      <c r="A48" s="143"/>
      <c r="B48" s="75" t="s">
        <v>214</v>
      </c>
      <c r="C48" s="152"/>
      <c r="D48" s="152"/>
      <c r="E48" s="152"/>
      <c r="F48" s="152"/>
      <c r="G48" s="17">
        <v>135000</v>
      </c>
      <c r="H48" s="17">
        <v>135000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563"/>
    </row>
    <row r="49" spans="1:19">
      <c r="A49" s="143"/>
      <c r="B49" s="75" t="s">
        <v>398</v>
      </c>
      <c r="C49" s="152"/>
      <c r="D49" s="152"/>
      <c r="E49" s="152"/>
      <c r="F49" s="152"/>
      <c r="G49" s="17">
        <v>5000</v>
      </c>
      <c r="H49" s="17">
        <v>5000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563"/>
    </row>
    <row r="50" spans="1:19" s="145" customFormat="1">
      <c r="A50" s="143" t="s">
        <v>1417</v>
      </c>
      <c r="B50" s="144" t="s">
        <v>425</v>
      </c>
      <c r="C50" s="151">
        <v>8</v>
      </c>
      <c r="D50" s="151">
        <v>8</v>
      </c>
      <c r="E50" s="151"/>
      <c r="F50" s="151"/>
      <c r="G50" s="22">
        <f>G51+G52</f>
        <v>16978</v>
      </c>
      <c r="H50" s="22">
        <f>H51+H52</f>
        <v>16978</v>
      </c>
      <c r="I50" s="22">
        <f>K50+M50+Q50</f>
        <v>16978</v>
      </c>
      <c r="J50" s="22">
        <f>L50+N50+R50+P50</f>
        <v>16978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f>G50-K50-M50</f>
        <v>16978</v>
      </c>
      <c r="R50" s="22">
        <f>H50-L50-N50-P50</f>
        <v>16978</v>
      </c>
      <c r="S50" s="569"/>
    </row>
    <row r="51" spans="1:19">
      <c r="A51" s="143"/>
      <c r="B51" s="75" t="s">
        <v>414</v>
      </c>
      <c r="C51" s="152"/>
      <c r="D51" s="152"/>
      <c r="E51" s="152"/>
      <c r="F51" s="152"/>
      <c r="G51" s="17">
        <v>13153</v>
      </c>
      <c r="H51" s="17">
        <v>13153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563"/>
    </row>
    <row r="52" spans="1:19">
      <c r="A52" s="143"/>
      <c r="B52" s="75" t="s">
        <v>415</v>
      </c>
      <c r="C52" s="152"/>
      <c r="D52" s="152"/>
      <c r="E52" s="152"/>
      <c r="F52" s="152"/>
      <c r="G52" s="17">
        <v>3825</v>
      </c>
      <c r="H52" s="17">
        <v>3825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563"/>
    </row>
    <row r="53" spans="1:19" s="145" customFormat="1">
      <c r="A53" s="143" t="s">
        <v>1418</v>
      </c>
      <c r="B53" s="144" t="s">
        <v>426</v>
      </c>
      <c r="C53" s="151">
        <v>22</v>
      </c>
      <c r="D53" s="151">
        <v>22</v>
      </c>
      <c r="E53" s="151"/>
      <c r="F53" s="151"/>
      <c r="G53" s="22">
        <f>G54+G55+G56+G57</f>
        <v>116368</v>
      </c>
      <c r="H53" s="22">
        <f>H54+H55+H56+H57</f>
        <v>116790</v>
      </c>
      <c r="I53" s="22">
        <f>K53+M53+Q53</f>
        <v>116368</v>
      </c>
      <c r="J53" s="22">
        <f>L53+N53+R53+P53</f>
        <v>116790</v>
      </c>
      <c r="K53" s="22">
        <v>0</v>
      </c>
      <c r="L53" s="22">
        <v>0</v>
      </c>
      <c r="M53" s="22">
        <v>3072</v>
      </c>
      <c r="N53" s="22">
        <v>3072</v>
      </c>
      <c r="O53" s="22">
        <v>0</v>
      </c>
      <c r="P53" s="22">
        <v>0</v>
      </c>
      <c r="Q53" s="22">
        <f>G53-K53-M53</f>
        <v>113296</v>
      </c>
      <c r="R53" s="22">
        <f>H53-L53-N53-P53</f>
        <v>113718</v>
      </c>
      <c r="S53" s="569"/>
    </row>
    <row r="54" spans="1:19">
      <c r="A54" s="143"/>
      <c r="B54" s="75" t="s">
        <v>414</v>
      </c>
      <c r="C54" s="152"/>
      <c r="D54" s="152"/>
      <c r="E54" s="152"/>
      <c r="F54" s="152"/>
      <c r="G54" s="17">
        <v>43082</v>
      </c>
      <c r="H54" s="17">
        <f>43082+286+46</f>
        <v>43414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563"/>
    </row>
    <row r="55" spans="1:19">
      <c r="A55" s="143"/>
      <c r="B55" s="75" t="s">
        <v>415</v>
      </c>
      <c r="C55" s="152"/>
      <c r="D55" s="152"/>
      <c r="E55" s="152"/>
      <c r="F55" s="152"/>
      <c r="G55" s="17">
        <v>12386</v>
      </c>
      <c r="H55" s="17">
        <f>12386+77+13</f>
        <v>12476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563"/>
    </row>
    <row r="56" spans="1:19">
      <c r="A56" s="143"/>
      <c r="B56" s="75" t="s">
        <v>214</v>
      </c>
      <c r="C56" s="152"/>
      <c r="D56" s="152"/>
      <c r="E56" s="152"/>
      <c r="F56" s="152"/>
      <c r="G56" s="17">
        <f>100905-44450</f>
        <v>56455</v>
      </c>
      <c r="H56" s="17">
        <f>100905-44450</f>
        <v>56455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563"/>
    </row>
    <row r="57" spans="1:19">
      <c r="A57" s="143"/>
      <c r="B57" s="75" t="s">
        <v>398</v>
      </c>
      <c r="C57" s="152"/>
      <c r="D57" s="152"/>
      <c r="E57" s="152"/>
      <c r="F57" s="152"/>
      <c r="G57" s="17">
        <v>4445</v>
      </c>
      <c r="H57" s="17">
        <v>4445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563"/>
    </row>
    <row r="58" spans="1:19" s="145" customFormat="1">
      <c r="A58" s="143" t="s">
        <v>1419</v>
      </c>
      <c r="B58" s="144" t="s">
        <v>427</v>
      </c>
      <c r="C58" s="151">
        <v>79</v>
      </c>
      <c r="D58" s="151">
        <v>79</v>
      </c>
      <c r="E58" s="151"/>
      <c r="F58" s="151"/>
      <c r="G58" s="22">
        <f>G59+G60+G61+G62</f>
        <v>477389</v>
      </c>
      <c r="H58" s="22">
        <f>H59+H60+H61+H62</f>
        <v>478122</v>
      </c>
      <c r="I58" s="22">
        <f>K58+M58+Q58</f>
        <v>477389</v>
      </c>
      <c r="J58" s="22">
        <f>L58+N58+R58+P58</f>
        <v>478122</v>
      </c>
      <c r="K58" s="22">
        <v>0</v>
      </c>
      <c r="L58" s="22">
        <v>0</v>
      </c>
      <c r="M58" s="22">
        <v>96400</v>
      </c>
      <c r="N58" s="22">
        <v>96400</v>
      </c>
      <c r="O58" s="22">
        <v>0</v>
      </c>
      <c r="P58" s="22">
        <v>0</v>
      </c>
      <c r="Q58" s="22">
        <f>G58-K58-M58</f>
        <v>380989</v>
      </c>
      <c r="R58" s="22">
        <f>H58-L58-N58-P58</f>
        <v>381722</v>
      </c>
      <c r="S58" s="569"/>
    </row>
    <row r="59" spans="1:19">
      <c r="A59" s="143"/>
      <c r="B59" s="75" t="s">
        <v>414</v>
      </c>
      <c r="C59" s="152"/>
      <c r="D59" s="152"/>
      <c r="E59" s="152"/>
      <c r="F59" s="152"/>
      <c r="G59" s="17">
        <v>176335</v>
      </c>
      <c r="H59" s="17">
        <f>176335+500+77</f>
        <v>176912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563"/>
    </row>
    <row r="60" spans="1:19">
      <c r="A60" s="143"/>
      <c r="B60" s="75" t="s">
        <v>415</v>
      </c>
      <c r="C60" s="152"/>
      <c r="D60" s="152"/>
      <c r="E60" s="152"/>
      <c r="F60" s="152"/>
      <c r="G60" s="17">
        <v>50387</v>
      </c>
      <c r="H60" s="17">
        <f>50387+135+21</f>
        <v>50543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563"/>
    </row>
    <row r="61" spans="1:19">
      <c r="A61" s="143"/>
      <c r="B61" s="75" t="s">
        <v>214</v>
      </c>
      <c r="C61" s="152"/>
      <c r="D61" s="152"/>
      <c r="E61" s="152"/>
      <c r="F61" s="152"/>
      <c r="G61" s="17">
        <v>243046</v>
      </c>
      <c r="H61" s="17">
        <v>243046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563"/>
    </row>
    <row r="62" spans="1:19">
      <c r="A62" s="143"/>
      <c r="B62" s="75" t="s">
        <v>398</v>
      </c>
      <c r="C62" s="152"/>
      <c r="D62" s="152"/>
      <c r="E62" s="152"/>
      <c r="F62" s="152"/>
      <c r="G62" s="17">
        <v>7621</v>
      </c>
      <c r="H62" s="17">
        <v>7621</v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563"/>
    </row>
    <row r="63" spans="1:19" s="145" customFormat="1">
      <c r="A63" s="143" t="s">
        <v>1420</v>
      </c>
      <c r="B63" s="144" t="s">
        <v>428</v>
      </c>
      <c r="C63" s="151"/>
      <c r="D63" s="151"/>
      <c r="E63" s="151"/>
      <c r="F63" s="151"/>
      <c r="G63" s="22">
        <f>G64+G65+G66</f>
        <v>120650</v>
      </c>
      <c r="H63" s="22">
        <f>H64+H65+H66</f>
        <v>120650</v>
      </c>
      <c r="I63" s="22">
        <f>K63+M63+Q63</f>
        <v>120650</v>
      </c>
      <c r="J63" s="22">
        <f>L63+N63+R63+P63</f>
        <v>120650</v>
      </c>
      <c r="K63" s="22">
        <v>0</v>
      </c>
      <c r="L63" s="22">
        <v>0</v>
      </c>
      <c r="M63" s="22">
        <v>62535</v>
      </c>
      <c r="N63" s="22">
        <v>62535</v>
      </c>
      <c r="O63" s="22">
        <v>0</v>
      </c>
      <c r="P63" s="22">
        <v>0</v>
      </c>
      <c r="Q63" s="22">
        <f>G63-K63-M63</f>
        <v>58115</v>
      </c>
      <c r="R63" s="22">
        <f>H63-L63-N63-P63</f>
        <v>58115</v>
      </c>
      <c r="S63" s="569"/>
    </row>
    <row r="64" spans="1:19">
      <c r="A64" s="143"/>
      <c r="B64" s="75" t="s">
        <v>414</v>
      </c>
      <c r="C64" s="152"/>
      <c r="D64" s="152"/>
      <c r="E64" s="152"/>
      <c r="F64" s="152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563"/>
    </row>
    <row r="65" spans="1:19">
      <c r="A65" s="143"/>
      <c r="B65" s="75" t="s">
        <v>415</v>
      </c>
      <c r="C65" s="152"/>
      <c r="D65" s="152"/>
      <c r="E65" s="152"/>
      <c r="F65" s="152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563"/>
    </row>
    <row r="66" spans="1:19">
      <c r="A66" s="143"/>
      <c r="B66" s="75" t="s">
        <v>214</v>
      </c>
      <c r="C66" s="152"/>
      <c r="D66" s="152"/>
      <c r="E66" s="152"/>
      <c r="F66" s="152"/>
      <c r="G66" s="17">
        <v>120650</v>
      </c>
      <c r="H66" s="17">
        <v>120650</v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563"/>
    </row>
    <row r="67" spans="1:19">
      <c r="A67" s="127" t="s">
        <v>13</v>
      </c>
      <c r="B67" s="38" t="s">
        <v>155</v>
      </c>
      <c r="C67" s="150"/>
      <c r="D67" s="150"/>
      <c r="E67" s="150"/>
      <c r="F67" s="150"/>
      <c r="G67" s="39">
        <f t="shared" ref="G67" si="13">G68+G74+G77</f>
        <v>20000</v>
      </c>
      <c r="H67" s="39">
        <f>H68+H74+H77+H80</f>
        <v>30840</v>
      </c>
      <c r="I67" s="39">
        <f t="shared" ref="I67:R67" si="14">I68+I74+I77+I80</f>
        <v>20000</v>
      </c>
      <c r="J67" s="39">
        <f t="shared" si="14"/>
        <v>30840</v>
      </c>
      <c r="K67" s="39">
        <f t="shared" si="14"/>
        <v>0</v>
      </c>
      <c r="L67" s="39">
        <f t="shared" si="14"/>
        <v>0</v>
      </c>
      <c r="M67" s="39">
        <f t="shared" si="14"/>
        <v>0</v>
      </c>
      <c r="N67" s="39">
        <f t="shared" si="14"/>
        <v>1047</v>
      </c>
      <c r="O67" s="39">
        <f t="shared" si="14"/>
        <v>0</v>
      </c>
      <c r="P67" s="39">
        <f t="shared" si="14"/>
        <v>8143</v>
      </c>
      <c r="Q67" s="39">
        <f t="shared" si="14"/>
        <v>20000</v>
      </c>
      <c r="R67" s="39">
        <f t="shared" si="14"/>
        <v>21650</v>
      </c>
      <c r="S67" s="565"/>
    </row>
    <row r="68" spans="1:19" s="145" customFormat="1">
      <c r="A68" s="143" t="s">
        <v>3</v>
      </c>
      <c r="B68" s="144" t="s">
        <v>429</v>
      </c>
      <c r="C68" s="151"/>
      <c r="D68" s="151"/>
      <c r="E68" s="151"/>
      <c r="F68" s="151"/>
      <c r="G68" s="22">
        <f>G71+G72</f>
        <v>9000</v>
      </c>
      <c r="H68" s="22">
        <f>H71+H72+H69+H70+H73</f>
        <v>10047</v>
      </c>
      <c r="I68" s="22">
        <f>K68+M68+Q68</f>
        <v>9000</v>
      </c>
      <c r="J68" s="22">
        <f>L68+N68+R68+P68</f>
        <v>10047</v>
      </c>
      <c r="K68" s="22">
        <v>0</v>
      </c>
      <c r="L68" s="22">
        <v>0</v>
      </c>
      <c r="M68" s="22">
        <v>0</v>
      </c>
      <c r="N68" s="22">
        <v>1047</v>
      </c>
      <c r="O68" s="22">
        <v>0</v>
      </c>
      <c r="P68" s="22">
        <v>0</v>
      </c>
      <c r="Q68" s="22">
        <f>G68-K68-M68</f>
        <v>9000</v>
      </c>
      <c r="R68" s="22">
        <f>H68-L68-N68-P68</f>
        <v>9000</v>
      </c>
      <c r="S68" s="569"/>
    </row>
    <row r="69" spans="1:19" s="145" customFormat="1">
      <c r="A69" s="143"/>
      <c r="B69" s="75" t="s">
        <v>414</v>
      </c>
      <c r="C69" s="152"/>
      <c r="D69" s="152"/>
      <c r="E69" s="152"/>
      <c r="F69" s="152"/>
      <c r="G69" s="17"/>
      <c r="H69" s="17">
        <f>150</f>
        <v>150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569"/>
    </row>
    <row r="70" spans="1:19" s="145" customFormat="1">
      <c r="A70" s="143"/>
      <c r="B70" s="75" t="s">
        <v>415</v>
      </c>
      <c r="C70" s="152"/>
      <c r="D70" s="152"/>
      <c r="E70" s="152"/>
      <c r="F70" s="152"/>
      <c r="G70" s="17"/>
      <c r="H70" s="17">
        <f>41</f>
        <v>41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569"/>
    </row>
    <row r="71" spans="1:19">
      <c r="A71" s="74"/>
      <c r="B71" s="75" t="s">
        <v>214</v>
      </c>
      <c r="C71" s="152"/>
      <c r="D71" s="152"/>
      <c r="E71" s="152"/>
      <c r="F71" s="152"/>
      <c r="G71" s="17">
        <v>6500</v>
      </c>
      <c r="H71" s="17">
        <f>6500+325</f>
        <v>6825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563"/>
    </row>
    <row r="72" spans="1:19">
      <c r="A72" s="74"/>
      <c r="B72" s="75" t="s">
        <v>398</v>
      </c>
      <c r="C72" s="152"/>
      <c r="D72" s="152"/>
      <c r="E72" s="152"/>
      <c r="F72" s="152"/>
      <c r="G72" s="17">
        <v>2500</v>
      </c>
      <c r="H72" s="17">
        <v>2500</v>
      </c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563"/>
    </row>
    <row r="73" spans="1:19">
      <c r="A73" s="74"/>
      <c r="B73" s="75" t="s">
        <v>1855</v>
      </c>
      <c r="C73" s="152"/>
      <c r="D73" s="152"/>
      <c r="E73" s="152"/>
      <c r="F73" s="152"/>
      <c r="G73" s="17"/>
      <c r="H73" s="17">
        <f>531</f>
        <v>531</v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563"/>
    </row>
    <row r="74" spans="1:19" s="145" customFormat="1">
      <c r="A74" s="143" t="s">
        <v>4</v>
      </c>
      <c r="B74" s="144" t="s">
        <v>430</v>
      </c>
      <c r="C74" s="151"/>
      <c r="D74" s="151"/>
      <c r="E74" s="151"/>
      <c r="F74" s="151"/>
      <c r="G74" s="22">
        <f>G75+G76</f>
        <v>10000</v>
      </c>
      <c r="H74" s="22">
        <f>H75+H76</f>
        <v>10000</v>
      </c>
      <c r="I74" s="22">
        <f>K74+M74+Q74</f>
        <v>10000</v>
      </c>
      <c r="J74" s="22">
        <f>L74+N74+R74+P74</f>
        <v>10000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f>G74-K74-M74</f>
        <v>10000</v>
      </c>
      <c r="R74" s="22">
        <f>H74-L74-N74-P74</f>
        <v>10000</v>
      </c>
      <c r="S74" s="569"/>
    </row>
    <row r="75" spans="1:19">
      <c r="A75" s="74"/>
      <c r="B75" s="75" t="s">
        <v>214</v>
      </c>
      <c r="C75" s="152"/>
      <c r="D75" s="152"/>
      <c r="E75" s="152"/>
      <c r="F75" s="152"/>
      <c r="G75" s="17">
        <v>6800</v>
      </c>
      <c r="H75" s="17">
        <v>6800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563"/>
    </row>
    <row r="76" spans="1:19">
      <c r="A76" s="74"/>
      <c r="B76" s="75" t="s">
        <v>398</v>
      </c>
      <c r="C76" s="152"/>
      <c r="D76" s="152"/>
      <c r="E76" s="152"/>
      <c r="F76" s="152"/>
      <c r="G76" s="17">
        <v>3200</v>
      </c>
      <c r="H76" s="17">
        <v>3200</v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563"/>
    </row>
    <row r="77" spans="1:19">
      <c r="A77" s="143" t="s">
        <v>5</v>
      </c>
      <c r="B77" s="144" t="s">
        <v>1753</v>
      </c>
      <c r="C77" s="151"/>
      <c r="D77" s="151"/>
      <c r="E77" s="151"/>
      <c r="F77" s="151"/>
      <c r="G77" s="22">
        <f>G78+G79</f>
        <v>1000</v>
      </c>
      <c r="H77" s="22">
        <f>H78+H79</f>
        <v>1450</v>
      </c>
      <c r="I77" s="22">
        <f>K77+M77+Q77</f>
        <v>1000</v>
      </c>
      <c r="J77" s="22">
        <f>L77+N77+R77+P77</f>
        <v>1450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f>G77-K77-M77</f>
        <v>1000</v>
      </c>
      <c r="R77" s="22">
        <f>H77-L77-N77-P77</f>
        <v>1450</v>
      </c>
      <c r="S77" s="569"/>
    </row>
    <row r="78" spans="1:19">
      <c r="A78" s="143"/>
      <c r="B78" s="75" t="s">
        <v>214</v>
      </c>
      <c r="C78" s="152"/>
      <c r="D78" s="152"/>
      <c r="E78" s="152"/>
      <c r="F78" s="152"/>
      <c r="G78" s="17">
        <v>500</v>
      </c>
      <c r="H78" s="17">
        <f>500+350+100</f>
        <v>950</v>
      </c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563"/>
    </row>
    <row r="79" spans="1:19">
      <c r="A79" s="74"/>
      <c r="B79" s="75" t="s">
        <v>398</v>
      </c>
      <c r="C79" s="152"/>
      <c r="D79" s="152"/>
      <c r="E79" s="152"/>
      <c r="F79" s="152"/>
      <c r="G79" s="17">
        <v>500</v>
      </c>
      <c r="H79" s="17">
        <v>500</v>
      </c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563"/>
    </row>
    <row r="80" spans="1:19">
      <c r="A80" s="143" t="s">
        <v>197</v>
      </c>
      <c r="B80" s="144" t="s">
        <v>1840</v>
      </c>
      <c r="C80" s="151"/>
      <c r="D80" s="151"/>
      <c r="E80" s="151"/>
      <c r="F80" s="151"/>
      <c r="G80" s="22">
        <f>G81+G82</f>
        <v>0</v>
      </c>
      <c r="H80" s="22">
        <f>H81+H82</f>
        <v>9343</v>
      </c>
      <c r="I80" s="22">
        <f>K80+M80+Q80</f>
        <v>0</v>
      </c>
      <c r="J80" s="22">
        <f>L80+N80+R80+P80</f>
        <v>9343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f>8143</f>
        <v>8143</v>
      </c>
      <c r="Q80" s="22">
        <f>G80-K80-M80</f>
        <v>0</v>
      </c>
      <c r="R80" s="22">
        <f>H80-L80-N80-P80</f>
        <v>1200</v>
      </c>
    </row>
    <row r="81" spans="1:18">
      <c r="A81" s="74"/>
      <c r="B81" s="75" t="s">
        <v>130</v>
      </c>
      <c r="C81" s="152"/>
      <c r="D81" s="152"/>
      <c r="E81" s="152"/>
      <c r="F81" s="152"/>
      <c r="G81" s="17"/>
      <c r="H81" s="17">
        <f>1200+8143</f>
        <v>9343</v>
      </c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>
      <c r="A82" s="74"/>
      <c r="B82" s="75" t="s">
        <v>110</v>
      </c>
      <c r="C82" s="152"/>
      <c r="D82" s="152"/>
      <c r="E82" s="152"/>
      <c r="F82" s="152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</row>
  </sheetData>
  <autoFilter ref="A1:R82">
    <filterColumn colId="14"/>
    <filterColumn colId="15"/>
  </autoFilter>
  <mergeCells count="11">
    <mergeCell ref="I3:J3"/>
    <mergeCell ref="I2:R2"/>
    <mergeCell ref="K3:L3"/>
    <mergeCell ref="M3:N3"/>
    <mergeCell ref="Q3:R3"/>
    <mergeCell ref="O3:P3"/>
    <mergeCell ref="A2:A4"/>
    <mergeCell ref="B2:B4"/>
    <mergeCell ref="C2:D3"/>
    <mergeCell ref="E2:F3"/>
    <mergeCell ref="G2:H3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74" pageOrder="overThenDown" orientation="portrait" r:id="rId1"/>
  <headerFooter>
    <oddHeader>&amp;L4/B. melléklet a 20/2014. (VI.30.) önkormányzati rendelethez&amp;C&amp;"-,Félkövér"&amp;16
A Városgondnokság 2014. évi bevételei és kiadásai feladatonként</oddHeader>
    <oddFooter>&amp;C&amp;P</oddFooter>
  </headerFooter>
  <colBreaks count="1" manualBreakCount="1">
    <brk id="8" max="7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D46"/>
  <sheetViews>
    <sheetView view="pageLayout" zoomScaleNormal="100" zoomScaleSheetLayoutView="100" workbookViewId="0">
      <selection activeCell="D18" sqref="D18"/>
    </sheetView>
  </sheetViews>
  <sheetFormatPr defaultRowHeight="15"/>
  <cols>
    <col min="1" max="1" width="7.140625" style="3" customWidth="1"/>
    <col min="2" max="2" width="62.140625" bestFit="1" customWidth="1"/>
    <col min="3" max="4" width="12.5703125" style="26" customWidth="1"/>
    <col min="5" max="5" width="60.7109375" customWidth="1"/>
  </cols>
  <sheetData>
    <row r="1" spans="1:4">
      <c r="C1" s="28"/>
      <c r="D1" s="28" t="s">
        <v>0</v>
      </c>
    </row>
    <row r="2" spans="1:4" ht="15" customHeight="1">
      <c r="A2" s="570" t="s">
        <v>441</v>
      </c>
      <c r="B2" s="570" t="s">
        <v>442</v>
      </c>
      <c r="C2" s="577"/>
      <c r="D2" s="577"/>
    </row>
    <row r="3" spans="1:4">
      <c r="A3" s="570" t="s">
        <v>1801</v>
      </c>
      <c r="B3" s="570" t="s">
        <v>1802</v>
      </c>
      <c r="C3" s="577"/>
      <c r="D3" s="577"/>
    </row>
    <row r="4" spans="1:4" ht="30">
      <c r="A4" s="4" t="s">
        <v>60</v>
      </c>
      <c r="B4" s="5" t="s">
        <v>58</v>
      </c>
      <c r="C4" s="550" t="s">
        <v>437</v>
      </c>
      <c r="D4" s="550" t="s">
        <v>1827</v>
      </c>
    </row>
    <row r="5" spans="1:4">
      <c r="A5" s="572"/>
      <c r="B5" s="573" t="s">
        <v>113</v>
      </c>
      <c r="C5" s="574">
        <v>12.5</v>
      </c>
      <c r="D5" s="574">
        <v>12.5</v>
      </c>
    </row>
    <row r="6" spans="1:4">
      <c r="A6" s="572"/>
      <c r="B6" s="573" t="s">
        <v>114</v>
      </c>
      <c r="C6" s="576"/>
      <c r="D6" s="576"/>
    </row>
    <row r="7" spans="1:4">
      <c r="A7" s="6" t="s">
        <v>1</v>
      </c>
      <c r="B7" s="7" t="s">
        <v>2</v>
      </c>
      <c r="C7" s="14">
        <f>C8+C10+C20</f>
        <v>4996</v>
      </c>
      <c r="D7" s="14">
        <f>D8+D10+D20</f>
        <v>4996</v>
      </c>
    </row>
    <row r="8" spans="1:4">
      <c r="A8" s="8" t="s">
        <v>3</v>
      </c>
      <c r="B8" s="9" t="s">
        <v>7</v>
      </c>
      <c r="C8" s="15">
        <f t="shared" ref="C8:D8" si="0">C9</f>
        <v>0</v>
      </c>
      <c r="D8" s="15">
        <f t="shared" si="0"/>
        <v>0</v>
      </c>
    </row>
    <row r="9" spans="1:4" ht="30">
      <c r="A9" s="10"/>
      <c r="B9" s="11" t="s">
        <v>1513</v>
      </c>
      <c r="C9" s="17"/>
      <c r="D9" s="17"/>
    </row>
    <row r="10" spans="1:4">
      <c r="A10" s="8" t="s">
        <v>3</v>
      </c>
      <c r="B10" s="9" t="s">
        <v>32</v>
      </c>
      <c r="C10" s="15">
        <f>C11+C12+C13+C15+C16+C17+C18+C19</f>
        <v>4996</v>
      </c>
      <c r="D10" s="15">
        <f>D11+D12+D13+D15+D16+D17+D18+D19</f>
        <v>4996</v>
      </c>
    </row>
    <row r="11" spans="1:4">
      <c r="A11" s="10"/>
      <c r="B11" s="11" t="s">
        <v>1516</v>
      </c>
      <c r="C11" s="17"/>
      <c r="D11" s="17"/>
    </row>
    <row r="12" spans="1:4">
      <c r="A12" s="10"/>
      <c r="B12" s="11" t="s">
        <v>115</v>
      </c>
      <c r="C12" s="35">
        <v>0</v>
      </c>
      <c r="D12" s="35">
        <v>0</v>
      </c>
    </row>
    <row r="13" spans="1:4">
      <c r="A13" s="10"/>
      <c r="B13" s="11" t="s">
        <v>431</v>
      </c>
      <c r="C13" s="35">
        <f>C14</f>
        <v>0</v>
      </c>
      <c r="D13" s="35">
        <f>D14</f>
        <v>0</v>
      </c>
    </row>
    <row r="14" spans="1:4">
      <c r="A14" s="10"/>
      <c r="B14" s="394" t="s">
        <v>70</v>
      </c>
      <c r="C14" s="35"/>
      <c r="D14" s="35"/>
    </row>
    <row r="15" spans="1:4">
      <c r="A15" s="10"/>
      <c r="B15" s="11" t="s">
        <v>432</v>
      </c>
      <c r="C15" s="17">
        <v>3934</v>
      </c>
      <c r="D15" s="17">
        <v>3934</v>
      </c>
    </row>
    <row r="16" spans="1:4">
      <c r="A16" s="10"/>
      <c r="B16" s="11" t="s">
        <v>433</v>
      </c>
      <c r="C16" s="17">
        <v>1062</v>
      </c>
      <c r="D16" s="17">
        <v>1062</v>
      </c>
    </row>
    <row r="17" spans="1:4">
      <c r="A17" s="10"/>
      <c r="B17" s="11" t="s">
        <v>434</v>
      </c>
      <c r="C17" s="17"/>
      <c r="D17" s="17"/>
    </row>
    <row r="18" spans="1:4">
      <c r="A18" s="10"/>
      <c r="B18" s="11" t="s">
        <v>435</v>
      </c>
      <c r="C18" s="17"/>
      <c r="D18" s="17"/>
    </row>
    <row r="19" spans="1:4">
      <c r="A19" s="10"/>
      <c r="B19" s="11" t="s">
        <v>436</v>
      </c>
      <c r="C19" s="17"/>
      <c r="D19" s="17"/>
    </row>
    <row r="20" spans="1:4">
      <c r="A20" s="8" t="s">
        <v>5</v>
      </c>
      <c r="B20" s="9" t="s">
        <v>41</v>
      </c>
      <c r="C20" s="15">
        <f>SUM(C21:C21)</f>
        <v>0</v>
      </c>
      <c r="D20" s="15">
        <f>SUM(D21:D21)</f>
        <v>0</v>
      </c>
    </row>
    <row r="21" spans="1:4">
      <c r="A21" s="10"/>
      <c r="B21" s="11" t="s">
        <v>95</v>
      </c>
      <c r="C21" s="17"/>
      <c r="D21" s="17"/>
    </row>
    <row r="22" spans="1:4">
      <c r="A22" s="6" t="s">
        <v>13</v>
      </c>
      <c r="B22" s="7" t="s">
        <v>14</v>
      </c>
      <c r="C22" s="14">
        <f>C23+C25+C28</f>
        <v>0</v>
      </c>
      <c r="D22" s="14">
        <f>D23+D25+D28</f>
        <v>0</v>
      </c>
    </row>
    <row r="23" spans="1:4">
      <c r="A23" s="8" t="s">
        <v>3</v>
      </c>
      <c r="B23" s="9" t="s">
        <v>18</v>
      </c>
      <c r="C23" s="15">
        <f>SUM(C24:C24)</f>
        <v>0</v>
      </c>
      <c r="D23" s="15">
        <f>SUM(D24:D24)</f>
        <v>0</v>
      </c>
    </row>
    <row r="24" spans="1:4" ht="30">
      <c r="A24" s="10"/>
      <c r="B24" s="447" t="s">
        <v>1515</v>
      </c>
      <c r="C24" s="17"/>
      <c r="D24" s="17"/>
    </row>
    <row r="25" spans="1:4">
      <c r="A25" s="8" t="s">
        <v>4</v>
      </c>
      <c r="B25" s="9" t="s">
        <v>40</v>
      </c>
      <c r="C25" s="15">
        <f>SUM(C26:C27)</f>
        <v>0</v>
      </c>
      <c r="D25" s="15">
        <f>SUM(D26:D27)</f>
        <v>0</v>
      </c>
    </row>
    <row r="26" spans="1:4">
      <c r="A26" s="10"/>
      <c r="B26" s="13" t="s">
        <v>62</v>
      </c>
      <c r="C26" s="17"/>
      <c r="D26" s="17"/>
    </row>
    <row r="27" spans="1:4">
      <c r="A27" s="10"/>
      <c r="B27" s="13" t="s">
        <v>96</v>
      </c>
      <c r="C27" s="17"/>
      <c r="D27" s="17"/>
    </row>
    <row r="28" spans="1:4">
      <c r="A28" s="8" t="s">
        <v>5</v>
      </c>
      <c r="B28" s="9" t="s">
        <v>43</v>
      </c>
      <c r="C28" s="15">
        <f>SUM(C29:C29)</f>
        <v>0</v>
      </c>
      <c r="D28" s="15">
        <f>SUM(D29:D29)</f>
        <v>0</v>
      </c>
    </row>
    <row r="29" spans="1:4">
      <c r="A29" s="10"/>
      <c r="B29" s="13" t="s">
        <v>97</v>
      </c>
      <c r="C29" s="17"/>
      <c r="D29" s="17"/>
    </row>
    <row r="30" spans="1:4">
      <c r="A30" s="5"/>
      <c r="B30" s="29" t="s">
        <v>100</v>
      </c>
      <c r="C30" s="19">
        <f>C22+C7</f>
        <v>4996</v>
      </c>
      <c r="D30" s="19">
        <f>D22+D7</f>
        <v>4996</v>
      </c>
    </row>
    <row r="31" spans="1:4">
      <c r="A31" s="6" t="s">
        <v>44</v>
      </c>
      <c r="B31" s="7" t="s">
        <v>45</v>
      </c>
      <c r="C31" s="14">
        <f t="shared" ref="C31:D31" si="1">C32</f>
        <v>58371</v>
      </c>
      <c r="D31" s="14">
        <f t="shared" si="1"/>
        <v>59212</v>
      </c>
    </row>
    <row r="32" spans="1:4">
      <c r="A32" s="8" t="s">
        <v>3</v>
      </c>
      <c r="B32" s="9" t="s">
        <v>46</v>
      </c>
      <c r="C32" s="15">
        <f>SUM(C33:C34)</f>
        <v>58371</v>
      </c>
      <c r="D32" s="15">
        <f>SUM(D33:D34)</f>
        <v>59212</v>
      </c>
    </row>
    <row r="33" spans="1:4">
      <c r="A33" s="10"/>
      <c r="B33" s="13" t="s">
        <v>98</v>
      </c>
      <c r="C33" s="17"/>
      <c r="D33" s="586">
        <f>'5G GSZNR fel'!P6</f>
        <v>92</v>
      </c>
    </row>
    <row r="34" spans="1:4">
      <c r="A34" s="10"/>
      <c r="B34" s="13" t="s">
        <v>99</v>
      </c>
      <c r="C34" s="17">
        <f>C36+C42-C7-C22-C33</f>
        <v>58371</v>
      </c>
      <c r="D34" s="586">
        <f>D36+D42-D7-D22-D33</f>
        <v>59120</v>
      </c>
    </row>
    <row r="35" spans="1:4">
      <c r="A35" s="31"/>
      <c r="B35" s="32" t="s">
        <v>56</v>
      </c>
      <c r="C35" s="33">
        <f>C31+C22+C7</f>
        <v>63367</v>
      </c>
      <c r="D35" s="33">
        <f>D31+D22+D7</f>
        <v>64208</v>
      </c>
    </row>
    <row r="36" spans="1:4">
      <c r="A36" s="6" t="s">
        <v>1</v>
      </c>
      <c r="B36" s="7" t="s">
        <v>101</v>
      </c>
      <c r="C36" s="14">
        <f t="shared" ref="C36:D36" si="2">SUM(C37:C41)</f>
        <v>62867</v>
      </c>
      <c r="D36" s="14">
        <f t="shared" si="2"/>
        <v>62958</v>
      </c>
    </row>
    <row r="37" spans="1:4">
      <c r="A37" s="8" t="s">
        <v>3</v>
      </c>
      <c r="B37" s="9" t="s">
        <v>102</v>
      </c>
      <c r="C37" s="15">
        <f>ROUND(Walla!C54,0)</f>
        <v>38702</v>
      </c>
      <c r="D37" s="15">
        <f>38702+72</f>
        <v>38774</v>
      </c>
    </row>
    <row r="38" spans="1:4">
      <c r="A38" s="8" t="s">
        <v>4</v>
      </c>
      <c r="B38" s="9" t="s">
        <v>103</v>
      </c>
      <c r="C38" s="15">
        <f>Walla!C63</f>
        <v>10425</v>
      </c>
      <c r="D38" s="15">
        <f>10425+19</f>
        <v>10444</v>
      </c>
    </row>
    <row r="39" spans="1:4">
      <c r="A39" s="8" t="s">
        <v>5</v>
      </c>
      <c r="B39" s="9" t="s">
        <v>104</v>
      </c>
      <c r="C39" s="15">
        <f>Walla!C142</f>
        <v>13740</v>
      </c>
      <c r="D39" s="15">
        <v>13740</v>
      </c>
    </row>
    <row r="40" spans="1:4">
      <c r="A40" s="8" t="s">
        <v>6</v>
      </c>
      <c r="B40" s="9" t="s">
        <v>105</v>
      </c>
      <c r="C40" s="15"/>
      <c r="D40" s="15"/>
    </row>
    <row r="41" spans="1:4">
      <c r="A41" s="8" t="s">
        <v>106</v>
      </c>
      <c r="B41" s="9" t="s">
        <v>107</v>
      </c>
      <c r="C41" s="15"/>
      <c r="D41" s="15"/>
    </row>
    <row r="42" spans="1:4">
      <c r="A42" s="6" t="s">
        <v>13</v>
      </c>
      <c r="B42" s="7" t="s">
        <v>108</v>
      </c>
      <c r="C42" s="14">
        <f t="shared" ref="C42:D42" si="3">SUM(C43:C45)</f>
        <v>500</v>
      </c>
      <c r="D42" s="14">
        <f t="shared" si="3"/>
        <v>1250</v>
      </c>
    </row>
    <row r="43" spans="1:4">
      <c r="A43" s="8" t="s">
        <v>3</v>
      </c>
      <c r="B43" s="9" t="s">
        <v>109</v>
      </c>
      <c r="C43" s="15">
        <f>Walla!C148</f>
        <v>500</v>
      </c>
      <c r="D43" s="15">
        <f>500+750</f>
        <v>1250</v>
      </c>
    </row>
    <row r="44" spans="1:4">
      <c r="A44" s="8" t="s">
        <v>4</v>
      </c>
      <c r="B44" s="9" t="s">
        <v>110</v>
      </c>
      <c r="C44" s="15"/>
      <c r="D44" s="15"/>
    </row>
    <row r="45" spans="1:4">
      <c r="A45" s="8" t="s">
        <v>5</v>
      </c>
      <c r="B45" s="9" t="s">
        <v>111</v>
      </c>
      <c r="C45" s="15"/>
      <c r="D45" s="15"/>
    </row>
    <row r="46" spans="1:4">
      <c r="A46" s="31"/>
      <c r="B46" s="32" t="s">
        <v>112</v>
      </c>
      <c r="C46" s="33">
        <f t="shared" ref="C46:D46" si="4">C36+C42</f>
        <v>63367</v>
      </c>
      <c r="D46" s="33">
        <f t="shared" si="4"/>
        <v>64208</v>
      </c>
    </row>
  </sheetData>
  <printOptions horizontalCentered="1"/>
  <pageMargins left="0.70866141732283472" right="0.70866141732283472" top="1.2083333333333333" bottom="0.74803149606299213" header="0.31496062992125984" footer="0.31496062992125984"/>
  <pageSetup paperSize="9" scale="89" orientation="portrait" r:id="rId1"/>
  <headerFooter>
    <oddHeader>&amp;L5/A. melléklet a 20/2014. (VI.30.) önkormányzati rendelethez&amp;C&amp;"-,Félkövér"&amp;16
A Walla József Óvoda 2014. évi bevételei forrásonként, kiadásai jogcímenként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D46"/>
  <sheetViews>
    <sheetView view="pageLayout" zoomScaleNormal="100" zoomScaleSheetLayoutView="100" workbookViewId="0">
      <selection activeCell="D10" sqref="D10"/>
    </sheetView>
  </sheetViews>
  <sheetFormatPr defaultRowHeight="15"/>
  <cols>
    <col min="1" max="1" width="7.140625" style="3" customWidth="1"/>
    <col min="2" max="2" width="62.140625" bestFit="1" customWidth="1"/>
    <col min="3" max="4" width="12.5703125" style="26" customWidth="1"/>
    <col min="5" max="5" width="60.7109375" customWidth="1"/>
  </cols>
  <sheetData>
    <row r="1" spans="1:4">
      <c r="C1" s="28"/>
      <c r="D1" s="28" t="s">
        <v>0</v>
      </c>
    </row>
    <row r="2" spans="1:4" ht="15" customHeight="1">
      <c r="A2" s="570" t="s">
        <v>441</v>
      </c>
      <c r="B2" s="570" t="s">
        <v>442</v>
      </c>
      <c r="C2" s="577"/>
      <c r="D2" s="577"/>
    </row>
    <row r="3" spans="1:4">
      <c r="A3" s="570" t="s">
        <v>1801</v>
      </c>
      <c r="B3" s="570" t="s">
        <v>1803</v>
      </c>
      <c r="C3" s="577"/>
      <c r="D3" s="577"/>
    </row>
    <row r="4" spans="1:4" ht="30">
      <c r="A4" s="4" t="s">
        <v>60</v>
      </c>
      <c r="B4" s="5" t="s">
        <v>58</v>
      </c>
      <c r="C4" s="550" t="s">
        <v>437</v>
      </c>
      <c r="D4" s="550" t="s">
        <v>1827</v>
      </c>
    </row>
    <row r="5" spans="1:4">
      <c r="A5" s="572"/>
      <c r="B5" s="573" t="s">
        <v>113</v>
      </c>
      <c r="C5" s="574">
        <v>31</v>
      </c>
      <c r="D5" s="574">
        <v>31</v>
      </c>
    </row>
    <row r="6" spans="1:4">
      <c r="A6" s="572"/>
      <c r="B6" s="573" t="s">
        <v>114</v>
      </c>
      <c r="C6" s="576"/>
      <c r="D6" s="576"/>
    </row>
    <row r="7" spans="1:4">
      <c r="A7" s="6" t="s">
        <v>1</v>
      </c>
      <c r="B7" s="7" t="s">
        <v>2</v>
      </c>
      <c r="C7" s="14">
        <f>C8+C10+C20</f>
        <v>7552</v>
      </c>
      <c r="D7" s="14">
        <f>D8+D10+D20</f>
        <v>7552</v>
      </c>
    </row>
    <row r="8" spans="1:4">
      <c r="A8" s="8" t="s">
        <v>3</v>
      </c>
      <c r="B8" s="9" t="s">
        <v>7</v>
      </c>
      <c r="C8" s="15">
        <f t="shared" ref="C8:D8" si="0">C9</f>
        <v>0</v>
      </c>
      <c r="D8" s="15">
        <f t="shared" si="0"/>
        <v>0</v>
      </c>
    </row>
    <row r="9" spans="1:4" ht="30">
      <c r="A9" s="10"/>
      <c r="B9" s="11" t="s">
        <v>1513</v>
      </c>
      <c r="C9" s="17"/>
      <c r="D9" s="17"/>
    </row>
    <row r="10" spans="1:4">
      <c r="A10" s="8" t="s">
        <v>3</v>
      </c>
      <c r="B10" s="9" t="s">
        <v>32</v>
      </c>
      <c r="C10" s="15">
        <f>C11+C12+C13+C15+C16+C17+C18+C19</f>
        <v>7552</v>
      </c>
      <c r="D10" s="15">
        <f>D11+D12+D13+D15+D16+D17+D18+D19</f>
        <v>7552</v>
      </c>
    </row>
    <row r="11" spans="1:4">
      <c r="A11" s="10"/>
      <c r="B11" s="11" t="s">
        <v>1516</v>
      </c>
      <c r="C11" s="17"/>
      <c r="D11" s="17"/>
    </row>
    <row r="12" spans="1:4">
      <c r="A12" s="10"/>
      <c r="B12" s="11" t="s">
        <v>115</v>
      </c>
      <c r="C12" s="35">
        <v>0</v>
      </c>
      <c r="D12" s="35">
        <v>0</v>
      </c>
    </row>
    <row r="13" spans="1:4">
      <c r="A13" s="10"/>
      <c r="B13" s="11" t="s">
        <v>431</v>
      </c>
      <c r="C13" s="35">
        <f>C14</f>
        <v>0</v>
      </c>
      <c r="D13" s="35">
        <f>D14</f>
        <v>0</v>
      </c>
    </row>
    <row r="14" spans="1:4">
      <c r="A14" s="10"/>
      <c r="B14" s="394" t="s">
        <v>70</v>
      </c>
      <c r="C14" s="35"/>
      <c r="D14" s="35"/>
    </row>
    <row r="15" spans="1:4">
      <c r="A15" s="10"/>
      <c r="B15" s="11" t="s">
        <v>432</v>
      </c>
      <c r="C15" s="17">
        <v>5946</v>
      </c>
      <c r="D15" s="17">
        <v>5946</v>
      </c>
    </row>
    <row r="16" spans="1:4">
      <c r="A16" s="10"/>
      <c r="B16" s="11" t="s">
        <v>433</v>
      </c>
      <c r="C16" s="17">
        <v>1606</v>
      </c>
      <c r="D16" s="17">
        <v>1606</v>
      </c>
    </row>
    <row r="17" spans="1:4">
      <c r="A17" s="10"/>
      <c r="B17" s="11" t="s">
        <v>434</v>
      </c>
      <c r="C17" s="17"/>
      <c r="D17" s="17"/>
    </row>
    <row r="18" spans="1:4">
      <c r="A18" s="10"/>
      <c r="B18" s="11" t="s">
        <v>435</v>
      </c>
      <c r="C18" s="17"/>
      <c r="D18" s="17"/>
    </row>
    <row r="19" spans="1:4">
      <c r="A19" s="10"/>
      <c r="B19" s="11" t="s">
        <v>436</v>
      </c>
      <c r="C19" s="17"/>
      <c r="D19" s="17"/>
    </row>
    <row r="20" spans="1:4">
      <c r="A20" s="8" t="s">
        <v>5</v>
      </c>
      <c r="B20" s="9" t="s">
        <v>41</v>
      </c>
      <c r="C20" s="15">
        <f>SUM(C21:C21)</f>
        <v>0</v>
      </c>
      <c r="D20" s="15">
        <f>SUM(D21:D21)</f>
        <v>0</v>
      </c>
    </row>
    <row r="21" spans="1:4">
      <c r="A21" s="10"/>
      <c r="B21" s="11" t="s">
        <v>95</v>
      </c>
      <c r="C21" s="17"/>
      <c r="D21" s="17"/>
    </row>
    <row r="22" spans="1:4">
      <c r="A22" s="6" t="s">
        <v>13</v>
      </c>
      <c r="B22" s="7" t="s">
        <v>14</v>
      </c>
      <c r="C22" s="14">
        <f>C23+C25+C28</f>
        <v>0</v>
      </c>
      <c r="D22" s="14">
        <f>D23+D25+D28</f>
        <v>0</v>
      </c>
    </row>
    <row r="23" spans="1:4">
      <c r="A23" s="8" t="s">
        <v>3</v>
      </c>
      <c r="B23" s="9" t="s">
        <v>18</v>
      </c>
      <c r="C23" s="15">
        <f>SUM(C24:C24)</f>
        <v>0</v>
      </c>
      <c r="D23" s="15">
        <f>SUM(D24:D24)</f>
        <v>0</v>
      </c>
    </row>
    <row r="24" spans="1:4" ht="30">
      <c r="A24" s="10"/>
      <c r="B24" s="447" t="s">
        <v>1515</v>
      </c>
      <c r="C24" s="17"/>
      <c r="D24" s="17"/>
    </row>
    <row r="25" spans="1:4">
      <c r="A25" s="8" t="s">
        <v>4</v>
      </c>
      <c r="B25" s="9" t="s">
        <v>40</v>
      </c>
      <c r="C25" s="15">
        <f>SUM(C26:C27)</f>
        <v>0</v>
      </c>
      <c r="D25" s="15">
        <f>SUM(D26:D27)</f>
        <v>0</v>
      </c>
    </row>
    <row r="26" spans="1:4">
      <c r="A26" s="10"/>
      <c r="B26" s="13" t="s">
        <v>62</v>
      </c>
      <c r="C26" s="17"/>
      <c r="D26" s="17"/>
    </row>
    <row r="27" spans="1:4">
      <c r="A27" s="10"/>
      <c r="B27" s="13" t="s">
        <v>96</v>
      </c>
      <c r="C27" s="17"/>
      <c r="D27" s="17"/>
    </row>
    <row r="28" spans="1:4">
      <c r="A28" s="8" t="s">
        <v>5</v>
      </c>
      <c r="B28" s="9" t="s">
        <v>43</v>
      </c>
      <c r="C28" s="15">
        <f>SUM(C29:C29)</f>
        <v>0</v>
      </c>
      <c r="D28" s="15">
        <f>SUM(D29:D29)</f>
        <v>0</v>
      </c>
    </row>
    <row r="29" spans="1:4">
      <c r="A29" s="10"/>
      <c r="B29" s="13" t="s">
        <v>97</v>
      </c>
      <c r="C29" s="17"/>
      <c r="D29" s="17"/>
    </row>
    <row r="30" spans="1:4">
      <c r="A30" s="5"/>
      <c r="B30" s="29" t="s">
        <v>100</v>
      </c>
      <c r="C30" s="19">
        <f>C22+C7</f>
        <v>7552</v>
      </c>
      <c r="D30" s="19">
        <f>D22+D7</f>
        <v>7552</v>
      </c>
    </row>
    <row r="31" spans="1:4">
      <c r="A31" s="6" t="s">
        <v>44</v>
      </c>
      <c r="B31" s="7" t="s">
        <v>45</v>
      </c>
      <c r="C31" s="14">
        <f t="shared" ref="C31:D31" si="1">C32</f>
        <v>135276</v>
      </c>
      <c r="D31" s="14">
        <f t="shared" si="1"/>
        <v>136417</v>
      </c>
    </row>
    <row r="32" spans="1:4">
      <c r="A32" s="8" t="s">
        <v>3</v>
      </c>
      <c r="B32" s="9" t="s">
        <v>46</v>
      </c>
      <c r="C32" s="15">
        <f>SUM(C33:C34)</f>
        <v>135276</v>
      </c>
      <c r="D32" s="15">
        <f>SUM(D33:D34)</f>
        <v>136417</v>
      </c>
    </row>
    <row r="33" spans="1:4">
      <c r="A33" s="10"/>
      <c r="B33" s="13" t="s">
        <v>98</v>
      </c>
      <c r="C33" s="17"/>
      <c r="D33" s="586">
        <f>'5G GSZNR fel'!P19</f>
        <v>922</v>
      </c>
    </row>
    <row r="34" spans="1:4">
      <c r="A34" s="10"/>
      <c r="B34" s="13" t="s">
        <v>99</v>
      </c>
      <c r="C34" s="17">
        <f>C36+C42-C7-C22-C33</f>
        <v>135276</v>
      </c>
      <c r="D34" s="17">
        <f>D36+D42-D7-D22-D33</f>
        <v>135495</v>
      </c>
    </row>
    <row r="35" spans="1:4">
      <c r="A35" s="31"/>
      <c r="B35" s="32" t="s">
        <v>56</v>
      </c>
      <c r="C35" s="33">
        <f>C31+C22+C7</f>
        <v>142828</v>
      </c>
      <c r="D35" s="33">
        <f>D31+D22+D7</f>
        <v>143969</v>
      </c>
    </row>
    <row r="36" spans="1:4">
      <c r="A36" s="6" t="s">
        <v>1</v>
      </c>
      <c r="B36" s="7" t="s">
        <v>101</v>
      </c>
      <c r="C36" s="14">
        <f t="shared" ref="C36:D36" si="2">SUM(C37:C41)</f>
        <v>142140</v>
      </c>
      <c r="D36" s="14">
        <f t="shared" si="2"/>
        <v>143281</v>
      </c>
    </row>
    <row r="37" spans="1:4">
      <c r="A37" s="8" t="s">
        <v>3</v>
      </c>
      <c r="B37" s="9" t="s">
        <v>102</v>
      </c>
      <c r="C37" s="15">
        <f>Nyitnikék!D54</f>
        <v>81960</v>
      </c>
      <c r="D37" s="15">
        <f>81960+172</f>
        <v>82132</v>
      </c>
    </row>
    <row r="38" spans="1:4">
      <c r="A38" s="8" t="s">
        <v>4</v>
      </c>
      <c r="B38" s="9" t="s">
        <v>103</v>
      </c>
      <c r="C38" s="15">
        <f>Nyitnikék!D63</f>
        <v>24073</v>
      </c>
      <c r="D38" s="15">
        <f>24073+47</f>
        <v>24120</v>
      </c>
    </row>
    <row r="39" spans="1:4">
      <c r="A39" s="8" t="s">
        <v>5</v>
      </c>
      <c r="B39" s="9" t="s">
        <v>104</v>
      </c>
      <c r="C39" s="15">
        <f>Nyitnikék!D142</f>
        <v>36107</v>
      </c>
      <c r="D39" s="15">
        <v>36107</v>
      </c>
    </row>
    <row r="40" spans="1:4">
      <c r="A40" s="8" t="s">
        <v>6</v>
      </c>
      <c r="B40" s="9" t="s">
        <v>105</v>
      </c>
      <c r="C40" s="15"/>
      <c r="D40" s="15"/>
    </row>
    <row r="41" spans="1:4">
      <c r="A41" s="8" t="s">
        <v>106</v>
      </c>
      <c r="B41" s="9" t="s">
        <v>107</v>
      </c>
      <c r="C41" s="15"/>
      <c r="D41" s="594">
        <f>'5G GSZNR fel'!H25</f>
        <v>922</v>
      </c>
    </row>
    <row r="42" spans="1:4">
      <c r="A42" s="6" t="s">
        <v>13</v>
      </c>
      <c r="B42" s="7" t="s">
        <v>108</v>
      </c>
      <c r="C42" s="14">
        <f t="shared" ref="C42:D42" si="3">SUM(C43:C45)</f>
        <v>688</v>
      </c>
      <c r="D42" s="14">
        <f t="shared" si="3"/>
        <v>688</v>
      </c>
    </row>
    <row r="43" spans="1:4">
      <c r="A43" s="8" t="s">
        <v>3</v>
      </c>
      <c r="B43" s="9" t="s">
        <v>109</v>
      </c>
      <c r="C43" s="15">
        <f>Nyitnikék!D148</f>
        <v>688</v>
      </c>
      <c r="D43" s="15">
        <v>688</v>
      </c>
    </row>
    <row r="44" spans="1:4">
      <c r="A44" s="8" t="s">
        <v>4</v>
      </c>
      <c r="B44" s="9" t="s">
        <v>110</v>
      </c>
      <c r="C44" s="15"/>
      <c r="D44" s="15"/>
    </row>
    <row r="45" spans="1:4">
      <c r="A45" s="8" t="s">
        <v>5</v>
      </c>
      <c r="B45" s="9" t="s">
        <v>111</v>
      </c>
      <c r="C45" s="15"/>
      <c r="D45" s="15"/>
    </row>
    <row r="46" spans="1:4">
      <c r="A46" s="31"/>
      <c r="B46" s="32" t="s">
        <v>112</v>
      </c>
      <c r="C46" s="33">
        <f t="shared" ref="C46:D46" si="4">C36+C42</f>
        <v>142828</v>
      </c>
      <c r="D46" s="33">
        <f t="shared" si="4"/>
        <v>143969</v>
      </c>
    </row>
  </sheetData>
  <printOptions horizontalCentered="1"/>
  <pageMargins left="0.70866141732283472" right="0.70866141732283472" top="1.2083333333333333" bottom="0.74803149606299213" header="0.31496062992125984" footer="0.31496062992125984"/>
  <pageSetup paperSize="9" scale="89" orientation="portrait" r:id="rId1"/>
  <headerFooter>
    <oddHeader>&amp;L5/B. melléklet a 20/2014. (VI.30.) önkormányzati rendelethez&amp;C&amp;"-,Félkövér"&amp;16
A Törökbálinti Nyitnikék Óvoda 2014. évi bevételei forrásonként, kiadásai jogcímenként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D46"/>
  <sheetViews>
    <sheetView view="pageLayout" zoomScaleNormal="100" zoomScaleSheetLayoutView="100" workbookViewId="0">
      <selection activeCell="E45" sqref="E45"/>
    </sheetView>
  </sheetViews>
  <sheetFormatPr defaultRowHeight="15"/>
  <cols>
    <col min="1" max="1" width="7.140625" style="3" customWidth="1"/>
    <col min="2" max="2" width="62.140625" bestFit="1" customWidth="1"/>
    <col min="3" max="4" width="12.5703125" style="26" customWidth="1"/>
    <col min="5" max="5" width="60.7109375" customWidth="1"/>
  </cols>
  <sheetData>
    <row r="1" spans="1:4">
      <c r="C1" s="28"/>
      <c r="D1" s="28" t="s">
        <v>0</v>
      </c>
    </row>
    <row r="2" spans="1:4" ht="15" customHeight="1">
      <c r="A2" s="570" t="s">
        <v>441</v>
      </c>
      <c r="B2" s="570" t="s">
        <v>442</v>
      </c>
      <c r="C2" s="577"/>
      <c r="D2" s="577"/>
    </row>
    <row r="3" spans="1:4">
      <c r="A3" s="570" t="s">
        <v>1801</v>
      </c>
      <c r="B3" s="570" t="s">
        <v>1804</v>
      </c>
      <c r="C3" s="577"/>
      <c r="D3" s="577"/>
    </row>
    <row r="4" spans="1:4" ht="30">
      <c r="A4" s="4" t="s">
        <v>60</v>
      </c>
      <c r="B4" s="5" t="s">
        <v>58</v>
      </c>
      <c r="C4" s="550" t="s">
        <v>437</v>
      </c>
      <c r="D4" s="561" t="s">
        <v>1827</v>
      </c>
    </row>
    <row r="5" spans="1:4">
      <c r="A5" s="572"/>
      <c r="B5" s="573" t="s">
        <v>113</v>
      </c>
      <c r="C5" s="574">
        <v>56</v>
      </c>
      <c r="D5" s="574">
        <v>56</v>
      </c>
    </row>
    <row r="6" spans="1:4">
      <c r="A6" s="572"/>
      <c r="B6" s="573" t="s">
        <v>114</v>
      </c>
      <c r="C6" s="576"/>
      <c r="D6" s="576"/>
    </row>
    <row r="7" spans="1:4">
      <c r="A7" s="6" t="s">
        <v>1</v>
      </c>
      <c r="B7" s="7" t="s">
        <v>2</v>
      </c>
      <c r="C7" s="14">
        <f>C8+C10+C20</f>
        <v>12500</v>
      </c>
      <c r="D7" s="14">
        <f>D8+D10+D20</f>
        <v>12500</v>
      </c>
    </row>
    <row r="8" spans="1:4">
      <c r="A8" s="8" t="s">
        <v>3</v>
      </c>
      <c r="B8" s="9" t="s">
        <v>7</v>
      </c>
      <c r="C8" s="15">
        <f t="shared" ref="C8:D8" si="0">C9</f>
        <v>0</v>
      </c>
      <c r="D8" s="15">
        <f t="shared" si="0"/>
        <v>0</v>
      </c>
    </row>
    <row r="9" spans="1:4" ht="30">
      <c r="A9" s="10"/>
      <c r="B9" s="11" t="s">
        <v>1513</v>
      </c>
      <c r="C9" s="17"/>
      <c r="D9" s="17"/>
    </row>
    <row r="10" spans="1:4">
      <c r="A10" s="8" t="s">
        <v>3</v>
      </c>
      <c r="B10" s="9" t="s">
        <v>32</v>
      </c>
      <c r="C10" s="15">
        <f>C11+C12+C13+C15+C16+C17+C18+C19</f>
        <v>12500</v>
      </c>
      <c r="D10" s="15">
        <f>D11+D12+D13+D15+D16+D17+D18+D19</f>
        <v>12500</v>
      </c>
    </row>
    <row r="11" spans="1:4">
      <c r="A11" s="10"/>
      <c r="B11" s="11" t="s">
        <v>1516</v>
      </c>
      <c r="C11" s="17"/>
      <c r="D11" s="17"/>
    </row>
    <row r="12" spans="1:4">
      <c r="A12" s="10"/>
      <c r="B12" s="11" t="s">
        <v>115</v>
      </c>
      <c r="C12" s="35">
        <v>0</v>
      </c>
      <c r="D12" s="35">
        <v>0</v>
      </c>
    </row>
    <row r="13" spans="1:4">
      <c r="A13" s="10"/>
      <c r="B13" s="11" t="s">
        <v>431</v>
      </c>
      <c r="C13" s="35">
        <f>C14</f>
        <v>0</v>
      </c>
      <c r="D13" s="35">
        <f>D14</f>
        <v>0</v>
      </c>
    </row>
    <row r="14" spans="1:4">
      <c r="A14" s="10"/>
      <c r="B14" s="394" t="s">
        <v>70</v>
      </c>
      <c r="C14" s="35"/>
      <c r="D14" s="35"/>
    </row>
    <row r="15" spans="1:4">
      <c r="A15" s="10"/>
      <c r="B15" s="11" t="s">
        <v>432</v>
      </c>
      <c r="C15" s="17">
        <v>9843</v>
      </c>
      <c r="D15" s="17">
        <v>9843</v>
      </c>
    </row>
    <row r="16" spans="1:4">
      <c r="A16" s="10"/>
      <c r="B16" s="11" t="s">
        <v>433</v>
      </c>
      <c r="C16" s="17">
        <v>2657</v>
      </c>
      <c r="D16" s="17">
        <v>2657</v>
      </c>
    </row>
    <row r="17" spans="1:4">
      <c r="A17" s="10"/>
      <c r="B17" s="11" t="s">
        <v>434</v>
      </c>
      <c r="C17" s="17"/>
      <c r="D17" s="17"/>
    </row>
    <row r="18" spans="1:4">
      <c r="A18" s="10"/>
      <c r="B18" s="11" t="s">
        <v>435</v>
      </c>
      <c r="C18" s="17"/>
      <c r="D18" s="17"/>
    </row>
    <row r="19" spans="1:4">
      <c r="A19" s="10"/>
      <c r="B19" s="11" t="s">
        <v>436</v>
      </c>
      <c r="C19" s="17"/>
      <c r="D19" s="17"/>
    </row>
    <row r="20" spans="1:4">
      <c r="A20" s="8" t="s">
        <v>5</v>
      </c>
      <c r="B20" s="9" t="s">
        <v>41</v>
      </c>
      <c r="C20" s="15">
        <f>SUM(C21:C21)</f>
        <v>0</v>
      </c>
      <c r="D20" s="15">
        <f>SUM(D21:D21)</f>
        <v>0</v>
      </c>
    </row>
    <row r="21" spans="1:4">
      <c r="A21" s="10"/>
      <c r="B21" s="11" t="s">
        <v>95</v>
      </c>
      <c r="C21" s="17"/>
      <c r="D21" s="17"/>
    </row>
    <row r="22" spans="1:4">
      <c r="A22" s="6" t="s">
        <v>13</v>
      </c>
      <c r="B22" s="7" t="s">
        <v>14</v>
      </c>
      <c r="C22" s="14">
        <f>C23+C25+C28</f>
        <v>0</v>
      </c>
      <c r="D22" s="14">
        <f>D23+D25+D28</f>
        <v>0</v>
      </c>
    </row>
    <row r="23" spans="1:4">
      <c r="A23" s="8" t="s">
        <v>3</v>
      </c>
      <c r="B23" s="9" t="s">
        <v>18</v>
      </c>
      <c r="C23" s="15">
        <f>SUM(C24:C24)</f>
        <v>0</v>
      </c>
      <c r="D23" s="15">
        <f>SUM(D24:D24)</f>
        <v>0</v>
      </c>
    </row>
    <row r="24" spans="1:4" ht="30">
      <c r="A24" s="10"/>
      <c r="B24" s="447" t="s">
        <v>1515</v>
      </c>
      <c r="C24" s="17"/>
      <c r="D24" s="17"/>
    </row>
    <row r="25" spans="1:4">
      <c r="A25" s="8" t="s">
        <v>4</v>
      </c>
      <c r="B25" s="9" t="s">
        <v>40</v>
      </c>
      <c r="C25" s="15">
        <f>SUM(C26:C27)</f>
        <v>0</v>
      </c>
      <c r="D25" s="15">
        <f>SUM(D26:D27)</f>
        <v>0</v>
      </c>
    </row>
    <row r="26" spans="1:4">
      <c r="A26" s="10"/>
      <c r="B26" s="13" t="s">
        <v>62</v>
      </c>
      <c r="C26" s="17"/>
      <c r="D26" s="17"/>
    </row>
    <row r="27" spans="1:4">
      <c r="A27" s="10"/>
      <c r="B27" s="13" t="s">
        <v>96</v>
      </c>
      <c r="C27" s="17"/>
      <c r="D27" s="17"/>
    </row>
    <row r="28" spans="1:4">
      <c r="A28" s="8" t="s">
        <v>5</v>
      </c>
      <c r="B28" s="9" t="s">
        <v>43</v>
      </c>
      <c r="C28" s="15">
        <f>SUM(C29:C29)</f>
        <v>0</v>
      </c>
      <c r="D28" s="15">
        <f>SUM(D29:D29)</f>
        <v>0</v>
      </c>
    </row>
    <row r="29" spans="1:4">
      <c r="A29" s="10"/>
      <c r="B29" s="13" t="s">
        <v>97</v>
      </c>
      <c r="C29" s="17"/>
      <c r="D29" s="17"/>
    </row>
    <row r="30" spans="1:4">
      <c r="A30" s="5"/>
      <c r="B30" s="29" t="s">
        <v>100</v>
      </c>
      <c r="C30" s="19">
        <f>C22+C7</f>
        <v>12500</v>
      </c>
      <c r="D30" s="19">
        <f>D22+D7</f>
        <v>12500</v>
      </c>
    </row>
    <row r="31" spans="1:4">
      <c r="A31" s="6" t="s">
        <v>44</v>
      </c>
      <c r="B31" s="7" t="s">
        <v>45</v>
      </c>
      <c r="C31" s="14">
        <f t="shared" ref="C31:D31" si="1">C32</f>
        <v>247526</v>
      </c>
      <c r="D31" s="14">
        <f t="shared" si="1"/>
        <v>249727</v>
      </c>
    </row>
    <row r="32" spans="1:4">
      <c r="A32" s="8" t="s">
        <v>3</v>
      </c>
      <c r="B32" s="9" t="s">
        <v>46</v>
      </c>
      <c r="C32" s="15">
        <f>SUM(C33:C34)</f>
        <v>247526</v>
      </c>
      <c r="D32" s="15">
        <f>SUM(D33:D34)</f>
        <v>249727</v>
      </c>
    </row>
    <row r="33" spans="1:4">
      <c r="A33" s="10"/>
      <c r="B33" s="13" t="s">
        <v>98</v>
      </c>
      <c r="C33" s="17"/>
      <c r="D33" s="586">
        <f>'5G GSZNR fel'!P33</f>
        <v>1528</v>
      </c>
    </row>
    <row r="34" spans="1:4">
      <c r="A34" s="10"/>
      <c r="B34" s="13" t="s">
        <v>99</v>
      </c>
      <c r="C34" s="17">
        <f>C36+C42-C7-C22-C33</f>
        <v>247526</v>
      </c>
      <c r="D34" s="586">
        <f>D36+D42-D7-D22-D33</f>
        <v>248199</v>
      </c>
    </row>
    <row r="35" spans="1:4">
      <c r="A35" s="31"/>
      <c r="B35" s="32" t="s">
        <v>56</v>
      </c>
      <c r="C35" s="33">
        <f>C31+C22+C7</f>
        <v>260026</v>
      </c>
      <c r="D35" s="33">
        <f>D31+D22+D7</f>
        <v>262227</v>
      </c>
    </row>
    <row r="36" spans="1:4">
      <c r="A36" s="6" t="s">
        <v>1</v>
      </c>
      <c r="B36" s="7" t="s">
        <v>101</v>
      </c>
      <c r="C36" s="14">
        <f t="shared" ref="C36:D36" si="2">SUM(C37:C41)</f>
        <v>260026</v>
      </c>
      <c r="D36" s="14">
        <f t="shared" si="2"/>
        <v>262227</v>
      </c>
    </row>
    <row r="37" spans="1:4">
      <c r="A37" s="8" t="s">
        <v>3</v>
      </c>
      <c r="B37" s="9" t="s">
        <v>102</v>
      </c>
      <c r="C37" s="15">
        <f>Bóbita!C54</f>
        <v>146030</v>
      </c>
      <c r="D37" s="15">
        <f>146030+530</f>
        <v>146560</v>
      </c>
    </row>
    <row r="38" spans="1:4">
      <c r="A38" s="8" t="s">
        <v>4</v>
      </c>
      <c r="B38" s="9" t="s">
        <v>103</v>
      </c>
      <c r="C38" s="15">
        <f>Bóbita!C63</f>
        <v>38522</v>
      </c>
      <c r="D38" s="15">
        <f>38522+143</f>
        <v>38665</v>
      </c>
    </row>
    <row r="39" spans="1:4">
      <c r="A39" s="8" t="s">
        <v>5</v>
      </c>
      <c r="B39" s="9" t="s">
        <v>104</v>
      </c>
      <c r="C39" s="15">
        <f>Bóbita!C142</f>
        <v>75474</v>
      </c>
      <c r="D39" s="15">
        <v>75474</v>
      </c>
    </row>
    <row r="40" spans="1:4">
      <c r="A40" s="8" t="s">
        <v>6</v>
      </c>
      <c r="B40" s="9" t="s">
        <v>105</v>
      </c>
      <c r="C40" s="15"/>
      <c r="D40" s="15"/>
    </row>
    <row r="41" spans="1:4">
      <c r="A41" s="8" t="s">
        <v>106</v>
      </c>
      <c r="B41" s="9" t="s">
        <v>107</v>
      </c>
      <c r="C41" s="15"/>
      <c r="D41" s="594">
        <f>'5G GSZNR fel'!H39</f>
        <v>1528</v>
      </c>
    </row>
    <row r="42" spans="1:4">
      <c r="A42" s="6" t="s">
        <v>13</v>
      </c>
      <c r="B42" s="7" t="s">
        <v>108</v>
      </c>
      <c r="C42" s="14">
        <f t="shared" ref="C42:D42" si="3">SUM(C43:C45)</f>
        <v>0</v>
      </c>
      <c r="D42" s="14">
        <f t="shared" si="3"/>
        <v>0</v>
      </c>
    </row>
    <row r="43" spans="1:4">
      <c r="A43" s="8" t="s">
        <v>3</v>
      </c>
      <c r="B43" s="9" t="s">
        <v>109</v>
      </c>
      <c r="C43" s="15"/>
      <c r="D43" s="15"/>
    </row>
    <row r="44" spans="1:4">
      <c r="A44" s="8" t="s">
        <v>4</v>
      </c>
      <c r="B44" s="9" t="s">
        <v>110</v>
      </c>
      <c r="C44" s="15"/>
      <c r="D44" s="15"/>
    </row>
    <row r="45" spans="1:4">
      <c r="A45" s="8" t="s">
        <v>5</v>
      </c>
      <c r="B45" s="9" t="s">
        <v>111</v>
      </c>
      <c r="C45" s="15"/>
      <c r="D45" s="15"/>
    </row>
    <row r="46" spans="1:4">
      <c r="A46" s="31"/>
      <c r="B46" s="32" t="s">
        <v>112</v>
      </c>
      <c r="C46" s="33">
        <f t="shared" ref="C46:D46" si="4">C36+C42</f>
        <v>260026</v>
      </c>
      <c r="D46" s="33">
        <f t="shared" si="4"/>
        <v>262227</v>
      </c>
    </row>
  </sheetData>
  <printOptions horizontalCentered="1"/>
  <pageMargins left="0.70866141732283472" right="0.70866141732283472" top="1.2083333333333333" bottom="0.74803149606299213" header="0.31496062992125984" footer="0.31496062992125984"/>
  <pageSetup paperSize="9" scale="89" orientation="portrait" r:id="rId1"/>
  <headerFooter>
    <oddHeader>&amp;L5/C. melléklet a 20/2014. (VI.30.) önkormányzati rendelethez&amp;C&amp;"-,Félkövér"&amp;16
A Törökbálinti Bóbita Óvoda 2014. évi bevételei forrásonként, kiadásai jogcímenként</oddHead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D46"/>
  <sheetViews>
    <sheetView tabSelected="1" view="pageLayout" topLeftCell="C1" zoomScaleNormal="100" zoomScaleSheetLayoutView="100" workbookViewId="0">
      <selection activeCell="E8" sqref="E8:F8"/>
    </sheetView>
  </sheetViews>
  <sheetFormatPr defaultRowHeight="15"/>
  <cols>
    <col min="1" max="1" width="7.140625" style="3" customWidth="1"/>
    <col min="2" max="2" width="62.140625" bestFit="1" customWidth="1"/>
    <col min="3" max="4" width="12.5703125" style="26" customWidth="1"/>
    <col min="5" max="5" width="60.7109375" customWidth="1"/>
  </cols>
  <sheetData>
    <row r="1" spans="1:4">
      <c r="C1" s="28"/>
      <c r="D1" s="28" t="s">
        <v>0</v>
      </c>
    </row>
    <row r="2" spans="1:4" ht="15" customHeight="1">
      <c r="A2" s="570" t="s">
        <v>441</v>
      </c>
      <c r="B2" s="570" t="s">
        <v>442</v>
      </c>
      <c r="C2" s="577"/>
      <c r="D2" s="577"/>
    </row>
    <row r="3" spans="1:4">
      <c r="A3" s="570" t="s">
        <v>1801</v>
      </c>
      <c r="B3" s="570" t="s">
        <v>1805</v>
      </c>
      <c r="C3" s="577"/>
      <c r="D3" s="577"/>
    </row>
    <row r="4" spans="1:4" ht="30">
      <c r="A4" s="4" t="s">
        <v>60</v>
      </c>
      <c r="B4" s="5" t="s">
        <v>58</v>
      </c>
      <c r="C4" s="550" t="s">
        <v>437</v>
      </c>
      <c r="D4" s="561" t="s">
        <v>1827</v>
      </c>
    </row>
    <row r="5" spans="1:4">
      <c r="A5" s="572"/>
      <c r="B5" s="573" t="s">
        <v>113</v>
      </c>
      <c r="C5" s="574">
        <v>12.5</v>
      </c>
      <c r="D5" s="574">
        <v>12.5</v>
      </c>
    </row>
    <row r="6" spans="1:4">
      <c r="A6" s="572"/>
      <c r="B6" s="573" t="s">
        <v>114</v>
      </c>
      <c r="C6" s="576"/>
      <c r="D6" s="576"/>
    </row>
    <row r="7" spans="1:4">
      <c r="A7" s="6" t="s">
        <v>1</v>
      </c>
      <c r="B7" s="7" t="s">
        <v>2</v>
      </c>
      <c r="C7" s="14">
        <f>C8+C10+C20</f>
        <v>34002</v>
      </c>
      <c r="D7" s="14">
        <f>D8+D10+D20</f>
        <v>34002</v>
      </c>
    </row>
    <row r="8" spans="1:4">
      <c r="A8" s="8" t="s">
        <v>3</v>
      </c>
      <c r="B8" s="9" t="s">
        <v>7</v>
      </c>
      <c r="C8" s="15">
        <f t="shared" ref="C8:D8" si="0">C9</f>
        <v>0</v>
      </c>
      <c r="D8" s="15">
        <f t="shared" si="0"/>
        <v>0</v>
      </c>
    </row>
    <row r="9" spans="1:4" ht="30">
      <c r="A9" s="10"/>
      <c r="B9" s="11" t="s">
        <v>1513</v>
      </c>
      <c r="C9" s="17"/>
      <c r="D9" s="17"/>
    </row>
    <row r="10" spans="1:4">
      <c r="A10" s="8" t="s">
        <v>3</v>
      </c>
      <c r="B10" s="9" t="s">
        <v>32</v>
      </c>
      <c r="C10" s="15">
        <f>C11+C12+C13+C15+C16+C17+C18+C19</f>
        <v>34002</v>
      </c>
      <c r="D10" s="15">
        <f>D11+D12+D13+D15+D16+D17+D18+D19</f>
        <v>34002</v>
      </c>
    </row>
    <row r="11" spans="1:4">
      <c r="A11" s="10"/>
      <c r="B11" s="11" t="s">
        <v>1516</v>
      </c>
      <c r="C11" s="17"/>
      <c r="D11" s="17"/>
    </row>
    <row r="12" spans="1:4">
      <c r="A12" s="10"/>
      <c r="B12" s="11" t="s">
        <v>115</v>
      </c>
      <c r="C12" s="35">
        <f>MMMH!E192+MMMH!E193</f>
        <v>15410</v>
      </c>
      <c r="D12" s="35">
        <v>15410</v>
      </c>
    </row>
    <row r="13" spans="1:4">
      <c r="A13" s="10"/>
      <c r="B13" s="11" t="s">
        <v>431</v>
      </c>
      <c r="C13" s="35">
        <f>C14</f>
        <v>10930</v>
      </c>
      <c r="D13" s="35">
        <f>D14</f>
        <v>10930</v>
      </c>
    </row>
    <row r="14" spans="1:4">
      <c r="A14" s="10"/>
      <c r="B14" s="394" t="s">
        <v>70</v>
      </c>
      <c r="C14" s="35">
        <f>MMMH!E194</f>
        <v>10930</v>
      </c>
      <c r="D14" s="35">
        <v>10930</v>
      </c>
    </row>
    <row r="15" spans="1:4">
      <c r="A15" s="10"/>
      <c r="B15" s="11" t="s">
        <v>432</v>
      </c>
      <c r="C15" s="17"/>
      <c r="D15" s="17"/>
    </row>
    <row r="16" spans="1:4">
      <c r="A16" s="10"/>
      <c r="B16" s="11" t="s">
        <v>433</v>
      </c>
      <c r="C16" s="17">
        <f>ROUND(MMMH!E195,0)</f>
        <v>7112</v>
      </c>
      <c r="D16" s="17">
        <v>7112</v>
      </c>
    </row>
    <row r="17" spans="1:4">
      <c r="A17" s="10"/>
      <c r="B17" s="11" t="s">
        <v>434</v>
      </c>
      <c r="C17" s="17"/>
      <c r="D17" s="17"/>
    </row>
    <row r="18" spans="1:4">
      <c r="A18" s="10"/>
      <c r="B18" s="11" t="s">
        <v>435</v>
      </c>
      <c r="C18" s="17">
        <f>MMMH!E196</f>
        <v>50</v>
      </c>
      <c r="D18" s="17">
        <v>50</v>
      </c>
    </row>
    <row r="19" spans="1:4">
      <c r="A19" s="10"/>
      <c r="B19" s="11" t="s">
        <v>436</v>
      </c>
      <c r="C19" s="17">
        <f>MMMH!E197</f>
        <v>500</v>
      </c>
      <c r="D19" s="17">
        <v>500</v>
      </c>
    </row>
    <row r="20" spans="1:4">
      <c r="A20" s="8" t="s">
        <v>5</v>
      </c>
      <c r="B20" s="9" t="s">
        <v>41</v>
      </c>
      <c r="C20" s="15">
        <f>SUM(C21:C21)</f>
        <v>0</v>
      </c>
      <c r="D20" s="15">
        <f>SUM(D21:D21)</f>
        <v>0</v>
      </c>
    </row>
    <row r="21" spans="1:4">
      <c r="A21" s="10"/>
      <c r="B21" s="11" t="s">
        <v>95</v>
      </c>
      <c r="C21" s="17"/>
      <c r="D21" s="17"/>
    </row>
    <row r="22" spans="1:4">
      <c r="A22" s="6" t="s">
        <v>13</v>
      </c>
      <c r="B22" s="7" t="s">
        <v>14</v>
      </c>
      <c r="C22" s="14">
        <f>C23+C25+C28</f>
        <v>0</v>
      </c>
      <c r="D22" s="14">
        <f>D23+D25+D28</f>
        <v>0</v>
      </c>
    </row>
    <row r="23" spans="1:4">
      <c r="A23" s="8" t="s">
        <v>3</v>
      </c>
      <c r="B23" s="9" t="s">
        <v>18</v>
      </c>
      <c r="C23" s="15">
        <f>SUM(C24:C24)</f>
        <v>0</v>
      </c>
      <c r="D23" s="15">
        <f>SUM(D24:D24)</f>
        <v>0</v>
      </c>
    </row>
    <row r="24" spans="1:4" ht="30">
      <c r="A24" s="10"/>
      <c r="B24" s="447" t="s">
        <v>1515</v>
      </c>
      <c r="C24" s="17"/>
      <c r="D24" s="17"/>
    </row>
    <row r="25" spans="1:4">
      <c r="A25" s="8" t="s">
        <v>4</v>
      </c>
      <c r="B25" s="9" t="s">
        <v>40</v>
      </c>
      <c r="C25" s="15">
        <f>SUM(C26:C27)</f>
        <v>0</v>
      </c>
      <c r="D25" s="15">
        <f>SUM(D26:D27)</f>
        <v>0</v>
      </c>
    </row>
    <row r="26" spans="1:4">
      <c r="A26" s="10"/>
      <c r="B26" s="13" t="s">
        <v>62</v>
      </c>
      <c r="C26" s="17"/>
      <c r="D26" s="17"/>
    </row>
    <row r="27" spans="1:4">
      <c r="A27" s="10"/>
      <c r="B27" s="13" t="s">
        <v>96</v>
      </c>
      <c r="C27" s="17"/>
      <c r="D27" s="17"/>
    </row>
    <row r="28" spans="1:4">
      <c r="A28" s="8" t="s">
        <v>5</v>
      </c>
      <c r="B28" s="9" t="s">
        <v>43</v>
      </c>
      <c r="C28" s="15">
        <f>SUM(C29:C29)</f>
        <v>0</v>
      </c>
      <c r="D28" s="15">
        <f>SUM(D29:D29)</f>
        <v>0</v>
      </c>
    </row>
    <row r="29" spans="1:4">
      <c r="A29" s="10"/>
      <c r="B29" s="13" t="s">
        <v>97</v>
      </c>
      <c r="C29" s="17"/>
      <c r="D29" s="17"/>
    </row>
    <row r="30" spans="1:4">
      <c r="A30" s="5"/>
      <c r="B30" s="29" t="s">
        <v>100</v>
      </c>
      <c r="C30" s="19">
        <f>C22+C7</f>
        <v>34002</v>
      </c>
      <c r="D30" s="19">
        <f>D22+D7</f>
        <v>34002</v>
      </c>
    </row>
    <row r="31" spans="1:4">
      <c r="A31" s="6" t="s">
        <v>44</v>
      </c>
      <c r="B31" s="7" t="s">
        <v>45</v>
      </c>
      <c r="C31" s="14">
        <f t="shared" ref="C31:D31" si="1">C32</f>
        <v>101031</v>
      </c>
      <c r="D31" s="14">
        <f t="shared" si="1"/>
        <v>105476</v>
      </c>
    </row>
    <row r="32" spans="1:4">
      <c r="A32" s="8" t="s">
        <v>3</v>
      </c>
      <c r="B32" s="9" t="s">
        <v>46</v>
      </c>
      <c r="C32" s="15">
        <f>SUM(C33:C34)</f>
        <v>101031</v>
      </c>
      <c r="D32" s="15">
        <f>SUM(D33:D34)</f>
        <v>105476</v>
      </c>
    </row>
    <row r="33" spans="1:4">
      <c r="A33" s="10"/>
      <c r="B33" s="13" t="s">
        <v>98</v>
      </c>
      <c r="C33" s="17"/>
      <c r="D33" s="586">
        <f>'5G GSZNR fel'!P47</f>
        <v>2185</v>
      </c>
    </row>
    <row r="34" spans="1:4">
      <c r="A34" s="10"/>
      <c r="B34" s="13" t="s">
        <v>99</v>
      </c>
      <c r="C34" s="17">
        <f>C36+C42-C7-C22-C33</f>
        <v>101031</v>
      </c>
      <c r="D34" s="17">
        <f>D36+D42-D7-D22-D33</f>
        <v>103291</v>
      </c>
    </row>
    <row r="35" spans="1:4">
      <c r="A35" s="31"/>
      <c r="B35" s="32" t="s">
        <v>56</v>
      </c>
      <c r="C35" s="33">
        <f>C31+C22+C7</f>
        <v>135033</v>
      </c>
      <c r="D35" s="33">
        <f>D31+D22+D7</f>
        <v>139478</v>
      </c>
    </row>
    <row r="36" spans="1:4">
      <c r="A36" s="6" t="s">
        <v>1</v>
      </c>
      <c r="B36" s="7" t="s">
        <v>101</v>
      </c>
      <c r="C36" s="14">
        <f t="shared" ref="C36:D36" si="2">SUM(C37:C41)</f>
        <v>133683</v>
      </c>
      <c r="D36" s="14">
        <f t="shared" si="2"/>
        <v>137784</v>
      </c>
    </row>
    <row r="37" spans="1:4">
      <c r="A37" s="8" t="s">
        <v>3</v>
      </c>
      <c r="B37" s="9" t="s">
        <v>102</v>
      </c>
      <c r="C37" s="15">
        <f>MMMH!E58</f>
        <v>31822</v>
      </c>
      <c r="D37" s="15">
        <f>31822+186</f>
        <v>32008</v>
      </c>
    </row>
    <row r="38" spans="1:4">
      <c r="A38" s="8" t="s">
        <v>4</v>
      </c>
      <c r="B38" s="9" t="s">
        <v>103</v>
      </c>
      <c r="C38" s="15">
        <f>MMMH!E67</f>
        <v>8110</v>
      </c>
      <c r="D38" s="15">
        <f>8110+50</f>
        <v>8160</v>
      </c>
    </row>
    <row r="39" spans="1:4">
      <c r="A39" s="8" t="s">
        <v>5</v>
      </c>
      <c r="B39" s="9" t="s">
        <v>104</v>
      </c>
      <c r="C39" s="15">
        <f>MMMH!E152</f>
        <v>93751</v>
      </c>
      <c r="D39" s="15">
        <f>93751+1680</f>
        <v>95431</v>
      </c>
    </row>
    <row r="40" spans="1:4">
      <c r="A40" s="8" t="s">
        <v>6</v>
      </c>
      <c r="B40" s="9" t="s">
        <v>105</v>
      </c>
      <c r="C40" s="15"/>
      <c r="D40" s="15"/>
    </row>
    <row r="41" spans="1:4">
      <c r="A41" s="8" t="s">
        <v>106</v>
      </c>
      <c r="B41" s="9" t="s">
        <v>107</v>
      </c>
      <c r="C41" s="15"/>
      <c r="D41" s="594">
        <f>'5G GSZNR fel'!H53</f>
        <v>2185</v>
      </c>
    </row>
    <row r="42" spans="1:4">
      <c r="A42" s="6" t="s">
        <v>13</v>
      </c>
      <c r="B42" s="7" t="s">
        <v>108</v>
      </c>
      <c r="C42" s="14">
        <f t="shared" ref="C42:D42" si="3">SUM(C43:C45)</f>
        <v>1350</v>
      </c>
      <c r="D42" s="14">
        <f t="shared" si="3"/>
        <v>1694</v>
      </c>
    </row>
    <row r="43" spans="1:4">
      <c r="A43" s="8" t="s">
        <v>3</v>
      </c>
      <c r="B43" s="9" t="s">
        <v>109</v>
      </c>
      <c r="C43" s="15">
        <f>MMMH!E177</f>
        <v>1350</v>
      </c>
      <c r="D43" s="15">
        <f>1350+344</f>
        <v>1694</v>
      </c>
    </row>
    <row r="44" spans="1:4">
      <c r="A44" s="8" t="s">
        <v>4</v>
      </c>
      <c r="B44" s="9" t="s">
        <v>110</v>
      </c>
      <c r="C44" s="15"/>
      <c r="D44" s="15"/>
    </row>
    <row r="45" spans="1:4">
      <c r="A45" s="8" t="s">
        <v>5</v>
      </c>
      <c r="B45" s="9" t="s">
        <v>111</v>
      </c>
      <c r="C45" s="15"/>
      <c r="D45" s="15"/>
    </row>
    <row r="46" spans="1:4">
      <c r="A46" s="31"/>
      <c r="B46" s="32" t="s">
        <v>112</v>
      </c>
      <c r="C46" s="33">
        <f t="shared" ref="C46:D46" si="4">C36+C42</f>
        <v>135033</v>
      </c>
      <c r="D46" s="33">
        <f t="shared" si="4"/>
        <v>139478</v>
      </c>
    </row>
  </sheetData>
  <printOptions horizontalCentered="1"/>
  <pageMargins left="0.70866141732283472" right="0.70866141732283472" top="1.2083333333333333" bottom="0.74803149606299213" header="0.31496062992125984" footer="0.31496062992125984"/>
  <pageSetup paperSize="9" scale="89" orientation="portrait" r:id="rId1"/>
  <headerFooter>
    <oddHeader>&amp;L5/D. melléklet a 20/2014. (VI.30.) önkormányzati rendelethez&amp;C&amp;"-,Félkövér"&amp;16
A Munkácsy Mihály Művelődési Ház 2014. évi bevételei forrásonként, kiadásai jogcímenként</oddHead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D46"/>
  <sheetViews>
    <sheetView view="pageLayout" topLeftCell="C1" zoomScaleNormal="100" zoomScaleSheetLayoutView="100" workbookViewId="0">
      <selection activeCell="E4" sqref="E4"/>
    </sheetView>
  </sheetViews>
  <sheetFormatPr defaultRowHeight="15"/>
  <cols>
    <col min="1" max="1" width="7.140625" style="3" customWidth="1"/>
    <col min="2" max="2" width="62.140625" bestFit="1" customWidth="1"/>
    <col min="3" max="4" width="12.5703125" style="26" customWidth="1"/>
    <col min="5" max="5" width="60.7109375" customWidth="1"/>
  </cols>
  <sheetData>
    <row r="1" spans="1:4">
      <c r="C1" s="28"/>
      <c r="D1" s="28" t="s">
        <v>0</v>
      </c>
    </row>
    <row r="2" spans="1:4" ht="15" customHeight="1">
      <c r="A2" s="570" t="s">
        <v>441</v>
      </c>
      <c r="B2" s="570" t="s">
        <v>442</v>
      </c>
      <c r="C2" s="577"/>
      <c r="D2" s="577"/>
    </row>
    <row r="3" spans="1:4">
      <c r="A3" s="570" t="s">
        <v>1801</v>
      </c>
      <c r="B3" s="570" t="s">
        <v>1806</v>
      </c>
      <c r="C3" s="577"/>
      <c r="D3" s="577"/>
    </row>
    <row r="4" spans="1:4" ht="30">
      <c r="A4" s="4" t="s">
        <v>60</v>
      </c>
      <c r="B4" s="5" t="s">
        <v>58</v>
      </c>
      <c r="C4" s="550" t="s">
        <v>437</v>
      </c>
      <c r="D4" s="550" t="s">
        <v>1827</v>
      </c>
    </row>
    <row r="5" spans="1:4">
      <c r="A5" s="572"/>
      <c r="B5" s="573" t="s">
        <v>113</v>
      </c>
      <c r="C5" s="574">
        <v>4.5</v>
      </c>
      <c r="D5" s="574">
        <v>4.5</v>
      </c>
    </row>
    <row r="6" spans="1:4">
      <c r="A6" s="572"/>
      <c r="B6" s="573" t="s">
        <v>114</v>
      </c>
      <c r="C6" s="576"/>
      <c r="D6" s="576"/>
    </row>
    <row r="7" spans="1:4">
      <c r="A7" s="6" t="s">
        <v>1</v>
      </c>
      <c r="B7" s="7" t="s">
        <v>2</v>
      </c>
      <c r="C7" s="14">
        <f>C8+C10+C20</f>
        <v>300</v>
      </c>
      <c r="D7" s="14">
        <f>D8+D10+D20</f>
        <v>300</v>
      </c>
    </row>
    <row r="8" spans="1:4">
      <c r="A8" s="8" t="s">
        <v>3</v>
      </c>
      <c r="B8" s="9" t="s">
        <v>7</v>
      </c>
      <c r="C8" s="15">
        <f t="shared" ref="C8:D8" si="0">C9</f>
        <v>0</v>
      </c>
      <c r="D8" s="15">
        <f t="shared" si="0"/>
        <v>0</v>
      </c>
    </row>
    <row r="9" spans="1:4" ht="30">
      <c r="A9" s="10"/>
      <c r="B9" s="11" t="s">
        <v>1513</v>
      </c>
      <c r="C9" s="17"/>
      <c r="D9" s="17"/>
    </row>
    <row r="10" spans="1:4">
      <c r="A10" s="8" t="s">
        <v>3</v>
      </c>
      <c r="B10" s="9" t="s">
        <v>32</v>
      </c>
      <c r="C10" s="15">
        <f>C11+C12+C13+C15+C16+C17+C18+C19</f>
        <v>300</v>
      </c>
      <c r="D10" s="15">
        <f>D11+D12+D13+D15+D16+D17+D18+D19</f>
        <v>300</v>
      </c>
    </row>
    <row r="11" spans="1:4">
      <c r="A11" s="10"/>
      <c r="B11" s="11" t="s">
        <v>1517</v>
      </c>
      <c r="C11" s="17"/>
      <c r="D11" s="17"/>
    </row>
    <row r="12" spans="1:4">
      <c r="A12" s="10"/>
      <c r="B12" s="11" t="s">
        <v>115</v>
      </c>
      <c r="C12" s="35">
        <v>300</v>
      </c>
      <c r="D12" s="35">
        <v>300</v>
      </c>
    </row>
    <row r="13" spans="1:4">
      <c r="A13" s="10"/>
      <c r="B13" s="11" t="s">
        <v>431</v>
      </c>
      <c r="C13" s="17">
        <f>C14</f>
        <v>0</v>
      </c>
      <c r="D13" s="17">
        <f>D14</f>
        <v>0</v>
      </c>
    </row>
    <row r="14" spans="1:4">
      <c r="A14" s="10"/>
      <c r="B14" s="394" t="s">
        <v>70</v>
      </c>
      <c r="C14" s="17"/>
      <c r="D14" s="17"/>
    </row>
    <row r="15" spans="1:4">
      <c r="A15" s="10"/>
      <c r="B15" s="11" t="s">
        <v>432</v>
      </c>
      <c r="C15" s="17"/>
      <c r="D15" s="17"/>
    </row>
    <row r="16" spans="1:4">
      <c r="A16" s="10"/>
      <c r="B16" s="11" t="s">
        <v>433</v>
      </c>
      <c r="C16" s="17"/>
      <c r="D16" s="17"/>
    </row>
    <row r="17" spans="1:4">
      <c r="A17" s="10"/>
      <c r="B17" s="11" t="s">
        <v>434</v>
      </c>
      <c r="C17" s="17"/>
      <c r="D17" s="17"/>
    </row>
    <row r="18" spans="1:4">
      <c r="A18" s="10"/>
      <c r="B18" s="11" t="s">
        <v>435</v>
      </c>
      <c r="C18" s="17"/>
      <c r="D18" s="17"/>
    </row>
    <row r="19" spans="1:4">
      <c r="A19" s="10"/>
      <c r="B19" s="11" t="s">
        <v>436</v>
      </c>
      <c r="C19" s="17"/>
      <c r="D19" s="17"/>
    </row>
    <row r="20" spans="1:4">
      <c r="A20" s="8" t="s">
        <v>5</v>
      </c>
      <c r="B20" s="9" t="s">
        <v>41</v>
      </c>
      <c r="C20" s="15">
        <f>SUM(C21:C21)</f>
        <v>0</v>
      </c>
      <c r="D20" s="15">
        <f>SUM(D21:D21)</f>
        <v>0</v>
      </c>
    </row>
    <row r="21" spans="1:4">
      <c r="A21" s="10"/>
      <c r="B21" s="11" t="s">
        <v>95</v>
      </c>
      <c r="C21" s="17"/>
      <c r="D21" s="17"/>
    </row>
    <row r="22" spans="1:4">
      <c r="A22" s="6" t="s">
        <v>13</v>
      </c>
      <c r="B22" s="7" t="s">
        <v>14</v>
      </c>
      <c r="C22" s="14">
        <f>C23+C25+C28</f>
        <v>0</v>
      </c>
      <c r="D22" s="14">
        <f>D23+D25+D28</f>
        <v>0</v>
      </c>
    </row>
    <row r="23" spans="1:4">
      <c r="A23" s="8" t="s">
        <v>3</v>
      </c>
      <c r="B23" s="9" t="s">
        <v>18</v>
      </c>
      <c r="C23" s="15">
        <f>SUM(C24:C24)</f>
        <v>0</v>
      </c>
      <c r="D23" s="15">
        <f>SUM(D24:D24)</f>
        <v>0</v>
      </c>
    </row>
    <row r="24" spans="1:4" ht="30">
      <c r="A24" s="10"/>
      <c r="B24" s="447" t="s">
        <v>1515</v>
      </c>
      <c r="C24" s="17"/>
      <c r="D24" s="17"/>
    </row>
    <row r="25" spans="1:4">
      <c r="A25" s="8" t="s">
        <v>4</v>
      </c>
      <c r="B25" s="9" t="s">
        <v>40</v>
      </c>
      <c r="C25" s="15">
        <f>SUM(C26:C27)</f>
        <v>0</v>
      </c>
      <c r="D25" s="15">
        <f>SUM(D26:D27)</f>
        <v>0</v>
      </c>
    </row>
    <row r="26" spans="1:4">
      <c r="A26" s="10"/>
      <c r="B26" s="13" t="s">
        <v>62</v>
      </c>
      <c r="C26" s="17"/>
      <c r="D26" s="17"/>
    </row>
    <row r="27" spans="1:4">
      <c r="A27" s="10"/>
      <c r="B27" s="13" t="s">
        <v>96</v>
      </c>
      <c r="C27" s="17"/>
      <c r="D27" s="17"/>
    </row>
    <row r="28" spans="1:4">
      <c r="A28" s="8" t="s">
        <v>5</v>
      </c>
      <c r="B28" s="9" t="s">
        <v>43</v>
      </c>
      <c r="C28" s="15">
        <f>SUM(C29:C29)</f>
        <v>0</v>
      </c>
      <c r="D28" s="15">
        <f>SUM(D29:D29)</f>
        <v>0</v>
      </c>
    </row>
    <row r="29" spans="1:4">
      <c r="A29" s="10"/>
      <c r="B29" s="13" t="s">
        <v>97</v>
      </c>
      <c r="C29" s="17"/>
      <c r="D29" s="17"/>
    </row>
    <row r="30" spans="1:4">
      <c r="A30" s="5"/>
      <c r="B30" s="29" t="s">
        <v>100</v>
      </c>
      <c r="C30" s="19">
        <f>C22+C7</f>
        <v>300</v>
      </c>
      <c r="D30" s="19">
        <f>D22+D7</f>
        <v>300</v>
      </c>
    </row>
    <row r="31" spans="1:4">
      <c r="A31" s="6" t="s">
        <v>44</v>
      </c>
      <c r="B31" s="7" t="s">
        <v>45</v>
      </c>
      <c r="C31" s="14">
        <f t="shared" ref="C31:D31" si="1">C32</f>
        <v>33053</v>
      </c>
      <c r="D31" s="14">
        <f t="shared" si="1"/>
        <v>35664</v>
      </c>
    </row>
    <row r="32" spans="1:4">
      <c r="A32" s="8" t="s">
        <v>3</v>
      </c>
      <c r="B32" s="9" t="s">
        <v>46</v>
      </c>
      <c r="C32" s="15">
        <f>SUM(C33:C34)</f>
        <v>33053</v>
      </c>
      <c r="D32" s="15">
        <f>SUM(D33:D34)</f>
        <v>35664</v>
      </c>
    </row>
    <row r="33" spans="1:4">
      <c r="A33" s="10"/>
      <c r="B33" s="13" t="s">
        <v>98</v>
      </c>
      <c r="C33" s="17"/>
      <c r="D33" s="586">
        <f>'5G GSZNR fel'!P61</f>
        <v>167</v>
      </c>
    </row>
    <row r="34" spans="1:4">
      <c r="A34" s="10"/>
      <c r="B34" s="13" t="s">
        <v>99</v>
      </c>
      <c r="C34" s="17">
        <f>C36+C42-C30-C33</f>
        <v>33053</v>
      </c>
      <c r="D34" s="586">
        <f>D36+D42-D30-D33</f>
        <v>35497</v>
      </c>
    </row>
    <row r="35" spans="1:4">
      <c r="A35" s="31"/>
      <c r="B35" s="32" t="s">
        <v>56</v>
      </c>
      <c r="C35" s="33">
        <f>C31+C22+C7</f>
        <v>33353</v>
      </c>
      <c r="D35" s="33">
        <f>D31+D22+D7</f>
        <v>35964</v>
      </c>
    </row>
    <row r="36" spans="1:4">
      <c r="A36" s="6" t="s">
        <v>1</v>
      </c>
      <c r="B36" s="7" t="s">
        <v>101</v>
      </c>
      <c r="C36" s="14">
        <f t="shared" ref="C36:D36" si="2">SUM(C37:C41)</f>
        <v>33289</v>
      </c>
      <c r="D36" s="14">
        <f t="shared" si="2"/>
        <v>35900</v>
      </c>
    </row>
    <row r="37" spans="1:4">
      <c r="A37" s="8" t="s">
        <v>3</v>
      </c>
      <c r="B37" s="9" t="s">
        <v>102</v>
      </c>
      <c r="C37" s="15">
        <f>Volf!D54</f>
        <v>13825</v>
      </c>
      <c r="D37" s="15">
        <f>13825+36+1235</f>
        <v>15096</v>
      </c>
    </row>
    <row r="38" spans="1:4">
      <c r="A38" s="8" t="s">
        <v>4</v>
      </c>
      <c r="B38" s="9" t="s">
        <v>103</v>
      </c>
      <c r="C38" s="15">
        <f>Volf!D63</f>
        <v>3846</v>
      </c>
      <c r="D38" s="15">
        <f>3846+10+334</f>
        <v>4190</v>
      </c>
    </row>
    <row r="39" spans="1:4">
      <c r="A39" s="8" t="s">
        <v>5</v>
      </c>
      <c r="B39" s="9" t="s">
        <v>104</v>
      </c>
      <c r="C39" s="15">
        <f>Volf!D142</f>
        <v>15618</v>
      </c>
      <c r="D39" s="15">
        <f>15618+996</f>
        <v>16614</v>
      </c>
    </row>
    <row r="40" spans="1:4">
      <c r="A40" s="8" t="s">
        <v>6</v>
      </c>
      <c r="B40" s="9" t="s">
        <v>105</v>
      </c>
      <c r="C40" s="15"/>
      <c r="D40" s="15"/>
    </row>
    <row r="41" spans="1:4">
      <c r="A41" s="8" t="s">
        <v>106</v>
      </c>
      <c r="B41" s="9" t="s">
        <v>107</v>
      </c>
      <c r="C41" s="15"/>
      <c r="D41" s="15"/>
    </row>
    <row r="42" spans="1:4">
      <c r="A42" s="6" t="s">
        <v>13</v>
      </c>
      <c r="B42" s="7" t="s">
        <v>108</v>
      </c>
      <c r="C42" s="14">
        <f t="shared" ref="C42:D42" si="3">SUM(C43:C45)</f>
        <v>64</v>
      </c>
      <c r="D42" s="14">
        <f t="shared" si="3"/>
        <v>64</v>
      </c>
    </row>
    <row r="43" spans="1:4">
      <c r="A43" s="8" t="s">
        <v>3</v>
      </c>
      <c r="B43" s="9" t="s">
        <v>109</v>
      </c>
      <c r="C43" s="15">
        <f>Volf!D148</f>
        <v>64</v>
      </c>
      <c r="D43" s="15">
        <v>64</v>
      </c>
    </row>
    <row r="44" spans="1:4">
      <c r="A44" s="8" t="s">
        <v>4</v>
      </c>
      <c r="B44" s="9" t="s">
        <v>110</v>
      </c>
      <c r="C44" s="15"/>
      <c r="D44" s="15"/>
    </row>
    <row r="45" spans="1:4">
      <c r="A45" s="8" t="s">
        <v>5</v>
      </c>
      <c r="B45" s="9" t="s">
        <v>111</v>
      </c>
      <c r="C45" s="15"/>
      <c r="D45" s="15"/>
    </row>
    <row r="46" spans="1:4">
      <c r="A46" s="31"/>
      <c r="B46" s="32" t="s">
        <v>112</v>
      </c>
      <c r="C46" s="33">
        <f t="shared" ref="C46:D46" si="4">C36+C42</f>
        <v>33353</v>
      </c>
      <c r="D46" s="33">
        <f t="shared" si="4"/>
        <v>35964</v>
      </c>
    </row>
  </sheetData>
  <printOptions horizontalCentered="1"/>
  <pageMargins left="0.70866141732283472" right="0.70866141732283472" top="1.2083333333333333" bottom="0.74803149606299213" header="0.31496062992125984" footer="0.31496062992125984"/>
  <pageSetup paperSize="9" scale="89" orientation="portrait" r:id="rId1"/>
  <headerFooter>
    <oddHeader>&amp;L5/E. melléklet a 20/2014. (VI.30.) önkormányzati rendelethez&amp;C&amp;"-,Félkövér"&amp;16
A Volf György Könyvtár és Helytörténeti Gyűjtemény 2014. évi bevételei forrásonként, kiadásai jogcímenként</oddHead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D46"/>
  <sheetViews>
    <sheetView view="pageLayout" topLeftCell="C1" zoomScaleNormal="100" zoomScaleSheetLayoutView="100" workbookViewId="0">
      <selection activeCell="E4" sqref="E4"/>
    </sheetView>
  </sheetViews>
  <sheetFormatPr defaultRowHeight="15"/>
  <cols>
    <col min="1" max="1" width="7.140625" style="3" customWidth="1"/>
    <col min="2" max="2" width="62.140625" bestFit="1" customWidth="1"/>
    <col min="3" max="4" width="12.5703125" style="26" customWidth="1"/>
    <col min="5" max="5" width="60.7109375" customWidth="1"/>
  </cols>
  <sheetData>
    <row r="1" spans="1:4">
      <c r="C1" s="28"/>
      <c r="D1" s="28" t="s">
        <v>0</v>
      </c>
    </row>
    <row r="2" spans="1:4" ht="15" customHeight="1">
      <c r="A2" s="570" t="s">
        <v>441</v>
      </c>
      <c r="B2" s="570" t="s">
        <v>442</v>
      </c>
      <c r="C2" s="577"/>
      <c r="D2" s="577"/>
    </row>
    <row r="3" spans="1:4">
      <c r="A3" s="570" t="s">
        <v>1801</v>
      </c>
      <c r="B3" s="570" t="s">
        <v>1807</v>
      </c>
      <c r="C3" s="577"/>
      <c r="D3" s="577"/>
    </row>
    <row r="4" spans="1:4" ht="30">
      <c r="A4" s="4" t="s">
        <v>60</v>
      </c>
      <c r="B4" s="5" t="s">
        <v>58</v>
      </c>
      <c r="C4" s="550" t="s">
        <v>437</v>
      </c>
      <c r="D4" s="550" t="s">
        <v>1827</v>
      </c>
    </row>
    <row r="5" spans="1:4">
      <c r="A5" s="572"/>
      <c r="B5" s="573" t="s">
        <v>113</v>
      </c>
      <c r="C5" s="574">
        <f>40+1</f>
        <v>41</v>
      </c>
      <c r="D5" s="574">
        <f>40+1</f>
        <v>41</v>
      </c>
    </row>
    <row r="6" spans="1:4">
      <c r="A6" s="572"/>
      <c r="B6" s="573" t="s">
        <v>114</v>
      </c>
      <c r="C6" s="576"/>
      <c r="D6" s="576"/>
    </row>
    <row r="7" spans="1:4">
      <c r="A7" s="6" t="s">
        <v>1</v>
      </c>
      <c r="B7" s="7" t="s">
        <v>2</v>
      </c>
      <c r="C7" s="14">
        <f>C8+C10+C20</f>
        <v>11779</v>
      </c>
      <c r="D7" s="14">
        <f>D8+D10+D20</f>
        <v>11779</v>
      </c>
    </row>
    <row r="8" spans="1:4">
      <c r="A8" s="8" t="s">
        <v>3</v>
      </c>
      <c r="B8" s="9" t="s">
        <v>7</v>
      </c>
      <c r="C8" s="15">
        <f t="shared" ref="C8:D8" si="0">C9</f>
        <v>0</v>
      </c>
      <c r="D8" s="15">
        <f t="shared" si="0"/>
        <v>0</v>
      </c>
    </row>
    <row r="9" spans="1:4" ht="30">
      <c r="A9" s="10"/>
      <c r="B9" s="11" t="s">
        <v>1513</v>
      </c>
      <c r="C9" s="17"/>
      <c r="D9" s="17"/>
    </row>
    <row r="10" spans="1:4">
      <c r="A10" s="8" t="s">
        <v>3</v>
      </c>
      <c r="B10" s="9" t="s">
        <v>32</v>
      </c>
      <c r="C10" s="15">
        <f>C11+C12+C13+C15+C16+C17+C18+C19</f>
        <v>11779</v>
      </c>
      <c r="D10" s="15">
        <f>D11+D12+D13+D15+D16+D17+D18+D19</f>
        <v>11779</v>
      </c>
    </row>
    <row r="11" spans="1:4">
      <c r="A11" s="10"/>
      <c r="B11" s="11" t="s">
        <v>1517</v>
      </c>
      <c r="C11" s="17"/>
      <c r="D11" s="17"/>
    </row>
    <row r="12" spans="1:4">
      <c r="A12" s="10"/>
      <c r="B12" s="11" t="s">
        <v>115</v>
      </c>
      <c r="C12" s="35">
        <v>0</v>
      </c>
      <c r="D12" s="35">
        <v>0</v>
      </c>
    </row>
    <row r="13" spans="1:4">
      <c r="A13" s="10"/>
      <c r="B13" s="11" t="s">
        <v>431</v>
      </c>
      <c r="C13" s="17">
        <f>C14</f>
        <v>0</v>
      </c>
      <c r="D13" s="17">
        <f>D14</f>
        <v>0</v>
      </c>
    </row>
    <row r="14" spans="1:4">
      <c r="A14" s="10"/>
      <c r="B14" s="394" t="s">
        <v>70</v>
      </c>
      <c r="C14" s="17"/>
      <c r="D14" s="17"/>
    </row>
    <row r="15" spans="1:4">
      <c r="A15" s="10"/>
      <c r="B15" s="11" t="s">
        <v>432</v>
      </c>
      <c r="C15" s="17">
        <f>SKSZ!K159</f>
        <v>9275</v>
      </c>
      <c r="D15" s="17">
        <v>9275</v>
      </c>
    </row>
    <row r="16" spans="1:4">
      <c r="A16" s="10"/>
      <c r="B16" s="11" t="s">
        <v>433</v>
      </c>
      <c r="C16" s="17">
        <f>ROUND(SKSZ!K166,0)</f>
        <v>2504</v>
      </c>
      <c r="D16" s="17">
        <v>2504</v>
      </c>
    </row>
    <row r="17" spans="1:4">
      <c r="A17" s="10"/>
      <c r="B17" s="11" t="s">
        <v>434</v>
      </c>
      <c r="C17" s="17"/>
      <c r="D17" s="17"/>
    </row>
    <row r="18" spans="1:4">
      <c r="A18" s="10"/>
      <c r="B18" s="11" t="s">
        <v>435</v>
      </c>
      <c r="C18" s="17"/>
      <c r="D18" s="17"/>
    </row>
    <row r="19" spans="1:4">
      <c r="A19" s="10"/>
      <c r="B19" s="11" t="s">
        <v>436</v>
      </c>
      <c r="C19" s="17"/>
      <c r="D19" s="17"/>
    </row>
    <row r="20" spans="1:4">
      <c r="A20" s="8" t="s">
        <v>5</v>
      </c>
      <c r="B20" s="9" t="s">
        <v>41</v>
      </c>
      <c r="C20" s="15">
        <f>SUM(C21:C21)</f>
        <v>0</v>
      </c>
      <c r="D20" s="15">
        <f>SUM(D21:D21)</f>
        <v>0</v>
      </c>
    </row>
    <row r="21" spans="1:4">
      <c r="A21" s="10"/>
      <c r="B21" s="11" t="s">
        <v>95</v>
      </c>
      <c r="C21" s="17"/>
      <c r="D21" s="17"/>
    </row>
    <row r="22" spans="1:4">
      <c r="A22" s="6" t="s">
        <v>13</v>
      </c>
      <c r="B22" s="7" t="s">
        <v>14</v>
      </c>
      <c r="C22" s="14">
        <f>C23+C25+C28</f>
        <v>0</v>
      </c>
      <c r="D22" s="14">
        <f>D23+D25+D28</f>
        <v>0</v>
      </c>
    </row>
    <row r="23" spans="1:4">
      <c r="A23" s="8" t="s">
        <v>3</v>
      </c>
      <c r="B23" s="9" t="s">
        <v>18</v>
      </c>
      <c r="C23" s="15">
        <f>SUM(C24:C24)</f>
        <v>0</v>
      </c>
      <c r="D23" s="15">
        <f>SUM(D24:D24)</f>
        <v>0</v>
      </c>
    </row>
    <row r="24" spans="1:4" ht="30">
      <c r="A24" s="10"/>
      <c r="B24" s="447" t="s">
        <v>1515</v>
      </c>
      <c r="C24" s="17"/>
      <c r="D24" s="17"/>
    </row>
    <row r="25" spans="1:4">
      <c r="A25" s="8" t="s">
        <v>4</v>
      </c>
      <c r="B25" s="9" t="s">
        <v>40</v>
      </c>
      <c r="C25" s="15">
        <f>SUM(C26:C27)</f>
        <v>0</v>
      </c>
      <c r="D25" s="15">
        <f>SUM(D26:D27)</f>
        <v>0</v>
      </c>
    </row>
    <row r="26" spans="1:4">
      <c r="A26" s="10"/>
      <c r="B26" s="13" t="s">
        <v>62</v>
      </c>
      <c r="C26" s="17"/>
      <c r="D26" s="17"/>
    </row>
    <row r="27" spans="1:4">
      <c r="A27" s="10"/>
      <c r="B27" s="13" t="s">
        <v>96</v>
      </c>
      <c r="C27" s="17"/>
      <c r="D27" s="17"/>
    </row>
    <row r="28" spans="1:4">
      <c r="A28" s="8" t="s">
        <v>5</v>
      </c>
      <c r="B28" s="9" t="s">
        <v>43</v>
      </c>
      <c r="C28" s="15">
        <f>SUM(C29:C29)</f>
        <v>0</v>
      </c>
      <c r="D28" s="15">
        <f>SUM(D29:D29)</f>
        <v>0</v>
      </c>
    </row>
    <row r="29" spans="1:4">
      <c r="A29" s="10"/>
      <c r="B29" s="13" t="s">
        <v>97</v>
      </c>
      <c r="C29" s="17"/>
      <c r="D29" s="17"/>
    </row>
    <row r="30" spans="1:4">
      <c r="A30" s="5"/>
      <c r="B30" s="29" t="s">
        <v>100</v>
      </c>
      <c r="C30" s="19">
        <f>C22+C7</f>
        <v>11779</v>
      </c>
      <c r="D30" s="19">
        <f>D22+D7</f>
        <v>11779</v>
      </c>
    </row>
    <row r="31" spans="1:4">
      <c r="A31" s="6" t="s">
        <v>44</v>
      </c>
      <c r="B31" s="7" t="s">
        <v>45</v>
      </c>
      <c r="C31" s="14">
        <f t="shared" ref="C31:D31" si="1">C32</f>
        <v>181557</v>
      </c>
      <c r="D31" s="14">
        <f t="shared" si="1"/>
        <v>188485</v>
      </c>
    </row>
    <row r="32" spans="1:4">
      <c r="A32" s="8" t="s">
        <v>3</v>
      </c>
      <c r="B32" s="9" t="s">
        <v>46</v>
      </c>
      <c r="C32" s="15">
        <f>SUM(C33:C34)</f>
        <v>181557</v>
      </c>
      <c r="D32" s="15">
        <f>SUM(D33:D34)</f>
        <v>188485</v>
      </c>
    </row>
    <row r="33" spans="1:4">
      <c r="A33" s="10"/>
      <c r="B33" s="13" t="s">
        <v>98</v>
      </c>
      <c r="C33" s="17"/>
      <c r="D33" s="586">
        <f>'5G GSZNR fel'!P74</f>
        <v>939</v>
      </c>
    </row>
    <row r="34" spans="1:4">
      <c r="A34" s="10"/>
      <c r="B34" s="13" t="s">
        <v>99</v>
      </c>
      <c r="C34" s="17">
        <f>C36+C42-C30-C33</f>
        <v>181557</v>
      </c>
      <c r="D34" s="586">
        <f>D36+D42-D30-D33</f>
        <v>187546</v>
      </c>
    </row>
    <row r="35" spans="1:4">
      <c r="A35" s="31"/>
      <c r="B35" s="32" t="s">
        <v>56</v>
      </c>
      <c r="C35" s="33">
        <f>C31+C22+C7</f>
        <v>193336</v>
      </c>
      <c r="D35" s="33">
        <f>D31+D22+D7</f>
        <v>200264</v>
      </c>
    </row>
    <row r="36" spans="1:4">
      <c r="A36" s="6" t="s">
        <v>1</v>
      </c>
      <c r="B36" s="7" t="s">
        <v>101</v>
      </c>
      <c r="C36" s="14">
        <f t="shared" ref="C36:D36" si="2">SUM(C37:C41)</f>
        <v>192637</v>
      </c>
      <c r="D36" s="14">
        <f t="shared" si="2"/>
        <v>194065</v>
      </c>
    </row>
    <row r="37" spans="1:4">
      <c r="A37" s="8" t="s">
        <v>3</v>
      </c>
      <c r="B37" s="9" t="s">
        <v>102</v>
      </c>
      <c r="C37" s="15">
        <f>SKSZ!D54</f>
        <v>106886</v>
      </c>
      <c r="D37" s="15">
        <f>106886+795</f>
        <v>107681</v>
      </c>
    </row>
    <row r="38" spans="1:4">
      <c r="A38" s="8" t="s">
        <v>4</v>
      </c>
      <c r="B38" s="9" t="s">
        <v>103</v>
      </c>
      <c r="C38" s="15">
        <f>SKSZ!D63</f>
        <v>30929</v>
      </c>
      <c r="D38" s="15">
        <f>30929+215</f>
        <v>31144</v>
      </c>
    </row>
    <row r="39" spans="1:4">
      <c r="A39" s="8" t="s">
        <v>5</v>
      </c>
      <c r="B39" s="9" t="s">
        <v>104</v>
      </c>
      <c r="C39" s="15">
        <f>SKSZ!D142</f>
        <v>54822</v>
      </c>
      <c r="D39" s="15">
        <f>54822+98+280+40</f>
        <v>55240</v>
      </c>
    </row>
    <row r="40" spans="1:4">
      <c r="A40" s="8" t="s">
        <v>6</v>
      </c>
      <c r="B40" s="9" t="s">
        <v>105</v>
      </c>
      <c r="C40" s="15"/>
      <c r="D40" s="15"/>
    </row>
    <row r="41" spans="1:4">
      <c r="A41" s="8" t="s">
        <v>106</v>
      </c>
      <c r="B41" s="9" t="s">
        <v>107</v>
      </c>
      <c r="C41" s="15"/>
      <c r="D41" s="15"/>
    </row>
    <row r="42" spans="1:4">
      <c r="A42" s="6" t="s">
        <v>13</v>
      </c>
      <c r="B42" s="7" t="s">
        <v>108</v>
      </c>
      <c r="C42" s="14">
        <f t="shared" ref="C42:D42" si="3">SUM(C43:C45)</f>
        <v>699</v>
      </c>
      <c r="D42" s="14">
        <f t="shared" si="3"/>
        <v>6199</v>
      </c>
    </row>
    <row r="43" spans="1:4">
      <c r="A43" s="8" t="s">
        <v>3</v>
      </c>
      <c r="B43" s="9" t="s">
        <v>109</v>
      </c>
      <c r="C43" s="15">
        <f>SKSZ!D148</f>
        <v>699</v>
      </c>
      <c r="D43" s="15">
        <f>'7. beruházás'!D53</f>
        <v>6199</v>
      </c>
    </row>
    <row r="44" spans="1:4">
      <c r="A44" s="8" t="s">
        <v>4</v>
      </c>
      <c r="B44" s="9" t="s">
        <v>110</v>
      </c>
      <c r="C44" s="15">
        <f>SKSZ!D153</f>
        <v>0</v>
      </c>
      <c r="D44" s="15">
        <f>SKSZ!E153</f>
        <v>0</v>
      </c>
    </row>
    <row r="45" spans="1:4">
      <c r="A45" s="8" t="s">
        <v>5</v>
      </c>
      <c r="B45" s="9" t="s">
        <v>111</v>
      </c>
      <c r="C45" s="15"/>
      <c r="D45" s="15"/>
    </row>
    <row r="46" spans="1:4">
      <c r="A46" s="31"/>
      <c r="B46" s="32" t="s">
        <v>112</v>
      </c>
      <c r="C46" s="33">
        <f t="shared" ref="C46:D46" si="4">C36+C42</f>
        <v>193336</v>
      </c>
      <c r="D46" s="33">
        <f t="shared" si="4"/>
        <v>200264</v>
      </c>
    </row>
  </sheetData>
  <printOptions horizontalCentered="1"/>
  <pageMargins left="0.70866141732283472" right="0.70866141732283472" top="1.2083333333333333" bottom="0.74803149606299213" header="0.31496062992125984" footer="0.31496062992125984"/>
  <pageSetup paperSize="9" scale="89" orientation="portrait" r:id="rId1"/>
  <headerFooter>
    <oddHeader>&amp;L5/F. melléklet a 20/2014. (VI.30.) önkormányzati rendelethez&amp;C&amp;"-,Félkövér"&amp;16
A Segítő Kéz Szolgálat 2014. évi bevételei forrásonként, kiadásai jogcímenként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62"/>
  <sheetViews>
    <sheetView view="pageLayout" topLeftCell="A45" zoomScaleNormal="100" zoomScaleSheetLayoutView="100" workbookViewId="0">
      <selection activeCell="B67" sqref="B67"/>
    </sheetView>
  </sheetViews>
  <sheetFormatPr defaultRowHeight="15"/>
  <cols>
    <col min="1" max="1" width="5.7109375" style="3" customWidth="1"/>
    <col min="2" max="2" width="71.5703125" bestFit="1" customWidth="1"/>
    <col min="3" max="4" width="12.5703125" style="26" customWidth="1"/>
  </cols>
  <sheetData>
    <row r="1" spans="1:4">
      <c r="D1" s="28" t="s">
        <v>0</v>
      </c>
    </row>
    <row r="2" spans="1:4" ht="30">
      <c r="A2" s="4" t="s">
        <v>60</v>
      </c>
      <c r="B2" s="5" t="s">
        <v>59</v>
      </c>
      <c r="C2" s="550" t="s">
        <v>437</v>
      </c>
      <c r="D2" s="550" t="s">
        <v>1827</v>
      </c>
    </row>
    <row r="3" spans="1:4">
      <c r="A3" s="6" t="s">
        <v>1</v>
      </c>
      <c r="B3" s="7" t="s">
        <v>2</v>
      </c>
      <c r="C3" s="14">
        <f>C4+C9+C19+C28</f>
        <v>3183736</v>
      </c>
      <c r="D3" s="14">
        <f>D4+D9+D19+D28</f>
        <v>3211085</v>
      </c>
    </row>
    <row r="4" spans="1:4">
      <c r="A4" s="8" t="s">
        <v>3</v>
      </c>
      <c r="B4" s="9" t="s">
        <v>7</v>
      </c>
      <c r="C4" s="15">
        <f>SUM(C5:C8)</f>
        <v>495867</v>
      </c>
      <c r="D4" s="15">
        <f>SUM(D5:D8)</f>
        <v>517151</v>
      </c>
    </row>
    <row r="5" spans="1:4" s="2" customFormat="1">
      <c r="A5" s="10"/>
      <c r="B5" s="11" t="s">
        <v>15</v>
      </c>
      <c r="C5" s="35">
        <f>'2A Önk bev'!C6</f>
        <v>433472</v>
      </c>
      <c r="D5" s="35">
        <f>'2A Önk bev'!D6</f>
        <v>449736</v>
      </c>
    </row>
    <row r="6" spans="1:4">
      <c r="A6" s="10"/>
      <c r="B6" s="11" t="s">
        <v>17</v>
      </c>
      <c r="C6" s="35">
        <f>'2A Önk bev'!C14</f>
        <v>0</v>
      </c>
      <c r="D6" s="35">
        <f>'2A Önk bev'!D14</f>
        <v>0</v>
      </c>
    </row>
    <row r="7" spans="1:4">
      <c r="A7" s="10"/>
      <c r="B7" s="11" t="s">
        <v>1501</v>
      </c>
      <c r="C7" s="35">
        <f>'2A Önk bev'!C15</f>
        <v>0</v>
      </c>
      <c r="D7" s="35">
        <f>'2A Önk bev'!D15</f>
        <v>0</v>
      </c>
    </row>
    <row r="8" spans="1:4" ht="19.5" customHeight="1">
      <c r="A8" s="10"/>
      <c r="B8" s="11" t="s">
        <v>1502</v>
      </c>
      <c r="C8" s="35">
        <f>'2A Önk bev'!C16</f>
        <v>62395</v>
      </c>
      <c r="D8" s="35">
        <f>'2A Önk bev'!D16+'4A. VG bev kiad'!D8+'3A PH'!D9</f>
        <v>67415</v>
      </c>
    </row>
    <row r="9" spans="1:4">
      <c r="A9" s="8" t="s">
        <v>4</v>
      </c>
      <c r="B9" s="9" t="s">
        <v>20</v>
      </c>
      <c r="C9" s="15">
        <f>SUM(C10:C16)</f>
        <v>2351000</v>
      </c>
      <c r="D9" s="15">
        <f>SUM(D10:D16)</f>
        <v>2352508</v>
      </c>
    </row>
    <row r="10" spans="1:4">
      <c r="A10" s="10"/>
      <c r="B10" s="11" t="s">
        <v>21</v>
      </c>
      <c r="C10" s="35">
        <f>'2A Önk bev'!C24</f>
        <v>580000</v>
      </c>
      <c r="D10" s="35">
        <f>'2A Önk bev'!D24</f>
        <v>580000</v>
      </c>
    </row>
    <row r="11" spans="1:4" hidden="1">
      <c r="A11" s="10"/>
      <c r="B11" s="12" t="s">
        <v>22</v>
      </c>
      <c r="C11" s="25"/>
      <c r="D11" s="25"/>
    </row>
    <row r="12" spans="1:4" hidden="1">
      <c r="A12" s="10"/>
      <c r="B12" s="12" t="s">
        <v>23</v>
      </c>
      <c r="C12" s="25"/>
      <c r="D12" s="25"/>
    </row>
    <row r="13" spans="1:4">
      <c r="A13" s="10"/>
      <c r="B13" s="11" t="s">
        <v>24</v>
      </c>
      <c r="C13" s="35">
        <f>'2A Önk bev'!C27</f>
        <v>1764000</v>
      </c>
      <c r="D13" s="35">
        <f>'2A Önk bev'!D27</f>
        <v>1764000</v>
      </c>
    </row>
    <row r="14" spans="1:4" hidden="1">
      <c r="A14" s="10"/>
      <c r="B14" s="12" t="s">
        <v>25</v>
      </c>
      <c r="C14" s="25"/>
      <c r="D14" s="25"/>
    </row>
    <row r="15" spans="1:4">
      <c r="A15" s="10"/>
      <c r="B15" s="11" t="s">
        <v>1504</v>
      </c>
      <c r="C15" s="35">
        <f>'2A Önk bev'!C30</f>
        <v>6000</v>
      </c>
      <c r="D15" s="35">
        <f>'2A Önk bev'!D30</f>
        <v>6460</v>
      </c>
    </row>
    <row r="16" spans="1:4">
      <c r="A16" s="10"/>
      <c r="B16" s="11" t="s">
        <v>1505</v>
      </c>
      <c r="C16" s="35">
        <f>C17</f>
        <v>1000</v>
      </c>
      <c r="D16" s="35">
        <f>D17+D18</f>
        <v>2048</v>
      </c>
    </row>
    <row r="17" spans="1:4">
      <c r="A17" s="10"/>
      <c r="B17" s="394" t="s">
        <v>28</v>
      </c>
      <c r="C17" s="35">
        <f>'3A PH'!C11</f>
        <v>1000</v>
      </c>
      <c r="D17" s="35">
        <f>'3A PH'!D11</f>
        <v>1000</v>
      </c>
    </row>
    <row r="18" spans="1:4">
      <c r="A18" s="10"/>
      <c r="B18" s="394" t="s">
        <v>1835</v>
      </c>
      <c r="C18" s="35"/>
      <c r="D18" s="35">
        <f>'2A Önk bev'!D34</f>
        <v>1048</v>
      </c>
    </row>
    <row r="19" spans="1:4">
      <c r="A19" s="8" t="s">
        <v>5</v>
      </c>
      <c r="B19" s="9" t="s">
        <v>32</v>
      </c>
      <c r="C19" s="15">
        <f>SUM(C20:C27)</f>
        <v>336869</v>
      </c>
      <c r="D19" s="15">
        <f>SUM(D20:D27)</f>
        <v>336869</v>
      </c>
    </row>
    <row r="20" spans="1:4">
      <c r="A20" s="10"/>
      <c r="B20" s="11" t="s">
        <v>1506</v>
      </c>
      <c r="C20" s="35">
        <f>'2A Önk bev'!C40+'3A PH'!C14+'4A. VG bev kiad'!C10+'5A Walla'!C11+'5B Nyitnikék'!C11+'5C Bóbita'!C11+'5D MMMH'!C11+'5E Könyvtár'!C11+'5F Segítő Kéz'!C11</f>
        <v>50</v>
      </c>
      <c r="D20" s="35">
        <f>'2A Önk bev'!D40+'3A PH'!D14+'4A. VG bev kiad'!D10+'5A Walla'!D11+'5B Nyitnikék'!D11+'5C Bóbita'!D11+'5D MMMH'!D11+'5E Könyvtár'!D11+'5F Segítő Kéz'!D11</f>
        <v>50</v>
      </c>
    </row>
    <row r="21" spans="1:4">
      <c r="A21" s="10"/>
      <c r="B21" s="11" t="s">
        <v>33</v>
      </c>
      <c r="C21" s="35">
        <f>'2A Önk bev'!C41+'3A PH'!C15+'4A. VG bev kiad'!C11+'5A Walla'!C12+'5B Nyitnikék'!C12+'5C Bóbita'!C12+'5D MMMH'!C12+'5E Könyvtár'!C12</f>
        <v>81010</v>
      </c>
      <c r="D21" s="35">
        <f>'2A Önk bev'!D41+'3A PH'!D15+'4A. VG bev kiad'!D11+'5A Walla'!D12+'5B Nyitnikék'!D12+'5C Bóbita'!D12+'5D MMMH'!D12+'5E Könyvtár'!D12</f>
        <v>81010</v>
      </c>
    </row>
    <row r="22" spans="1:4">
      <c r="A22" s="10"/>
      <c r="B22" s="11" t="s">
        <v>34</v>
      </c>
      <c r="C22" s="35">
        <f>'2A Önk bev'!C44+'4A. VG bev kiad'!C12+'5D MMMH'!C13</f>
        <v>97039</v>
      </c>
      <c r="D22" s="35">
        <f>'2A Önk bev'!D44+'4A. VG bev kiad'!D12+'5D MMMH'!D13</f>
        <v>97039</v>
      </c>
    </row>
    <row r="23" spans="1:4">
      <c r="A23" s="10"/>
      <c r="B23" s="11" t="s">
        <v>35</v>
      </c>
      <c r="C23" s="35">
        <f>'2A Önk bev'!C48+'4A. VG bev kiad'!C15+'5A Walla'!C15+'5B Nyitnikék'!C15+'5C Bóbita'!C15+'5D MMMH'!C15+'5E Könyvtár'!C15+'5F Segítő Kéz'!C15</f>
        <v>78238</v>
      </c>
      <c r="D23" s="35">
        <f>'2A Önk bev'!D48+'4A. VG bev kiad'!D15+'5A Walla'!D15+'5B Nyitnikék'!D15+'5C Bóbita'!D15+'5D MMMH'!D15+'5E Könyvtár'!D15+'5F Segítő Kéz'!D15</f>
        <v>78238</v>
      </c>
    </row>
    <row r="24" spans="1:4">
      <c r="A24" s="10"/>
      <c r="B24" s="11" t="s">
        <v>36</v>
      </c>
      <c r="C24" s="35">
        <f>'2A Önk bev'!C49+'4A. VG bev kiad'!C16+'5A Walla'!C16+'5B Nyitnikék'!C16+'5C Bóbita'!C16+'5D MMMH'!C16+'5E Könyvtár'!C16+'5F Segítő Kéz'!C16</f>
        <v>59582</v>
      </c>
      <c r="D24" s="35">
        <f>'2A Önk bev'!D49+'4A. VG bev kiad'!D16+'5A Walla'!D16+'5B Nyitnikék'!D16+'5C Bóbita'!D16+'5D MMMH'!D16+'5E Könyvtár'!D16+'5F Segítő Kéz'!D16</f>
        <v>59582</v>
      </c>
    </row>
    <row r="25" spans="1:4">
      <c r="A25" s="10"/>
      <c r="B25" s="11" t="s">
        <v>37</v>
      </c>
      <c r="C25" s="35">
        <f>'2A Önk bev'!C50+'4A. VG bev kiad'!C17+'5A Walla'!C17+'5B Nyitnikék'!C17+'5C Bóbita'!C17+'5D MMMH'!C17+'5E Könyvtár'!C17+'5F Segítő Kéz'!C17</f>
        <v>0</v>
      </c>
      <c r="D25" s="35">
        <f>'2A Önk bev'!D50+'4A. VG bev kiad'!D17+'5A Walla'!D17+'5B Nyitnikék'!D17+'5C Bóbita'!D17+'5D MMMH'!D17+'5E Könyvtár'!D17+'5F Segítő Kéz'!D17</f>
        <v>0</v>
      </c>
    </row>
    <row r="26" spans="1:4">
      <c r="A26" s="10"/>
      <c r="B26" s="11" t="s">
        <v>38</v>
      </c>
      <c r="C26" s="35">
        <f>'2A Önk bev'!C51+'4A. VG bev kiad'!C18+'5A Walla'!C18+'5B Nyitnikék'!C18+'5C Bóbita'!C18+'5D MMMH'!C18+'5E Könyvtár'!C18+'5F Segítő Kéz'!C18</f>
        <v>20450</v>
      </c>
      <c r="D26" s="35">
        <f>'2A Önk bev'!D51+'4A. VG bev kiad'!D18+'5A Walla'!D18+'5B Nyitnikék'!D18+'5C Bóbita'!D18+'5D MMMH'!D18+'5E Könyvtár'!D18+'5F Segítő Kéz'!D18</f>
        <v>20450</v>
      </c>
    </row>
    <row r="27" spans="1:4">
      <c r="A27" s="10"/>
      <c r="B27" s="11" t="s">
        <v>39</v>
      </c>
      <c r="C27" s="35">
        <f>'2A Önk bev'!C52+'4A. VG bev kiad'!C19+'5A Walla'!C19+'5B Nyitnikék'!C19+'5C Bóbita'!C19+'5D MMMH'!C19+'5E Könyvtár'!C19+'5F Segítő Kéz'!C19</f>
        <v>500</v>
      </c>
      <c r="D27" s="35">
        <f>'2A Önk bev'!D52+'4A. VG bev kiad'!D19+'5A Walla'!D19+'5B Nyitnikék'!D19+'5C Bóbita'!D19+'5D MMMH'!D19+'5E Könyvtár'!D19+'5F Segítő Kéz'!D19</f>
        <v>500</v>
      </c>
    </row>
    <row r="28" spans="1:4">
      <c r="A28" s="8" t="s">
        <v>6</v>
      </c>
      <c r="B28" s="9" t="s">
        <v>41</v>
      </c>
      <c r="C28" s="15">
        <f>SUM(C29:C30)</f>
        <v>0</v>
      </c>
      <c r="D28" s="15">
        <f>SUM(D29:D30)</f>
        <v>4557</v>
      </c>
    </row>
    <row r="29" spans="1:4">
      <c r="A29" s="10"/>
      <c r="B29" s="11" t="s">
        <v>1507</v>
      </c>
      <c r="C29" s="35">
        <f>'2A Önk bev'!C54</f>
        <v>0</v>
      </c>
      <c r="D29" s="35">
        <f>'2A Önk bev'!D54</f>
        <v>0</v>
      </c>
    </row>
    <row r="30" spans="1:4">
      <c r="A30" s="10"/>
      <c r="B30" s="11" t="s">
        <v>42</v>
      </c>
      <c r="C30" s="35">
        <f>'2A Önk bev'!C55</f>
        <v>0</v>
      </c>
      <c r="D30" s="35">
        <f>'2A Önk bev'!D55+'4A. VG bev kiad'!D21</f>
        <v>4557</v>
      </c>
    </row>
    <row r="31" spans="1:4">
      <c r="A31" s="6" t="s">
        <v>13</v>
      </c>
      <c r="B31" s="7" t="s">
        <v>14</v>
      </c>
      <c r="C31" s="14">
        <f>C32+C36+C41</f>
        <v>118722</v>
      </c>
      <c r="D31" s="14">
        <f>D32+D36+D41</f>
        <v>258473</v>
      </c>
    </row>
    <row r="32" spans="1:4">
      <c r="A32" s="8" t="s">
        <v>3</v>
      </c>
      <c r="B32" s="9" t="s">
        <v>18</v>
      </c>
      <c r="C32" s="15">
        <f>SUM(C33:C35)</f>
        <v>0</v>
      </c>
      <c r="D32" s="15">
        <f>SUM(D33:D35)</f>
        <v>139751</v>
      </c>
    </row>
    <row r="33" spans="1:4">
      <c r="A33" s="10"/>
      <c r="B33" s="13" t="s">
        <v>19</v>
      </c>
      <c r="C33" s="17">
        <f>'2A Önk bev'!C58</f>
        <v>0</v>
      </c>
      <c r="D33" s="17">
        <f>'2A Önk bev'!D58</f>
        <v>139751</v>
      </c>
    </row>
    <row r="34" spans="1:4">
      <c r="A34" s="10"/>
      <c r="B34" s="13" t="s">
        <v>1512</v>
      </c>
      <c r="C34" s="17">
        <f>'2A Önk bev'!C59</f>
        <v>0</v>
      </c>
      <c r="D34" s="17">
        <f>'2A Önk bev'!D59</f>
        <v>0</v>
      </c>
    </row>
    <row r="35" spans="1:4">
      <c r="A35" s="10"/>
      <c r="B35" s="13" t="s">
        <v>1508</v>
      </c>
      <c r="C35" s="17">
        <f>'2A Önk bev'!C60</f>
        <v>0</v>
      </c>
      <c r="D35" s="17">
        <f>'2A Önk bev'!D60</f>
        <v>0</v>
      </c>
    </row>
    <row r="36" spans="1:4">
      <c r="A36" s="8" t="s">
        <v>4</v>
      </c>
      <c r="B36" s="9" t="s">
        <v>40</v>
      </c>
      <c r="C36" s="15">
        <f>SUM(C37:C40)</f>
        <v>100000</v>
      </c>
      <c r="D36" s="15">
        <f>SUM(D37:D40)</f>
        <v>100000</v>
      </c>
    </row>
    <row r="37" spans="1:4">
      <c r="A37" s="10"/>
      <c r="B37" s="13" t="s">
        <v>62</v>
      </c>
      <c r="C37" s="17">
        <f>'2A Önk bev'!C62</f>
        <v>0</v>
      </c>
      <c r="D37" s="17">
        <f>'2A Önk bev'!D62</f>
        <v>0</v>
      </c>
    </row>
    <row r="38" spans="1:4">
      <c r="A38" s="10"/>
      <c r="B38" s="13" t="s">
        <v>63</v>
      </c>
      <c r="C38" s="17">
        <f>'2A Önk bev'!C63</f>
        <v>100000</v>
      </c>
      <c r="D38" s="17">
        <f>'2A Önk bev'!D63</f>
        <v>100000</v>
      </c>
    </row>
    <row r="39" spans="1:4">
      <c r="A39" s="10"/>
      <c r="B39" s="13" t="s">
        <v>64</v>
      </c>
      <c r="C39" s="17">
        <f>'2A Önk bev'!C67</f>
        <v>0</v>
      </c>
      <c r="D39" s="17">
        <f>'2A Önk bev'!D67</f>
        <v>0</v>
      </c>
    </row>
    <row r="40" spans="1:4">
      <c r="A40" s="10"/>
      <c r="B40" s="13" t="s">
        <v>65</v>
      </c>
      <c r="C40" s="17">
        <f>'2A Önk bev'!C68</f>
        <v>0</v>
      </c>
      <c r="D40" s="17">
        <f>'2A Önk bev'!D68</f>
        <v>0</v>
      </c>
    </row>
    <row r="41" spans="1:4">
      <c r="A41" s="8" t="s">
        <v>5</v>
      </c>
      <c r="B41" s="9" t="s">
        <v>43</v>
      </c>
      <c r="C41" s="15">
        <f>SUM(C42:C43)</f>
        <v>18722</v>
      </c>
      <c r="D41" s="15">
        <f>SUM(D42:D43)</f>
        <v>18722</v>
      </c>
    </row>
    <row r="42" spans="1:4">
      <c r="A42" s="10"/>
      <c r="B42" s="13" t="s">
        <v>1509</v>
      </c>
      <c r="C42" s="17">
        <f>'2A Önk bev'!C70</f>
        <v>9824</v>
      </c>
      <c r="D42" s="17">
        <f>'2A Önk bev'!D70</f>
        <v>9824</v>
      </c>
    </row>
    <row r="43" spans="1:4">
      <c r="A43" s="10"/>
      <c r="B43" s="13" t="s">
        <v>79</v>
      </c>
      <c r="C43" s="17">
        <f>'2A Önk bev'!C74</f>
        <v>8898</v>
      </c>
      <c r="D43" s="17">
        <f>'2A Önk bev'!D74</f>
        <v>8898</v>
      </c>
    </row>
    <row r="44" spans="1:4">
      <c r="A44" s="5"/>
      <c r="B44" s="29" t="s">
        <v>100</v>
      </c>
      <c r="C44" s="27">
        <f>C3+C31</f>
        <v>3302458</v>
      </c>
      <c r="D44" s="27">
        <f>D3+D31</f>
        <v>3469558</v>
      </c>
    </row>
    <row r="45" spans="1:4">
      <c r="A45" s="6" t="s">
        <v>44</v>
      </c>
      <c r="B45" s="7" t="s">
        <v>45</v>
      </c>
      <c r="C45" s="14">
        <f>C46+C59</f>
        <v>1272481</v>
      </c>
      <c r="D45" s="14">
        <f>D46+D59</f>
        <v>1412475</v>
      </c>
    </row>
    <row r="46" spans="1:4">
      <c r="A46" s="8" t="s">
        <v>3</v>
      </c>
      <c r="B46" s="9" t="s">
        <v>46</v>
      </c>
      <c r="C46" s="15">
        <f>SUM(C47:C56)</f>
        <v>1272481</v>
      </c>
      <c r="D46" s="15">
        <f>D52+D56</f>
        <v>1412475</v>
      </c>
    </row>
    <row r="47" spans="1:4">
      <c r="A47" s="10"/>
      <c r="B47" s="13" t="s">
        <v>47</v>
      </c>
      <c r="C47" s="17">
        <f>SUM(C48:C50)</f>
        <v>0</v>
      </c>
      <c r="D47" s="17">
        <f>SUM(D48:D50)</f>
        <v>0</v>
      </c>
    </row>
    <row r="48" spans="1:4">
      <c r="A48" s="10"/>
      <c r="B48" s="12" t="s">
        <v>48</v>
      </c>
      <c r="C48" s="17">
        <f>'2A Önk bev'!C84</f>
        <v>0</v>
      </c>
      <c r="D48" s="17">
        <f>'2A Önk bev'!D84</f>
        <v>0</v>
      </c>
    </row>
    <row r="49" spans="1:4">
      <c r="A49" s="10"/>
      <c r="B49" s="12" t="s">
        <v>1511</v>
      </c>
      <c r="C49" s="17">
        <f>'2A Önk bev'!C85</f>
        <v>0</v>
      </c>
      <c r="D49" s="17">
        <f>'2A Önk bev'!D85</f>
        <v>0</v>
      </c>
    </row>
    <row r="50" spans="1:4">
      <c r="A50" s="10"/>
      <c r="B50" s="12" t="s">
        <v>49</v>
      </c>
      <c r="C50" s="17">
        <f>'2A Önk bev'!C86</f>
        <v>0</v>
      </c>
      <c r="D50" s="17">
        <f>'2A Önk bev'!D86</f>
        <v>0</v>
      </c>
    </row>
    <row r="51" spans="1:4">
      <c r="A51" s="10"/>
      <c r="B51" s="13" t="s">
        <v>1510</v>
      </c>
      <c r="C51" s="17">
        <f>'2A Önk bev'!C87</f>
        <v>0</v>
      </c>
      <c r="D51" s="17">
        <f>'2A Önk bev'!D87</f>
        <v>0</v>
      </c>
    </row>
    <row r="52" spans="1:4">
      <c r="A52" s="10"/>
      <c r="B52" s="587" t="s">
        <v>50</v>
      </c>
      <c r="C52" s="586">
        <f>'2A Önk bev'!C88</f>
        <v>1272481</v>
      </c>
      <c r="D52" s="586">
        <f>'2A Önk bev'!D88+'4A. VG bev kiad'!D33+'3A PH'!D33+'5A Walla'!D33+'5B Nyitnikék'!D33+'5C Bóbita'!D33+'5D MMMH'!D33+'5E Könyvtár'!D33+'5F Segítő Kéz'!D33</f>
        <v>589975</v>
      </c>
    </row>
    <row r="53" spans="1:4">
      <c r="A53" s="10"/>
      <c r="B53" s="588" t="s">
        <v>1869</v>
      </c>
      <c r="C53" s="586"/>
      <c r="D53" s="586">
        <f>D52-D54</f>
        <v>423275</v>
      </c>
    </row>
    <row r="54" spans="1:4">
      <c r="A54" s="10"/>
      <c r="B54" s="588" t="s">
        <v>1870</v>
      </c>
      <c r="C54" s="586"/>
      <c r="D54" s="586">
        <f>'2C Önk bev kiad fel'!P117+'4B VG fel'!P80</f>
        <v>166700</v>
      </c>
    </row>
    <row r="55" spans="1:4">
      <c r="A55" s="10"/>
      <c r="B55" s="587" t="s">
        <v>51</v>
      </c>
      <c r="C55" s="586">
        <f>'2A Önk bev'!C91</f>
        <v>0</v>
      </c>
      <c r="D55" s="586">
        <f>'2A Önk bev'!D91</f>
        <v>0</v>
      </c>
    </row>
    <row r="56" spans="1:4">
      <c r="A56" s="10"/>
      <c r="B56" s="587" t="s">
        <v>52</v>
      </c>
      <c r="C56" s="586">
        <f>'2A Önk bev'!C92</f>
        <v>0</v>
      </c>
      <c r="D56" s="586">
        <f>'2A Önk bev'!D92</f>
        <v>822500</v>
      </c>
    </row>
    <row r="57" spans="1:4">
      <c r="A57" s="10"/>
      <c r="B57" s="588" t="s">
        <v>1871</v>
      </c>
      <c r="C57" s="586"/>
      <c r="D57" s="586">
        <f>D56-D58</f>
        <v>822500</v>
      </c>
    </row>
    <row r="58" spans="1:4">
      <c r="A58" s="10"/>
      <c r="B58" s="588" t="s">
        <v>1872</v>
      </c>
      <c r="C58" s="586"/>
      <c r="D58" s="586">
        <v>0</v>
      </c>
    </row>
    <row r="59" spans="1:4">
      <c r="A59" s="8" t="s">
        <v>4</v>
      </c>
      <c r="B59" s="9" t="s">
        <v>53</v>
      </c>
      <c r="C59" s="15">
        <f>SUM(C60:C61)</f>
        <v>0</v>
      </c>
      <c r="D59" s="15">
        <f>SUM(D60:D61)</f>
        <v>0</v>
      </c>
    </row>
    <row r="60" spans="1:4">
      <c r="A60" s="10"/>
      <c r="B60" s="13" t="s">
        <v>54</v>
      </c>
      <c r="C60" s="17">
        <f>'2A Önk bev'!C94</f>
        <v>0</v>
      </c>
      <c r="D60" s="17">
        <f>'2A Önk bev'!D94</f>
        <v>0</v>
      </c>
    </row>
    <row r="61" spans="1:4">
      <c r="A61" s="10"/>
      <c r="B61" s="13" t="s">
        <v>55</v>
      </c>
      <c r="C61" s="17">
        <f>'2A Önk bev'!C95</f>
        <v>0</v>
      </c>
      <c r="D61" s="17">
        <f>'2A Önk bev'!D95</f>
        <v>0</v>
      </c>
    </row>
    <row r="62" spans="1:4">
      <c r="A62" s="31"/>
      <c r="B62" s="32" t="s">
        <v>56</v>
      </c>
      <c r="C62" s="33">
        <f>C45+C31+C3</f>
        <v>4574939</v>
      </c>
      <c r="D62" s="33">
        <f>D45+D31+D3</f>
        <v>4882033</v>
      </c>
    </row>
  </sheetData>
  <printOptions horizontalCentered="1"/>
  <pageMargins left="0.70866141732283472" right="0.70866141732283472" top="1.2604166666666667" bottom="0.74803149606299213" header="0.31496062992125984" footer="0.31496062992125984"/>
  <pageSetup paperSize="9" scale="85" orientation="portrait" r:id="rId1"/>
  <headerFooter>
    <oddHeader>&amp;L1/A. melléklet a 20/2014. (VI.30.) önkormányzati rendelethez&amp;C&amp;"-,Félkövér"&amp;16
Az Önkormányzat 2014. évi összevont bevételei forrásonként</oddHeader>
    <oddFooter>&amp;C&amp;P</oddFooter>
  </headerFooter>
  <rowBreaks count="1" manualBreakCount="1">
    <brk id="4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04"/>
  <sheetViews>
    <sheetView view="pageLayout" topLeftCell="I1" zoomScaleNormal="100" zoomScaleSheetLayoutView="100" workbookViewId="0">
      <selection activeCell="N12" sqref="N12"/>
    </sheetView>
  </sheetViews>
  <sheetFormatPr defaultRowHeight="15"/>
  <cols>
    <col min="1" max="1" width="7.7109375" style="73" bestFit="1" customWidth="1"/>
    <col min="2" max="2" width="48.7109375" style="72" customWidth="1"/>
    <col min="3" max="3" width="9.5703125" style="442" customWidth="1"/>
    <col min="4" max="4" width="10.85546875" style="442" customWidth="1"/>
    <col min="5" max="5" width="9.5703125" style="442" customWidth="1"/>
    <col min="6" max="6" width="12.28515625" style="442" customWidth="1"/>
    <col min="7" max="7" width="10.85546875" style="26" bestFit="1" customWidth="1"/>
    <col min="8" max="8" width="12" style="26" customWidth="1"/>
    <col min="9" max="9" width="10.85546875" style="26" bestFit="1" customWidth="1"/>
    <col min="10" max="10" width="13" style="26" customWidth="1"/>
    <col min="11" max="11" width="10.140625" style="26" bestFit="1" customWidth="1"/>
    <col min="12" max="12" width="13.5703125" style="26" customWidth="1"/>
    <col min="13" max="13" width="10.28515625" style="26" customWidth="1"/>
    <col min="14" max="16" width="13.5703125" style="26" customWidth="1"/>
    <col min="17" max="17" width="14" style="26" bestFit="1" customWidth="1"/>
    <col min="18" max="18" width="16.28515625" style="26" customWidth="1"/>
    <col min="266" max="266" width="7.7109375" bestFit="1" customWidth="1"/>
    <col min="267" max="267" width="48.7109375" customWidth="1"/>
    <col min="268" max="269" width="9.5703125" customWidth="1"/>
    <col min="270" max="271" width="10.85546875" bestFit="1" customWidth="1"/>
    <col min="272" max="272" width="10.140625" bestFit="1" customWidth="1"/>
    <col min="273" max="273" width="10.28515625" customWidth="1"/>
    <col min="274" max="274" width="14" bestFit="1" customWidth="1"/>
    <col min="522" max="522" width="7.7109375" bestFit="1" customWidth="1"/>
    <col min="523" max="523" width="48.7109375" customWidth="1"/>
    <col min="524" max="525" width="9.5703125" customWidth="1"/>
    <col min="526" max="527" width="10.85546875" bestFit="1" customWidth="1"/>
    <col min="528" max="528" width="10.140625" bestFit="1" customWidth="1"/>
    <col min="529" max="529" width="10.28515625" customWidth="1"/>
    <col min="530" max="530" width="14" bestFit="1" customWidth="1"/>
    <col min="778" max="778" width="7.7109375" bestFit="1" customWidth="1"/>
    <col min="779" max="779" width="48.7109375" customWidth="1"/>
    <col min="780" max="781" width="9.5703125" customWidth="1"/>
    <col min="782" max="783" width="10.85546875" bestFit="1" customWidth="1"/>
    <col min="784" max="784" width="10.140625" bestFit="1" customWidth="1"/>
    <col min="785" max="785" width="10.28515625" customWidth="1"/>
    <col min="786" max="786" width="14" bestFit="1" customWidth="1"/>
    <col min="1034" max="1034" width="7.7109375" bestFit="1" customWidth="1"/>
    <col min="1035" max="1035" width="48.7109375" customWidth="1"/>
    <col min="1036" max="1037" width="9.5703125" customWidth="1"/>
    <col min="1038" max="1039" width="10.85546875" bestFit="1" customWidth="1"/>
    <col min="1040" max="1040" width="10.140625" bestFit="1" customWidth="1"/>
    <col min="1041" max="1041" width="10.28515625" customWidth="1"/>
    <col min="1042" max="1042" width="14" bestFit="1" customWidth="1"/>
    <col min="1290" max="1290" width="7.7109375" bestFit="1" customWidth="1"/>
    <col min="1291" max="1291" width="48.7109375" customWidth="1"/>
    <col min="1292" max="1293" width="9.5703125" customWidth="1"/>
    <col min="1294" max="1295" width="10.85546875" bestFit="1" customWidth="1"/>
    <col min="1296" max="1296" width="10.140625" bestFit="1" customWidth="1"/>
    <col min="1297" max="1297" width="10.28515625" customWidth="1"/>
    <col min="1298" max="1298" width="14" bestFit="1" customWidth="1"/>
    <col min="1546" max="1546" width="7.7109375" bestFit="1" customWidth="1"/>
    <col min="1547" max="1547" width="48.7109375" customWidth="1"/>
    <col min="1548" max="1549" width="9.5703125" customWidth="1"/>
    <col min="1550" max="1551" width="10.85546875" bestFit="1" customWidth="1"/>
    <col min="1552" max="1552" width="10.140625" bestFit="1" customWidth="1"/>
    <col min="1553" max="1553" width="10.28515625" customWidth="1"/>
    <col min="1554" max="1554" width="14" bestFit="1" customWidth="1"/>
    <col min="1802" max="1802" width="7.7109375" bestFit="1" customWidth="1"/>
    <col min="1803" max="1803" width="48.7109375" customWidth="1"/>
    <col min="1804" max="1805" width="9.5703125" customWidth="1"/>
    <col min="1806" max="1807" width="10.85546875" bestFit="1" customWidth="1"/>
    <col min="1808" max="1808" width="10.140625" bestFit="1" customWidth="1"/>
    <col min="1809" max="1809" width="10.28515625" customWidth="1"/>
    <col min="1810" max="1810" width="14" bestFit="1" customWidth="1"/>
    <col min="2058" max="2058" width="7.7109375" bestFit="1" customWidth="1"/>
    <col min="2059" max="2059" width="48.7109375" customWidth="1"/>
    <col min="2060" max="2061" width="9.5703125" customWidth="1"/>
    <col min="2062" max="2063" width="10.85546875" bestFit="1" customWidth="1"/>
    <col min="2064" max="2064" width="10.140625" bestFit="1" customWidth="1"/>
    <col min="2065" max="2065" width="10.28515625" customWidth="1"/>
    <col min="2066" max="2066" width="14" bestFit="1" customWidth="1"/>
    <col min="2314" max="2314" width="7.7109375" bestFit="1" customWidth="1"/>
    <col min="2315" max="2315" width="48.7109375" customWidth="1"/>
    <col min="2316" max="2317" width="9.5703125" customWidth="1"/>
    <col min="2318" max="2319" width="10.85546875" bestFit="1" customWidth="1"/>
    <col min="2320" max="2320" width="10.140625" bestFit="1" customWidth="1"/>
    <col min="2321" max="2321" width="10.28515625" customWidth="1"/>
    <col min="2322" max="2322" width="14" bestFit="1" customWidth="1"/>
    <col min="2570" max="2570" width="7.7109375" bestFit="1" customWidth="1"/>
    <col min="2571" max="2571" width="48.7109375" customWidth="1"/>
    <col min="2572" max="2573" width="9.5703125" customWidth="1"/>
    <col min="2574" max="2575" width="10.85546875" bestFit="1" customWidth="1"/>
    <col min="2576" max="2576" width="10.140625" bestFit="1" customWidth="1"/>
    <col min="2577" max="2577" width="10.28515625" customWidth="1"/>
    <col min="2578" max="2578" width="14" bestFit="1" customWidth="1"/>
    <col min="2826" max="2826" width="7.7109375" bestFit="1" customWidth="1"/>
    <col min="2827" max="2827" width="48.7109375" customWidth="1"/>
    <col min="2828" max="2829" width="9.5703125" customWidth="1"/>
    <col min="2830" max="2831" width="10.85546875" bestFit="1" customWidth="1"/>
    <col min="2832" max="2832" width="10.140625" bestFit="1" customWidth="1"/>
    <col min="2833" max="2833" width="10.28515625" customWidth="1"/>
    <col min="2834" max="2834" width="14" bestFit="1" customWidth="1"/>
    <col min="3082" max="3082" width="7.7109375" bestFit="1" customWidth="1"/>
    <col min="3083" max="3083" width="48.7109375" customWidth="1"/>
    <col min="3084" max="3085" width="9.5703125" customWidth="1"/>
    <col min="3086" max="3087" width="10.85546875" bestFit="1" customWidth="1"/>
    <col min="3088" max="3088" width="10.140625" bestFit="1" customWidth="1"/>
    <col min="3089" max="3089" width="10.28515625" customWidth="1"/>
    <col min="3090" max="3090" width="14" bestFit="1" customWidth="1"/>
    <col min="3338" max="3338" width="7.7109375" bestFit="1" customWidth="1"/>
    <col min="3339" max="3339" width="48.7109375" customWidth="1"/>
    <col min="3340" max="3341" width="9.5703125" customWidth="1"/>
    <col min="3342" max="3343" width="10.85546875" bestFit="1" customWidth="1"/>
    <col min="3344" max="3344" width="10.140625" bestFit="1" customWidth="1"/>
    <col min="3345" max="3345" width="10.28515625" customWidth="1"/>
    <col min="3346" max="3346" width="14" bestFit="1" customWidth="1"/>
    <col min="3594" max="3594" width="7.7109375" bestFit="1" customWidth="1"/>
    <col min="3595" max="3595" width="48.7109375" customWidth="1"/>
    <col min="3596" max="3597" width="9.5703125" customWidth="1"/>
    <col min="3598" max="3599" width="10.85546875" bestFit="1" customWidth="1"/>
    <col min="3600" max="3600" width="10.140625" bestFit="1" customWidth="1"/>
    <col min="3601" max="3601" width="10.28515625" customWidth="1"/>
    <col min="3602" max="3602" width="14" bestFit="1" customWidth="1"/>
    <col min="3850" max="3850" width="7.7109375" bestFit="1" customWidth="1"/>
    <col min="3851" max="3851" width="48.7109375" customWidth="1"/>
    <col min="3852" max="3853" width="9.5703125" customWidth="1"/>
    <col min="3854" max="3855" width="10.85546875" bestFit="1" customWidth="1"/>
    <col min="3856" max="3856" width="10.140625" bestFit="1" customWidth="1"/>
    <col min="3857" max="3857" width="10.28515625" customWidth="1"/>
    <col min="3858" max="3858" width="14" bestFit="1" customWidth="1"/>
    <col min="4106" max="4106" width="7.7109375" bestFit="1" customWidth="1"/>
    <col min="4107" max="4107" width="48.7109375" customWidth="1"/>
    <col min="4108" max="4109" width="9.5703125" customWidth="1"/>
    <col min="4110" max="4111" width="10.85546875" bestFit="1" customWidth="1"/>
    <col min="4112" max="4112" width="10.140625" bestFit="1" customWidth="1"/>
    <col min="4113" max="4113" width="10.28515625" customWidth="1"/>
    <col min="4114" max="4114" width="14" bestFit="1" customWidth="1"/>
    <col min="4362" max="4362" width="7.7109375" bestFit="1" customWidth="1"/>
    <col min="4363" max="4363" width="48.7109375" customWidth="1"/>
    <col min="4364" max="4365" width="9.5703125" customWidth="1"/>
    <col min="4366" max="4367" width="10.85546875" bestFit="1" customWidth="1"/>
    <col min="4368" max="4368" width="10.140625" bestFit="1" customWidth="1"/>
    <col min="4369" max="4369" width="10.28515625" customWidth="1"/>
    <col min="4370" max="4370" width="14" bestFit="1" customWidth="1"/>
    <col min="4618" max="4618" width="7.7109375" bestFit="1" customWidth="1"/>
    <col min="4619" max="4619" width="48.7109375" customWidth="1"/>
    <col min="4620" max="4621" width="9.5703125" customWidth="1"/>
    <col min="4622" max="4623" width="10.85546875" bestFit="1" customWidth="1"/>
    <col min="4624" max="4624" width="10.140625" bestFit="1" customWidth="1"/>
    <col min="4625" max="4625" width="10.28515625" customWidth="1"/>
    <col min="4626" max="4626" width="14" bestFit="1" customWidth="1"/>
    <col min="4874" max="4874" width="7.7109375" bestFit="1" customWidth="1"/>
    <col min="4875" max="4875" width="48.7109375" customWidth="1"/>
    <col min="4876" max="4877" width="9.5703125" customWidth="1"/>
    <col min="4878" max="4879" width="10.85546875" bestFit="1" customWidth="1"/>
    <col min="4880" max="4880" width="10.140625" bestFit="1" customWidth="1"/>
    <col min="4881" max="4881" width="10.28515625" customWidth="1"/>
    <col min="4882" max="4882" width="14" bestFit="1" customWidth="1"/>
    <col min="5130" max="5130" width="7.7109375" bestFit="1" customWidth="1"/>
    <col min="5131" max="5131" width="48.7109375" customWidth="1"/>
    <col min="5132" max="5133" width="9.5703125" customWidth="1"/>
    <col min="5134" max="5135" width="10.85546875" bestFit="1" customWidth="1"/>
    <col min="5136" max="5136" width="10.140625" bestFit="1" customWidth="1"/>
    <col min="5137" max="5137" width="10.28515625" customWidth="1"/>
    <col min="5138" max="5138" width="14" bestFit="1" customWidth="1"/>
    <col min="5386" max="5386" width="7.7109375" bestFit="1" customWidth="1"/>
    <col min="5387" max="5387" width="48.7109375" customWidth="1"/>
    <col min="5388" max="5389" width="9.5703125" customWidth="1"/>
    <col min="5390" max="5391" width="10.85546875" bestFit="1" customWidth="1"/>
    <col min="5392" max="5392" width="10.140625" bestFit="1" customWidth="1"/>
    <col min="5393" max="5393" width="10.28515625" customWidth="1"/>
    <col min="5394" max="5394" width="14" bestFit="1" customWidth="1"/>
    <col min="5642" max="5642" width="7.7109375" bestFit="1" customWidth="1"/>
    <col min="5643" max="5643" width="48.7109375" customWidth="1"/>
    <col min="5644" max="5645" width="9.5703125" customWidth="1"/>
    <col min="5646" max="5647" width="10.85546875" bestFit="1" customWidth="1"/>
    <col min="5648" max="5648" width="10.140625" bestFit="1" customWidth="1"/>
    <col min="5649" max="5649" width="10.28515625" customWidth="1"/>
    <col min="5650" max="5650" width="14" bestFit="1" customWidth="1"/>
    <col min="5898" max="5898" width="7.7109375" bestFit="1" customWidth="1"/>
    <col min="5899" max="5899" width="48.7109375" customWidth="1"/>
    <col min="5900" max="5901" width="9.5703125" customWidth="1"/>
    <col min="5902" max="5903" width="10.85546875" bestFit="1" customWidth="1"/>
    <col min="5904" max="5904" width="10.140625" bestFit="1" customWidth="1"/>
    <col min="5905" max="5905" width="10.28515625" customWidth="1"/>
    <col min="5906" max="5906" width="14" bestFit="1" customWidth="1"/>
    <col min="6154" max="6154" width="7.7109375" bestFit="1" customWidth="1"/>
    <col min="6155" max="6155" width="48.7109375" customWidth="1"/>
    <col min="6156" max="6157" width="9.5703125" customWidth="1"/>
    <col min="6158" max="6159" width="10.85546875" bestFit="1" customWidth="1"/>
    <col min="6160" max="6160" width="10.140625" bestFit="1" customWidth="1"/>
    <col min="6161" max="6161" width="10.28515625" customWidth="1"/>
    <col min="6162" max="6162" width="14" bestFit="1" customWidth="1"/>
    <col min="6410" max="6410" width="7.7109375" bestFit="1" customWidth="1"/>
    <col min="6411" max="6411" width="48.7109375" customWidth="1"/>
    <col min="6412" max="6413" width="9.5703125" customWidth="1"/>
    <col min="6414" max="6415" width="10.85546875" bestFit="1" customWidth="1"/>
    <col min="6416" max="6416" width="10.140625" bestFit="1" customWidth="1"/>
    <col min="6417" max="6417" width="10.28515625" customWidth="1"/>
    <col min="6418" max="6418" width="14" bestFit="1" customWidth="1"/>
    <col min="6666" max="6666" width="7.7109375" bestFit="1" customWidth="1"/>
    <col min="6667" max="6667" width="48.7109375" customWidth="1"/>
    <col min="6668" max="6669" width="9.5703125" customWidth="1"/>
    <col min="6670" max="6671" width="10.85546875" bestFit="1" customWidth="1"/>
    <col min="6672" max="6672" width="10.140625" bestFit="1" customWidth="1"/>
    <col min="6673" max="6673" width="10.28515625" customWidth="1"/>
    <col min="6674" max="6674" width="14" bestFit="1" customWidth="1"/>
    <col min="6922" max="6922" width="7.7109375" bestFit="1" customWidth="1"/>
    <col min="6923" max="6923" width="48.7109375" customWidth="1"/>
    <col min="6924" max="6925" width="9.5703125" customWidth="1"/>
    <col min="6926" max="6927" width="10.85546875" bestFit="1" customWidth="1"/>
    <col min="6928" max="6928" width="10.140625" bestFit="1" customWidth="1"/>
    <col min="6929" max="6929" width="10.28515625" customWidth="1"/>
    <col min="6930" max="6930" width="14" bestFit="1" customWidth="1"/>
    <col min="7178" max="7178" width="7.7109375" bestFit="1" customWidth="1"/>
    <col min="7179" max="7179" width="48.7109375" customWidth="1"/>
    <col min="7180" max="7181" width="9.5703125" customWidth="1"/>
    <col min="7182" max="7183" width="10.85546875" bestFit="1" customWidth="1"/>
    <col min="7184" max="7184" width="10.140625" bestFit="1" customWidth="1"/>
    <col min="7185" max="7185" width="10.28515625" customWidth="1"/>
    <col min="7186" max="7186" width="14" bestFit="1" customWidth="1"/>
    <col min="7434" max="7434" width="7.7109375" bestFit="1" customWidth="1"/>
    <col min="7435" max="7435" width="48.7109375" customWidth="1"/>
    <col min="7436" max="7437" width="9.5703125" customWidth="1"/>
    <col min="7438" max="7439" width="10.85546875" bestFit="1" customWidth="1"/>
    <col min="7440" max="7440" width="10.140625" bestFit="1" customWidth="1"/>
    <col min="7441" max="7441" width="10.28515625" customWidth="1"/>
    <col min="7442" max="7442" width="14" bestFit="1" customWidth="1"/>
    <col min="7690" max="7690" width="7.7109375" bestFit="1" customWidth="1"/>
    <col min="7691" max="7691" width="48.7109375" customWidth="1"/>
    <col min="7692" max="7693" width="9.5703125" customWidth="1"/>
    <col min="7694" max="7695" width="10.85546875" bestFit="1" customWidth="1"/>
    <col min="7696" max="7696" width="10.140625" bestFit="1" customWidth="1"/>
    <col min="7697" max="7697" width="10.28515625" customWidth="1"/>
    <col min="7698" max="7698" width="14" bestFit="1" customWidth="1"/>
    <col min="7946" max="7946" width="7.7109375" bestFit="1" customWidth="1"/>
    <col min="7947" max="7947" width="48.7109375" customWidth="1"/>
    <col min="7948" max="7949" width="9.5703125" customWidth="1"/>
    <col min="7950" max="7951" width="10.85546875" bestFit="1" customWidth="1"/>
    <col min="7952" max="7952" width="10.140625" bestFit="1" customWidth="1"/>
    <col min="7953" max="7953" width="10.28515625" customWidth="1"/>
    <col min="7954" max="7954" width="14" bestFit="1" customWidth="1"/>
    <col min="8202" max="8202" width="7.7109375" bestFit="1" customWidth="1"/>
    <col min="8203" max="8203" width="48.7109375" customWidth="1"/>
    <col min="8204" max="8205" width="9.5703125" customWidth="1"/>
    <col min="8206" max="8207" width="10.85546875" bestFit="1" customWidth="1"/>
    <col min="8208" max="8208" width="10.140625" bestFit="1" customWidth="1"/>
    <col min="8209" max="8209" width="10.28515625" customWidth="1"/>
    <col min="8210" max="8210" width="14" bestFit="1" customWidth="1"/>
    <col min="8458" max="8458" width="7.7109375" bestFit="1" customWidth="1"/>
    <col min="8459" max="8459" width="48.7109375" customWidth="1"/>
    <col min="8460" max="8461" width="9.5703125" customWidth="1"/>
    <col min="8462" max="8463" width="10.85546875" bestFit="1" customWidth="1"/>
    <col min="8464" max="8464" width="10.140625" bestFit="1" customWidth="1"/>
    <col min="8465" max="8465" width="10.28515625" customWidth="1"/>
    <col min="8466" max="8466" width="14" bestFit="1" customWidth="1"/>
    <col min="8714" max="8714" width="7.7109375" bestFit="1" customWidth="1"/>
    <col min="8715" max="8715" width="48.7109375" customWidth="1"/>
    <col min="8716" max="8717" width="9.5703125" customWidth="1"/>
    <col min="8718" max="8719" width="10.85546875" bestFit="1" customWidth="1"/>
    <col min="8720" max="8720" width="10.140625" bestFit="1" customWidth="1"/>
    <col min="8721" max="8721" width="10.28515625" customWidth="1"/>
    <col min="8722" max="8722" width="14" bestFit="1" customWidth="1"/>
    <col min="8970" max="8970" width="7.7109375" bestFit="1" customWidth="1"/>
    <col min="8971" max="8971" width="48.7109375" customWidth="1"/>
    <col min="8972" max="8973" width="9.5703125" customWidth="1"/>
    <col min="8974" max="8975" width="10.85546875" bestFit="1" customWidth="1"/>
    <col min="8976" max="8976" width="10.140625" bestFit="1" customWidth="1"/>
    <col min="8977" max="8977" width="10.28515625" customWidth="1"/>
    <col min="8978" max="8978" width="14" bestFit="1" customWidth="1"/>
    <col min="9226" max="9226" width="7.7109375" bestFit="1" customWidth="1"/>
    <col min="9227" max="9227" width="48.7109375" customWidth="1"/>
    <col min="9228" max="9229" width="9.5703125" customWidth="1"/>
    <col min="9230" max="9231" width="10.85546875" bestFit="1" customWidth="1"/>
    <col min="9232" max="9232" width="10.140625" bestFit="1" customWidth="1"/>
    <col min="9233" max="9233" width="10.28515625" customWidth="1"/>
    <col min="9234" max="9234" width="14" bestFit="1" customWidth="1"/>
    <col min="9482" max="9482" width="7.7109375" bestFit="1" customWidth="1"/>
    <col min="9483" max="9483" width="48.7109375" customWidth="1"/>
    <col min="9484" max="9485" width="9.5703125" customWidth="1"/>
    <col min="9486" max="9487" width="10.85546875" bestFit="1" customWidth="1"/>
    <col min="9488" max="9488" width="10.140625" bestFit="1" customWidth="1"/>
    <col min="9489" max="9489" width="10.28515625" customWidth="1"/>
    <col min="9490" max="9490" width="14" bestFit="1" customWidth="1"/>
    <col min="9738" max="9738" width="7.7109375" bestFit="1" customWidth="1"/>
    <col min="9739" max="9739" width="48.7109375" customWidth="1"/>
    <col min="9740" max="9741" width="9.5703125" customWidth="1"/>
    <col min="9742" max="9743" width="10.85546875" bestFit="1" customWidth="1"/>
    <col min="9744" max="9744" width="10.140625" bestFit="1" customWidth="1"/>
    <col min="9745" max="9745" width="10.28515625" customWidth="1"/>
    <col min="9746" max="9746" width="14" bestFit="1" customWidth="1"/>
    <col min="9994" max="9994" width="7.7109375" bestFit="1" customWidth="1"/>
    <col min="9995" max="9995" width="48.7109375" customWidth="1"/>
    <col min="9996" max="9997" width="9.5703125" customWidth="1"/>
    <col min="9998" max="9999" width="10.85546875" bestFit="1" customWidth="1"/>
    <col min="10000" max="10000" width="10.140625" bestFit="1" customWidth="1"/>
    <col min="10001" max="10001" width="10.28515625" customWidth="1"/>
    <col min="10002" max="10002" width="14" bestFit="1" customWidth="1"/>
    <col min="10250" max="10250" width="7.7109375" bestFit="1" customWidth="1"/>
    <col min="10251" max="10251" width="48.7109375" customWidth="1"/>
    <col min="10252" max="10253" width="9.5703125" customWidth="1"/>
    <col min="10254" max="10255" width="10.85546875" bestFit="1" customWidth="1"/>
    <col min="10256" max="10256" width="10.140625" bestFit="1" customWidth="1"/>
    <col min="10257" max="10257" width="10.28515625" customWidth="1"/>
    <col min="10258" max="10258" width="14" bestFit="1" customWidth="1"/>
    <col min="10506" max="10506" width="7.7109375" bestFit="1" customWidth="1"/>
    <col min="10507" max="10507" width="48.7109375" customWidth="1"/>
    <col min="10508" max="10509" width="9.5703125" customWidth="1"/>
    <col min="10510" max="10511" width="10.85546875" bestFit="1" customWidth="1"/>
    <col min="10512" max="10512" width="10.140625" bestFit="1" customWidth="1"/>
    <col min="10513" max="10513" width="10.28515625" customWidth="1"/>
    <col min="10514" max="10514" width="14" bestFit="1" customWidth="1"/>
    <col min="10762" max="10762" width="7.7109375" bestFit="1" customWidth="1"/>
    <col min="10763" max="10763" width="48.7109375" customWidth="1"/>
    <col min="10764" max="10765" width="9.5703125" customWidth="1"/>
    <col min="10766" max="10767" width="10.85546875" bestFit="1" customWidth="1"/>
    <col min="10768" max="10768" width="10.140625" bestFit="1" customWidth="1"/>
    <col min="10769" max="10769" width="10.28515625" customWidth="1"/>
    <col min="10770" max="10770" width="14" bestFit="1" customWidth="1"/>
    <col min="11018" max="11018" width="7.7109375" bestFit="1" customWidth="1"/>
    <col min="11019" max="11019" width="48.7109375" customWidth="1"/>
    <col min="11020" max="11021" width="9.5703125" customWidth="1"/>
    <col min="11022" max="11023" width="10.85546875" bestFit="1" customWidth="1"/>
    <col min="11024" max="11024" width="10.140625" bestFit="1" customWidth="1"/>
    <col min="11025" max="11025" width="10.28515625" customWidth="1"/>
    <col min="11026" max="11026" width="14" bestFit="1" customWidth="1"/>
    <col min="11274" max="11274" width="7.7109375" bestFit="1" customWidth="1"/>
    <col min="11275" max="11275" width="48.7109375" customWidth="1"/>
    <col min="11276" max="11277" width="9.5703125" customWidth="1"/>
    <col min="11278" max="11279" width="10.85546875" bestFit="1" customWidth="1"/>
    <col min="11280" max="11280" width="10.140625" bestFit="1" customWidth="1"/>
    <col min="11281" max="11281" width="10.28515625" customWidth="1"/>
    <col min="11282" max="11282" width="14" bestFit="1" customWidth="1"/>
    <col min="11530" max="11530" width="7.7109375" bestFit="1" customWidth="1"/>
    <col min="11531" max="11531" width="48.7109375" customWidth="1"/>
    <col min="11532" max="11533" width="9.5703125" customWidth="1"/>
    <col min="11534" max="11535" width="10.85546875" bestFit="1" customWidth="1"/>
    <col min="11536" max="11536" width="10.140625" bestFit="1" customWidth="1"/>
    <col min="11537" max="11537" width="10.28515625" customWidth="1"/>
    <col min="11538" max="11538" width="14" bestFit="1" customWidth="1"/>
    <col min="11786" max="11786" width="7.7109375" bestFit="1" customWidth="1"/>
    <col min="11787" max="11787" width="48.7109375" customWidth="1"/>
    <col min="11788" max="11789" width="9.5703125" customWidth="1"/>
    <col min="11790" max="11791" width="10.85546875" bestFit="1" customWidth="1"/>
    <col min="11792" max="11792" width="10.140625" bestFit="1" customWidth="1"/>
    <col min="11793" max="11793" width="10.28515625" customWidth="1"/>
    <col min="11794" max="11794" width="14" bestFit="1" customWidth="1"/>
    <col min="12042" max="12042" width="7.7109375" bestFit="1" customWidth="1"/>
    <col min="12043" max="12043" width="48.7109375" customWidth="1"/>
    <col min="12044" max="12045" width="9.5703125" customWidth="1"/>
    <col min="12046" max="12047" width="10.85546875" bestFit="1" customWidth="1"/>
    <col min="12048" max="12048" width="10.140625" bestFit="1" customWidth="1"/>
    <col min="12049" max="12049" width="10.28515625" customWidth="1"/>
    <col min="12050" max="12050" width="14" bestFit="1" customWidth="1"/>
    <col min="12298" max="12298" width="7.7109375" bestFit="1" customWidth="1"/>
    <col min="12299" max="12299" width="48.7109375" customWidth="1"/>
    <col min="12300" max="12301" width="9.5703125" customWidth="1"/>
    <col min="12302" max="12303" width="10.85546875" bestFit="1" customWidth="1"/>
    <col min="12304" max="12304" width="10.140625" bestFit="1" customWidth="1"/>
    <col min="12305" max="12305" width="10.28515625" customWidth="1"/>
    <col min="12306" max="12306" width="14" bestFit="1" customWidth="1"/>
    <col min="12554" max="12554" width="7.7109375" bestFit="1" customWidth="1"/>
    <col min="12555" max="12555" width="48.7109375" customWidth="1"/>
    <col min="12556" max="12557" width="9.5703125" customWidth="1"/>
    <col min="12558" max="12559" width="10.85546875" bestFit="1" customWidth="1"/>
    <col min="12560" max="12560" width="10.140625" bestFit="1" customWidth="1"/>
    <col min="12561" max="12561" width="10.28515625" customWidth="1"/>
    <col min="12562" max="12562" width="14" bestFit="1" customWidth="1"/>
    <col min="12810" max="12810" width="7.7109375" bestFit="1" customWidth="1"/>
    <col min="12811" max="12811" width="48.7109375" customWidth="1"/>
    <col min="12812" max="12813" width="9.5703125" customWidth="1"/>
    <col min="12814" max="12815" width="10.85546875" bestFit="1" customWidth="1"/>
    <col min="12816" max="12816" width="10.140625" bestFit="1" customWidth="1"/>
    <col min="12817" max="12817" width="10.28515625" customWidth="1"/>
    <col min="12818" max="12818" width="14" bestFit="1" customWidth="1"/>
    <col min="13066" max="13066" width="7.7109375" bestFit="1" customWidth="1"/>
    <col min="13067" max="13067" width="48.7109375" customWidth="1"/>
    <col min="13068" max="13069" width="9.5703125" customWidth="1"/>
    <col min="13070" max="13071" width="10.85546875" bestFit="1" customWidth="1"/>
    <col min="13072" max="13072" width="10.140625" bestFit="1" customWidth="1"/>
    <col min="13073" max="13073" width="10.28515625" customWidth="1"/>
    <col min="13074" max="13074" width="14" bestFit="1" customWidth="1"/>
    <col min="13322" max="13322" width="7.7109375" bestFit="1" customWidth="1"/>
    <col min="13323" max="13323" width="48.7109375" customWidth="1"/>
    <col min="13324" max="13325" width="9.5703125" customWidth="1"/>
    <col min="13326" max="13327" width="10.85546875" bestFit="1" customWidth="1"/>
    <col min="13328" max="13328" width="10.140625" bestFit="1" customWidth="1"/>
    <col min="13329" max="13329" width="10.28515625" customWidth="1"/>
    <col min="13330" max="13330" width="14" bestFit="1" customWidth="1"/>
    <col min="13578" max="13578" width="7.7109375" bestFit="1" customWidth="1"/>
    <col min="13579" max="13579" width="48.7109375" customWidth="1"/>
    <col min="13580" max="13581" width="9.5703125" customWidth="1"/>
    <col min="13582" max="13583" width="10.85546875" bestFit="1" customWidth="1"/>
    <col min="13584" max="13584" width="10.140625" bestFit="1" customWidth="1"/>
    <col min="13585" max="13585" width="10.28515625" customWidth="1"/>
    <col min="13586" max="13586" width="14" bestFit="1" customWidth="1"/>
    <col min="13834" max="13834" width="7.7109375" bestFit="1" customWidth="1"/>
    <col min="13835" max="13835" width="48.7109375" customWidth="1"/>
    <col min="13836" max="13837" width="9.5703125" customWidth="1"/>
    <col min="13838" max="13839" width="10.85546875" bestFit="1" customWidth="1"/>
    <col min="13840" max="13840" width="10.140625" bestFit="1" customWidth="1"/>
    <col min="13841" max="13841" width="10.28515625" customWidth="1"/>
    <col min="13842" max="13842" width="14" bestFit="1" customWidth="1"/>
    <col min="14090" max="14090" width="7.7109375" bestFit="1" customWidth="1"/>
    <col min="14091" max="14091" width="48.7109375" customWidth="1"/>
    <col min="14092" max="14093" width="9.5703125" customWidth="1"/>
    <col min="14094" max="14095" width="10.85546875" bestFit="1" customWidth="1"/>
    <col min="14096" max="14096" width="10.140625" bestFit="1" customWidth="1"/>
    <col min="14097" max="14097" width="10.28515625" customWidth="1"/>
    <col min="14098" max="14098" width="14" bestFit="1" customWidth="1"/>
    <col min="14346" max="14346" width="7.7109375" bestFit="1" customWidth="1"/>
    <col min="14347" max="14347" width="48.7109375" customWidth="1"/>
    <col min="14348" max="14349" width="9.5703125" customWidth="1"/>
    <col min="14350" max="14351" width="10.85546875" bestFit="1" customWidth="1"/>
    <col min="14352" max="14352" width="10.140625" bestFit="1" customWidth="1"/>
    <col min="14353" max="14353" width="10.28515625" customWidth="1"/>
    <col min="14354" max="14354" width="14" bestFit="1" customWidth="1"/>
    <col min="14602" max="14602" width="7.7109375" bestFit="1" customWidth="1"/>
    <col min="14603" max="14603" width="48.7109375" customWidth="1"/>
    <col min="14604" max="14605" width="9.5703125" customWidth="1"/>
    <col min="14606" max="14607" width="10.85546875" bestFit="1" customWidth="1"/>
    <col min="14608" max="14608" width="10.140625" bestFit="1" customWidth="1"/>
    <col min="14609" max="14609" width="10.28515625" customWidth="1"/>
    <col min="14610" max="14610" width="14" bestFit="1" customWidth="1"/>
    <col min="14858" max="14858" width="7.7109375" bestFit="1" customWidth="1"/>
    <col min="14859" max="14859" width="48.7109375" customWidth="1"/>
    <col min="14860" max="14861" width="9.5703125" customWidth="1"/>
    <col min="14862" max="14863" width="10.85546875" bestFit="1" customWidth="1"/>
    <col min="14864" max="14864" width="10.140625" bestFit="1" customWidth="1"/>
    <col min="14865" max="14865" width="10.28515625" customWidth="1"/>
    <col min="14866" max="14866" width="14" bestFit="1" customWidth="1"/>
    <col min="15114" max="15114" width="7.7109375" bestFit="1" customWidth="1"/>
    <col min="15115" max="15115" width="48.7109375" customWidth="1"/>
    <col min="15116" max="15117" width="9.5703125" customWidth="1"/>
    <col min="15118" max="15119" width="10.85546875" bestFit="1" customWidth="1"/>
    <col min="15120" max="15120" width="10.140625" bestFit="1" customWidth="1"/>
    <col min="15121" max="15121" width="10.28515625" customWidth="1"/>
    <col min="15122" max="15122" width="14" bestFit="1" customWidth="1"/>
    <col min="15370" max="15370" width="7.7109375" bestFit="1" customWidth="1"/>
    <col min="15371" max="15371" width="48.7109375" customWidth="1"/>
    <col min="15372" max="15373" width="9.5703125" customWidth="1"/>
    <col min="15374" max="15375" width="10.85546875" bestFit="1" customWidth="1"/>
    <col min="15376" max="15376" width="10.140625" bestFit="1" customWidth="1"/>
    <col min="15377" max="15377" width="10.28515625" customWidth="1"/>
    <col min="15378" max="15378" width="14" bestFit="1" customWidth="1"/>
    <col min="15626" max="15626" width="7.7109375" bestFit="1" customWidth="1"/>
    <col min="15627" max="15627" width="48.7109375" customWidth="1"/>
    <col min="15628" max="15629" width="9.5703125" customWidth="1"/>
    <col min="15630" max="15631" width="10.85546875" bestFit="1" customWidth="1"/>
    <col min="15632" max="15632" width="10.140625" bestFit="1" customWidth="1"/>
    <col min="15633" max="15633" width="10.28515625" customWidth="1"/>
    <col min="15634" max="15634" width="14" bestFit="1" customWidth="1"/>
    <col min="15882" max="15882" width="7.7109375" bestFit="1" customWidth="1"/>
    <col min="15883" max="15883" width="48.7109375" customWidth="1"/>
    <col min="15884" max="15885" width="9.5703125" customWidth="1"/>
    <col min="15886" max="15887" width="10.85546875" bestFit="1" customWidth="1"/>
    <col min="15888" max="15888" width="10.140625" bestFit="1" customWidth="1"/>
    <col min="15889" max="15889" width="10.28515625" customWidth="1"/>
    <col min="15890" max="15890" width="14" bestFit="1" customWidth="1"/>
    <col min="16138" max="16138" width="7.7109375" bestFit="1" customWidth="1"/>
    <col min="16139" max="16139" width="48.7109375" customWidth="1"/>
    <col min="16140" max="16141" width="9.5703125" customWidth="1"/>
    <col min="16142" max="16143" width="10.85546875" bestFit="1" customWidth="1"/>
    <col min="16144" max="16144" width="10.140625" bestFit="1" customWidth="1"/>
    <col min="16145" max="16145" width="10.28515625" customWidth="1"/>
    <col min="16146" max="16146" width="14" bestFit="1" customWidth="1"/>
  </cols>
  <sheetData>
    <row r="1" spans="1:18">
      <c r="H1" s="566" t="s">
        <v>0</v>
      </c>
      <c r="M1" s="566"/>
      <c r="N1" s="566"/>
      <c r="O1" s="566"/>
      <c r="P1" s="566"/>
      <c r="Q1" s="566"/>
      <c r="R1" s="566" t="s">
        <v>0</v>
      </c>
    </row>
    <row r="2" spans="1:18" ht="16.5" customHeight="1">
      <c r="A2" s="634" t="s">
        <v>152</v>
      </c>
      <c r="B2" s="644" t="s">
        <v>58</v>
      </c>
      <c r="C2" s="645" t="s">
        <v>446</v>
      </c>
      <c r="D2" s="646"/>
      <c r="E2" s="645" t="s">
        <v>405</v>
      </c>
      <c r="F2" s="646"/>
      <c r="G2" s="635" t="s">
        <v>204</v>
      </c>
      <c r="H2" s="636"/>
      <c r="I2" s="639" t="s">
        <v>205</v>
      </c>
      <c r="J2" s="643"/>
      <c r="K2" s="643"/>
      <c r="L2" s="643"/>
      <c r="M2" s="643"/>
      <c r="N2" s="643"/>
      <c r="O2" s="643"/>
      <c r="P2" s="643"/>
      <c r="Q2" s="643"/>
      <c r="R2" s="640"/>
    </row>
    <row r="3" spans="1:18" s="3" customFormat="1" ht="30" customHeight="1">
      <c r="A3" s="634"/>
      <c r="B3" s="644"/>
      <c r="C3" s="647"/>
      <c r="D3" s="648"/>
      <c r="E3" s="647"/>
      <c r="F3" s="648"/>
      <c r="G3" s="637"/>
      <c r="H3" s="638"/>
      <c r="I3" s="639" t="s">
        <v>213</v>
      </c>
      <c r="J3" s="640"/>
      <c r="K3" s="641" t="s">
        <v>206</v>
      </c>
      <c r="L3" s="642"/>
      <c r="M3" s="641" t="s">
        <v>207</v>
      </c>
      <c r="N3" s="642"/>
      <c r="O3" s="641" t="s">
        <v>527</v>
      </c>
      <c r="P3" s="642"/>
      <c r="Q3" s="641" t="s">
        <v>411</v>
      </c>
      <c r="R3" s="642"/>
    </row>
    <row r="4" spans="1:18" s="3" customFormat="1">
      <c r="A4" s="547"/>
      <c r="B4" s="548"/>
      <c r="C4" s="551" t="s">
        <v>1829</v>
      </c>
      <c r="D4" s="549" t="s">
        <v>1830</v>
      </c>
      <c r="E4" s="551" t="s">
        <v>1829</v>
      </c>
      <c r="F4" s="549" t="s">
        <v>1830</v>
      </c>
      <c r="G4" s="551" t="s">
        <v>1829</v>
      </c>
      <c r="H4" s="549" t="s">
        <v>1830</v>
      </c>
      <c r="I4" s="551" t="s">
        <v>1829</v>
      </c>
      <c r="J4" s="549" t="s">
        <v>1830</v>
      </c>
      <c r="K4" s="128" t="s">
        <v>1829</v>
      </c>
      <c r="L4" s="128" t="s">
        <v>1830</v>
      </c>
      <c r="M4" s="128" t="s">
        <v>1829</v>
      </c>
      <c r="N4" s="128" t="s">
        <v>1830</v>
      </c>
      <c r="O4" s="581" t="s">
        <v>1829</v>
      </c>
      <c r="P4" s="581" t="s">
        <v>1830</v>
      </c>
      <c r="Q4" s="128" t="s">
        <v>1829</v>
      </c>
      <c r="R4" s="128" t="s">
        <v>1830</v>
      </c>
    </row>
    <row r="5" spans="1:18" s="3" customFormat="1" ht="30">
      <c r="A5" s="108" t="s">
        <v>6</v>
      </c>
      <c r="B5" s="439" t="s">
        <v>1410</v>
      </c>
      <c r="C5" s="441">
        <f t="shared" ref="C5:R5" si="0">C6+C19+C33+C47+C61+C74</f>
        <v>157.5</v>
      </c>
      <c r="D5" s="441">
        <f t="shared" si="0"/>
        <v>157.5</v>
      </c>
      <c r="E5" s="441">
        <f t="shared" si="0"/>
        <v>0</v>
      </c>
      <c r="F5" s="441">
        <f t="shared" si="0"/>
        <v>0</v>
      </c>
      <c r="G5" s="33">
        <f t="shared" si="0"/>
        <v>827943</v>
      </c>
      <c r="H5" s="33">
        <f t="shared" si="0"/>
        <v>846110</v>
      </c>
      <c r="I5" s="33">
        <f t="shared" si="0"/>
        <v>827943</v>
      </c>
      <c r="J5" s="33">
        <f t="shared" si="0"/>
        <v>846110</v>
      </c>
      <c r="K5" s="33">
        <f t="shared" si="0"/>
        <v>0</v>
      </c>
      <c r="L5" s="33">
        <f t="shared" si="0"/>
        <v>0</v>
      </c>
      <c r="M5" s="33">
        <f t="shared" si="0"/>
        <v>71129</v>
      </c>
      <c r="N5" s="33">
        <f t="shared" si="0"/>
        <v>71129</v>
      </c>
      <c r="O5" s="33">
        <f t="shared" si="0"/>
        <v>0</v>
      </c>
      <c r="P5" s="33">
        <f t="shared" si="0"/>
        <v>5833</v>
      </c>
      <c r="Q5" s="33">
        <f t="shared" si="0"/>
        <v>756814</v>
      </c>
      <c r="R5" s="33">
        <f t="shared" si="0"/>
        <v>769148</v>
      </c>
    </row>
    <row r="6" spans="1:18" s="440" customFormat="1">
      <c r="A6" s="443" t="s">
        <v>1808</v>
      </c>
      <c r="B6" s="444" t="s">
        <v>116</v>
      </c>
      <c r="C6" s="445">
        <f t="shared" ref="C6:Q6" si="1">C7+C18</f>
        <v>12.5</v>
      </c>
      <c r="D6" s="445">
        <f t="shared" ref="D6" si="2">D7+D18</f>
        <v>12.5</v>
      </c>
      <c r="E6" s="445">
        <f t="shared" si="1"/>
        <v>0</v>
      </c>
      <c r="F6" s="445">
        <f t="shared" ref="F6" si="3">F7+F18</f>
        <v>0</v>
      </c>
      <c r="G6" s="446">
        <f t="shared" si="1"/>
        <v>63367</v>
      </c>
      <c r="H6" s="446">
        <f t="shared" ref="H6" si="4">H7+H18</f>
        <v>64208</v>
      </c>
      <c r="I6" s="446">
        <f t="shared" si="1"/>
        <v>63367</v>
      </c>
      <c r="J6" s="446">
        <f t="shared" ref="J6" si="5">J7+J18</f>
        <v>64208</v>
      </c>
      <c r="K6" s="446">
        <f t="shared" si="1"/>
        <v>0</v>
      </c>
      <c r="L6" s="446">
        <f t="shared" ref="L6" si="6">L7+L18</f>
        <v>0</v>
      </c>
      <c r="M6" s="446">
        <f t="shared" si="1"/>
        <v>4996</v>
      </c>
      <c r="N6" s="446">
        <f t="shared" ref="N6:P6" si="7">N7+N18</f>
        <v>4996</v>
      </c>
      <c r="O6" s="446">
        <f t="shared" si="7"/>
        <v>0</v>
      </c>
      <c r="P6" s="446">
        <f t="shared" si="7"/>
        <v>92</v>
      </c>
      <c r="Q6" s="446">
        <f t="shared" si="1"/>
        <v>58371</v>
      </c>
      <c r="R6" s="446">
        <f t="shared" ref="R6" si="8">R7+R18</f>
        <v>59120</v>
      </c>
    </row>
    <row r="7" spans="1:18" s="611" customFormat="1">
      <c r="A7" s="607" t="s">
        <v>1</v>
      </c>
      <c r="B7" s="608" t="s">
        <v>153</v>
      </c>
      <c r="C7" s="609">
        <f>C8+C13</f>
        <v>12.5</v>
      </c>
      <c r="D7" s="609">
        <f>D8+D13</f>
        <v>12.5</v>
      </c>
      <c r="E7" s="609">
        <v>0</v>
      </c>
      <c r="F7" s="609">
        <v>0</v>
      </c>
      <c r="G7" s="610">
        <f>G8+G13</f>
        <v>63367</v>
      </c>
      <c r="H7" s="610">
        <f>H8+H13</f>
        <v>64208</v>
      </c>
      <c r="I7" s="610">
        <f>K7+M7+Q7</f>
        <v>63367</v>
      </c>
      <c r="J7" s="610">
        <f>L7+N7+R7+P7</f>
        <v>64208</v>
      </c>
      <c r="K7" s="610">
        <v>0</v>
      </c>
      <c r="L7" s="610">
        <v>0</v>
      </c>
      <c r="M7" s="610">
        <f>M8+M13</f>
        <v>4996</v>
      </c>
      <c r="N7" s="610">
        <f>N8+N13</f>
        <v>4996</v>
      </c>
      <c r="O7" s="610">
        <f t="shared" ref="O7:P7" si="9">O8+O13</f>
        <v>0</v>
      </c>
      <c r="P7" s="610">
        <f t="shared" si="9"/>
        <v>92</v>
      </c>
      <c r="Q7" s="610">
        <f>G7-K7-M7</f>
        <v>58371</v>
      </c>
      <c r="R7" s="610">
        <f>H7-L7-N7-P7</f>
        <v>59120</v>
      </c>
    </row>
    <row r="8" spans="1:18" s="611" customFormat="1">
      <c r="A8" s="604" t="s">
        <v>3</v>
      </c>
      <c r="B8" s="605" t="s">
        <v>1442</v>
      </c>
      <c r="C8" s="612">
        <f>'5A Walla'!C5</f>
        <v>12.5</v>
      </c>
      <c r="D8" s="612">
        <f>'5A Walla'!D5</f>
        <v>12.5</v>
      </c>
      <c r="E8" s="612">
        <v>0</v>
      </c>
      <c r="F8" s="612">
        <v>0</v>
      </c>
      <c r="G8" s="593">
        <f>G9+G10+G11+G12</f>
        <v>57150</v>
      </c>
      <c r="H8" s="593">
        <f>H9+H10+H11+H12</f>
        <v>57991</v>
      </c>
      <c r="I8" s="593">
        <f>K8+M8+Q8</f>
        <v>57150</v>
      </c>
      <c r="J8" s="610">
        <f>L8+N8+R8+P8</f>
        <v>57991</v>
      </c>
      <c r="K8" s="593">
        <v>0</v>
      </c>
      <c r="L8" s="593">
        <v>0</v>
      </c>
      <c r="M8" s="593">
        <v>0</v>
      </c>
      <c r="N8" s="593">
        <v>0</v>
      </c>
      <c r="O8" s="593">
        <v>0</v>
      </c>
      <c r="P8" s="593">
        <f>92</f>
        <v>92</v>
      </c>
      <c r="Q8" s="593">
        <f>G8-K8-M8</f>
        <v>57150</v>
      </c>
      <c r="R8" s="610">
        <f>H8-L8-N8-P8</f>
        <v>57899</v>
      </c>
    </row>
    <row r="9" spans="1:18" s="611" customFormat="1">
      <c r="A9" s="603"/>
      <c r="B9" s="592" t="s">
        <v>414</v>
      </c>
      <c r="C9" s="613"/>
      <c r="D9" s="613"/>
      <c r="E9" s="613"/>
      <c r="F9" s="613"/>
      <c r="G9" s="586">
        <f>Walla!E54</f>
        <v>38702</v>
      </c>
      <c r="H9" s="586">
        <f>38702+72</f>
        <v>38774</v>
      </c>
      <c r="I9" s="586"/>
      <c r="J9" s="586"/>
      <c r="K9" s="586"/>
      <c r="L9" s="586"/>
      <c r="M9" s="586"/>
      <c r="N9" s="586"/>
      <c r="O9" s="586"/>
      <c r="P9" s="586"/>
      <c r="Q9" s="586"/>
      <c r="R9" s="586"/>
    </row>
    <row r="10" spans="1:18" s="611" customFormat="1">
      <c r="A10" s="603"/>
      <c r="B10" s="592" t="s">
        <v>415</v>
      </c>
      <c r="C10" s="613"/>
      <c r="D10" s="613"/>
      <c r="E10" s="613"/>
      <c r="F10" s="613"/>
      <c r="G10" s="586">
        <f>Walla!E63</f>
        <v>10425</v>
      </c>
      <c r="H10" s="586">
        <f>10425+19</f>
        <v>10444</v>
      </c>
      <c r="I10" s="586"/>
      <c r="J10" s="586"/>
      <c r="K10" s="586"/>
      <c r="L10" s="586"/>
      <c r="M10" s="586"/>
      <c r="N10" s="586"/>
      <c r="O10" s="586"/>
      <c r="P10" s="586"/>
      <c r="Q10" s="586"/>
      <c r="R10" s="586"/>
    </row>
    <row r="11" spans="1:18" s="611" customFormat="1">
      <c r="A11" s="603"/>
      <c r="B11" s="592" t="s">
        <v>214</v>
      </c>
      <c r="C11" s="613"/>
      <c r="D11" s="613"/>
      <c r="E11" s="613"/>
      <c r="F11" s="613"/>
      <c r="G11" s="586">
        <f>Walla!E142</f>
        <v>7523</v>
      </c>
      <c r="H11" s="586">
        <v>7523</v>
      </c>
      <c r="I11" s="586"/>
      <c r="J11" s="586"/>
      <c r="K11" s="586"/>
      <c r="L11" s="586"/>
      <c r="M11" s="586"/>
      <c r="N11" s="586"/>
      <c r="O11" s="586"/>
      <c r="P11" s="586"/>
      <c r="Q11" s="586"/>
      <c r="R11" s="586"/>
    </row>
    <row r="12" spans="1:18" s="611" customFormat="1">
      <c r="A12" s="603"/>
      <c r="B12" s="592" t="s">
        <v>1858</v>
      </c>
      <c r="C12" s="613"/>
      <c r="D12" s="613"/>
      <c r="E12" s="613"/>
      <c r="F12" s="613"/>
      <c r="G12" s="586">
        <f>Walla!E148</f>
        <v>500</v>
      </c>
      <c r="H12" s="586">
        <f>500+750</f>
        <v>1250</v>
      </c>
      <c r="I12" s="586"/>
      <c r="J12" s="586"/>
      <c r="K12" s="586"/>
      <c r="L12" s="586"/>
      <c r="M12" s="586"/>
      <c r="N12" s="586"/>
      <c r="O12" s="586"/>
      <c r="P12" s="586"/>
      <c r="Q12" s="586"/>
      <c r="R12" s="586"/>
    </row>
    <row r="13" spans="1:18" s="611" customFormat="1">
      <c r="A13" s="604" t="s">
        <v>4</v>
      </c>
      <c r="B13" s="605" t="s">
        <v>1398</v>
      </c>
      <c r="C13" s="612">
        <v>0</v>
      </c>
      <c r="D13" s="612">
        <v>0</v>
      </c>
      <c r="E13" s="612">
        <v>0</v>
      </c>
      <c r="F13" s="612">
        <v>0</v>
      </c>
      <c r="G13" s="593">
        <f>G14+G15+G16+G17</f>
        <v>6217</v>
      </c>
      <c r="H13" s="593">
        <f>H14+H15+H16+H17</f>
        <v>6217</v>
      </c>
      <c r="I13" s="593">
        <f>K13+M13+Q13</f>
        <v>6217</v>
      </c>
      <c r="J13" s="610">
        <f>L13+N13+R13+P13</f>
        <v>6217</v>
      </c>
      <c r="K13" s="593">
        <v>0</v>
      </c>
      <c r="L13" s="593">
        <v>0</v>
      </c>
      <c r="M13" s="593">
        <v>4996</v>
      </c>
      <c r="N13" s="593">
        <v>4996</v>
      </c>
      <c r="O13" s="593">
        <v>0</v>
      </c>
      <c r="P13" s="593">
        <v>0</v>
      </c>
      <c r="Q13" s="593">
        <f>G13-K13-M13</f>
        <v>1221</v>
      </c>
      <c r="R13" s="610">
        <f>H13-L13-N13-P13</f>
        <v>1221</v>
      </c>
    </row>
    <row r="14" spans="1:18" s="611" customFormat="1">
      <c r="A14" s="603"/>
      <c r="B14" s="592" t="s">
        <v>414</v>
      </c>
      <c r="C14" s="613"/>
      <c r="D14" s="613"/>
      <c r="E14" s="613"/>
      <c r="F14" s="613"/>
      <c r="G14" s="586">
        <f>Walla!D54</f>
        <v>0</v>
      </c>
      <c r="H14" s="586">
        <v>0</v>
      </c>
      <c r="I14" s="586"/>
      <c r="J14" s="586"/>
      <c r="K14" s="586"/>
      <c r="L14" s="586"/>
      <c r="M14" s="586"/>
      <c r="N14" s="586"/>
      <c r="O14" s="586"/>
      <c r="P14" s="586"/>
      <c r="Q14" s="586"/>
      <c r="R14" s="586"/>
    </row>
    <row r="15" spans="1:18" s="611" customFormat="1">
      <c r="A15" s="603"/>
      <c r="B15" s="592" t="s">
        <v>415</v>
      </c>
      <c r="C15" s="613"/>
      <c r="D15" s="613"/>
      <c r="E15" s="613"/>
      <c r="F15" s="613"/>
      <c r="G15" s="586">
        <f>Walla!D63</f>
        <v>0</v>
      </c>
      <c r="H15" s="586">
        <v>0</v>
      </c>
      <c r="I15" s="586"/>
      <c r="J15" s="586"/>
      <c r="K15" s="586"/>
      <c r="L15" s="586"/>
      <c r="M15" s="586"/>
      <c r="N15" s="586"/>
      <c r="O15" s="586"/>
      <c r="P15" s="586"/>
      <c r="Q15" s="586"/>
      <c r="R15" s="586"/>
    </row>
    <row r="16" spans="1:18" s="611" customFormat="1">
      <c r="A16" s="603"/>
      <c r="B16" s="592" t="s">
        <v>214</v>
      </c>
      <c r="C16" s="613"/>
      <c r="D16" s="613"/>
      <c r="E16" s="613"/>
      <c r="F16" s="613"/>
      <c r="G16" s="586">
        <f>Walla!D142</f>
        <v>6217</v>
      </c>
      <c r="H16" s="586">
        <v>6217</v>
      </c>
      <c r="I16" s="586"/>
      <c r="J16" s="586"/>
      <c r="K16" s="586"/>
      <c r="L16" s="586"/>
      <c r="M16" s="586"/>
      <c r="N16" s="586"/>
      <c r="O16" s="586"/>
      <c r="P16" s="586"/>
      <c r="Q16" s="586"/>
      <c r="R16" s="586"/>
    </row>
    <row r="17" spans="1:18" s="611" customFormat="1">
      <c r="A17" s="603"/>
      <c r="B17" s="592" t="s">
        <v>398</v>
      </c>
      <c r="C17" s="613"/>
      <c r="D17" s="613"/>
      <c r="E17" s="613"/>
      <c r="F17" s="613"/>
      <c r="G17" s="586">
        <f>Walla!D148</f>
        <v>0</v>
      </c>
      <c r="H17" s="586">
        <v>0</v>
      </c>
      <c r="I17" s="586"/>
      <c r="J17" s="586"/>
      <c r="K17" s="586"/>
      <c r="L17" s="586"/>
      <c r="M17" s="586"/>
      <c r="N17" s="586"/>
      <c r="O17" s="586"/>
      <c r="P17" s="586"/>
      <c r="Q17" s="586"/>
      <c r="R17" s="586"/>
    </row>
    <row r="18" spans="1:18" s="611" customFormat="1">
      <c r="A18" s="607" t="s">
        <v>13</v>
      </c>
      <c r="B18" s="608" t="s">
        <v>155</v>
      </c>
      <c r="C18" s="609">
        <v>0</v>
      </c>
      <c r="D18" s="609">
        <v>0</v>
      </c>
      <c r="E18" s="609">
        <v>0</v>
      </c>
      <c r="F18" s="609">
        <v>0</v>
      </c>
      <c r="G18" s="610">
        <v>0</v>
      </c>
      <c r="H18" s="610">
        <v>0</v>
      </c>
      <c r="I18" s="610">
        <f>K18+M18+Q18</f>
        <v>0</v>
      </c>
      <c r="J18" s="610">
        <f>L18+N18+R18+P18</f>
        <v>0</v>
      </c>
      <c r="K18" s="610">
        <v>0</v>
      </c>
      <c r="L18" s="610">
        <v>0</v>
      </c>
      <c r="M18" s="610">
        <v>0</v>
      </c>
      <c r="N18" s="610">
        <v>0</v>
      </c>
      <c r="O18" s="593">
        <v>0</v>
      </c>
      <c r="P18" s="593">
        <v>0</v>
      </c>
      <c r="Q18" s="610">
        <f>G18-K18-M18</f>
        <v>0</v>
      </c>
      <c r="R18" s="610">
        <f>H18-L18-N18-P18</f>
        <v>0</v>
      </c>
    </row>
    <row r="19" spans="1:18" s="611" customFormat="1">
      <c r="A19" s="443" t="s">
        <v>1809</v>
      </c>
      <c r="B19" s="444" t="s">
        <v>202</v>
      </c>
      <c r="C19" s="445">
        <f>C20+C32</f>
        <v>31</v>
      </c>
      <c r="D19" s="445">
        <f>D20+D32</f>
        <v>31</v>
      </c>
      <c r="E19" s="445">
        <f t="shared" ref="E19:F19" si="10">E20+E32</f>
        <v>0</v>
      </c>
      <c r="F19" s="445">
        <f t="shared" si="10"/>
        <v>0</v>
      </c>
      <c r="G19" s="446">
        <f t="shared" ref="G19:H19" si="11">G20+G32</f>
        <v>142828</v>
      </c>
      <c r="H19" s="446">
        <f t="shared" si="11"/>
        <v>143969</v>
      </c>
      <c r="I19" s="446">
        <f t="shared" ref="I19:J19" si="12">I20+I32</f>
        <v>142828</v>
      </c>
      <c r="J19" s="446">
        <f t="shared" si="12"/>
        <v>143969</v>
      </c>
      <c r="K19" s="446">
        <f t="shared" ref="K19:L19" si="13">K20+K32</f>
        <v>0</v>
      </c>
      <c r="L19" s="446">
        <f t="shared" si="13"/>
        <v>0</v>
      </c>
      <c r="M19" s="446">
        <f t="shared" ref="M19:P19" si="14">M20+M32</f>
        <v>7552</v>
      </c>
      <c r="N19" s="446">
        <f t="shared" si="14"/>
        <v>7552</v>
      </c>
      <c r="O19" s="446">
        <f t="shared" si="14"/>
        <v>0</v>
      </c>
      <c r="P19" s="446">
        <f t="shared" si="14"/>
        <v>922</v>
      </c>
      <c r="Q19" s="446">
        <f t="shared" ref="Q19:R19" si="15">Q20+Q32</f>
        <v>135276</v>
      </c>
      <c r="R19" s="446">
        <f t="shared" si="15"/>
        <v>135495</v>
      </c>
    </row>
    <row r="20" spans="1:18" s="611" customFormat="1">
      <c r="A20" s="607" t="s">
        <v>1</v>
      </c>
      <c r="B20" s="608" t="s">
        <v>153</v>
      </c>
      <c r="C20" s="609">
        <f>C21+C27</f>
        <v>31</v>
      </c>
      <c r="D20" s="609">
        <f>D21+D27</f>
        <v>31</v>
      </c>
      <c r="E20" s="609">
        <v>0</v>
      </c>
      <c r="F20" s="609">
        <v>0</v>
      </c>
      <c r="G20" s="610">
        <f>G21+G27</f>
        <v>142828</v>
      </c>
      <c r="H20" s="610">
        <f>H21+H27</f>
        <v>143969</v>
      </c>
      <c r="I20" s="610">
        <f>K20+M20+Q20</f>
        <v>142828</v>
      </c>
      <c r="J20" s="610">
        <f>L20+N20+R20+P20</f>
        <v>143969</v>
      </c>
      <c r="K20" s="610">
        <v>0</v>
      </c>
      <c r="L20" s="610">
        <v>0</v>
      </c>
      <c r="M20" s="610">
        <f>M21+M27</f>
        <v>7552</v>
      </c>
      <c r="N20" s="610">
        <f>N21+N27</f>
        <v>7552</v>
      </c>
      <c r="O20" s="610">
        <f t="shared" ref="O20:P20" si="16">O21+O27</f>
        <v>0</v>
      </c>
      <c r="P20" s="610">
        <f t="shared" si="16"/>
        <v>922</v>
      </c>
      <c r="Q20" s="610">
        <f>G20-K20-M20</f>
        <v>135276</v>
      </c>
      <c r="R20" s="610">
        <f>H20-L20-N20-P20</f>
        <v>135495</v>
      </c>
    </row>
    <row r="21" spans="1:18" s="611" customFormat="1">
      <c r="A21" s="604" t="s">
        <v>3</v>
      </c>
      <c r="B21" s="605" t="s">
        <v>1442</v>
      </c>
      <c r="C21" s="612">
        <f>'5B Nyitnikék'!C5</f>
        <v>31</v>
      </c>
      <c r="D21" s="612">
        <f>'5B Nyitnikék'!D5</f>
        <v>31</v>
      </c>
      <c r="E21" s="612">
        <v>0</v>
      </c>
      <c r="F21" s="612">
        <v>0</v>
      </c>
      <c r="G21" s="593">
        <f>G22+G23+G24+G26</f>
        <v>126953</v>
      </c>
      <c r="H21" s="593">
        <f>H22+H23+H24+H26+H25</f>
        <v>128094</v>
      </c>
      <c r="I21" s="593">
        <f>K21+M21+Q21</f>
        <v>126953</v>
      </c>
      <c r="J21" s="610">
        <f>L21+N21+R21+P21</f>
        <v>128094</v>
      </c>
      <c r="K21" s="593">
        <v>0</v>
      </c>
      <c r="L21" s="593">
        <v>0</v>
      </c>
      <c r="M21" s="593">
        <v>0</v>
      </c>
      <c r="N21" s="593">
        <v>0</v>
      </c>
      <c r="O21" s="593">
        <v>0</v>
      </c>
      <c r="P21" s="593">
        <v>922</v>
      </c>
      <c r="Q21" s="593">
        <f>G21-K21-M21</f>
        <v>126953</v>
      </c>
      <c r="R21" s="610">
        <f>H21-L21-N21-P21</f>
        <v>127172</v>
      </c>
    </row>
    <row r="22" spans="1:18" s="611" customFormat="1">
      <c r="A22" s="603"/>
      <c r="B22" s="592" t="s">
        <v>414</v>
      </c>
      <c r="C22" s="613"/>
      <c r="D22" s="613"/>
      <c r="E22" s="613"/>
      <c r="F22" s="613"/>
      <c r="G22" s="586">
        <f>Nyitnikék!E54</f>
        <v>81960</v>
      </c>
      <c r="H22" s="586">
        <f>81960+172</f>
        <v>82132</v>
      </c>
      <c r="I22" s="586"/>
      <c r="J22" s="586"/>
      <c r="K22" s="586"/>
      <c r="L22" s="586"/>
      <c r="M22" s="586"/>
      <c r="N22" s="586"/>
      <c r="O22" s="586"/>
      <c r="P22" s="586"/>
      <c r="Q22" s="586"/>
      <c r="R22" s="586"/>
    </row>
    <row r="23" spans="1:18" s="611" customFormat="1">
      <c r="A23" s="603"/>
      <c r="B23" s="592" t="s">
        <v>415</v>
      </c>
      <c r="C23" s="613"/>
      <c r="D23" s="613"/>
      <c r="E23" s="613"/>
      <c r="F23" s="613"/>
      <c r="G23" s="586">
        <f>Nyitnikék!E63</f>
        <v>24073</v>
      </c>
      <c r="H23" s="586">
        <f>24073+47</f>
        <v>24120</v>
      </c>
      <c r="I23" s="586"/>
      <c r="J23" s="586"/>
      <c r="K23" s="586"/>
      <c r="L23" s="586"/>
      <c r="M23" s="586"/>
      <c r="N23" s="586"/>
      <c r="O23" s="586"/>
      <c r="P23" s="586"/>
      <c r="Q23" s="586"/>
      <c r="R23" s="586"/>
    </row>
    <row r="24" spans="1:18" s="611" customFormat="1">
      <c r="A24" s="603"/>
      <c r="B24" s="592" t="s">
        <v>214</v>
      </c>
      <c r="C24" s="613"/>
      <c r="D24" s="613"/>
      <c r="E24" s="613"/>
      <c r="F24" s="613"/>
      <c r="G24" s="586">
        <f>Nyitnikék!E142</f>
        <v>20232</v>
      </c>
      <c r="H24" s="586">
        <v>20232</v>
      </c>
      <c r="I24" s="586"/>
      <c r="J24" s="586"/>
      <c r="K24" s="586"/>
      <c r="L24" s="586"/>
      <c r="M24" s="586"/>
      <c r="N24" s="586"/>
      <c r="O24" s="586"/>
      <c r="P24" s="586"/>
      <c r="Q24" s="586"/>
      <c r="R24" s="586"/>
    </row>
    <row r="25" spans="1:18" s="611" customFormat="1">
      <c r="A25" s="603"/>
      <c r="B25" s="592" t="s">
        <v>107</v>
      </c>
      <c r="C25" s="613"/>
      <c r="D25" s="613"/>
      <c r="E25" s="613"/>
      <c r="F25" s="613"/>
      <c r="G25" s="586"/>
      <c r="H25" s="586">
        <v>922</v>
      </c>
      <c r="I25" s="586"/>
      <c r="J25" s="586"/>
      <c r="K25" s="586"/>
      <c r="L25" s="586"/>
      <c r="M25" s="586"/>
      <c r="N25" s="586"/>
      <c r="O25" s="586"/>
      <c r="P25" s="586"/>
      <c r="Q25" s="586"/>
      <c r="R25" s="586"/>
    </row>
    <row r="26" spans="1:18" s="611" customFormat="1">
      <c r="A26" s="603"/>
      <c r="B26" s="592" t="s">
        <v>1782</v>
      </c>
      <c r="C26" s="614"/>
      <c r="D26" s="614"/>
      <c r="E26" s="614"/>
      <c r="F26" s="614"/>
      <c r="G26" s="597">
        <f>Nyitnikék!E148</f>
        <v>688</v>
      </c>
      <c r="H26" s="597">
        <v>688</v>
      </c>
      <c r="I26" s="597"/>
      <c r="J26" s="597"/>
      <c r="K26" s="597"/>
      <c r="L26" s="597"/>
      <c r="M26" s="597"/>
      <c r="N26" s="597"/>
      <c r="O26" s="597"/>
      <c r="P26" s="597"/>
      <c r="Q26" s="597"/>
      <c r="R26" s="597"/>
    </row>
    <row r="27" spans="1:18" s="611" customFormat="1">
      <c r="A27" s="604" t="s">
        <v>4</v>
      </c>
      <c r="B27" s="605" t="s">
        <v>1398</v>
      </c>
      <c r="C27" s="612">
        <v>0</v>
      </c>
      <c r="D27" s="612">
        <v>0</v>
      </c>
      <c r="E27" s="612">
        <v>0</v>
      </c>
      <c r="F27" s="612">
        <v>0</v>
      </c>
      <c r="G27" s="593">
        <f>G28+G29+G30+G31</f>
        <v>15875</v>
      </c>
      <c r="H27" s="593">
        <f>H28+H29+H30+H31</f>
        <v>15875</v>
      </c>
      <c r="I27" s="593">
        <f>K27+M27+Q27</f>
        <v>15875</v>
      </c>
      <c r="J27" s="610">
        <f>L27+N27+R27+P27</f>
        <v>15875</v>
      </c>
      <c r="K27" s="593">
        <v>0</v>
      </c>
      <c r="L27" s="593">
        <v>0</v>
      </c>
      <c r="M27" s="593">
        <f>'5B Nyitnikék'!C10</f>
        <v>7552</v>
      </c>
      <c r="N27" s="593">
        <v>7552</v>
      </c>
      <c r="O27" s="593">
        <v>0</v>
      </c>
      <c r="P27" s="593">
        <v>0</v>
      </c>
      <c r="Q27" s="593">
        <f>G27-K27-M27</f>
        <v>8323</v>
      </c>
      <c r="R27" s="610">
        <f>H27-L27-N27-P27</f>
        <v>8323</v>
      </c>
    </row>
    <row r="28" spans="1:18" s="611" customFormat="1">
      <c r="A28" s="603"/>
      <c r="B28" s="592" t="s">
        <v>414</v>
      </c>
      <c r="C28" s="613"/>
      <c r="D28" s="613"/>
      <c r="E28" s="613"/>
      <c r="F28" s="613"/>
      <c r="G28" s="586">
        <f>Nyitnikék!F54</f>
        <v>0</v>
      </c>
      <c r="H28" s="586">
        <f>Nyitnikék!G54</f>
        <v>0</v>
      </c>
      <c r="I28" s="586"/>
      <c r="J28" s="586"/>
      <c r="K28" s="586"/>
      <c r="L28" s="586"/>
      <c r="M28" s="586"/>
      <c r="N28" s="586"/>
      <c r="O28" s="586"/>
      <c r="P28" s="586"/>
      <c r="Q28" s="586"/>
      <c r="R28" s="586"/>
    </row>
    <row r="29" spans="1:18" s="611" customFormat="1">
      <c r="A29" s="603"/>
      <c r="B29" s="592" t="s">
        <v>415</v>
      </c>
      <c r="C29" s="614"/>
      <c r="D29" s="614"/>
      <c r="E29" s="614"/>
      <c r="F29" s="614"/>
      <c r="G29" s="597">
        <f>Nyitnikék!F63</f>
        <v>0</v>
      </c>
      <c r="H29" s="597">
        <f>Nyitnikék!G63</f>
        <v>0</v>
      </c>
      <c r="I29" s="597"/>
      <c r="J29" s="597"/>
      <c r="K29" s="597"/>
      <c r="L29" s="597"/>
      <c r="M29" s="597"/>
      <c r="N29" s="597"/>
      <c r="O29" s="597"/>
      <c r="P29" s="597"/>
      <c r="Q29" s="597"/>
      <c r="R29" s="597"/>
    </row>
    <row r="30" spans="1:18" s="611" customFormat="1">
      <c r="A30" s="603"/>
      <c r="B30" s="592" t="s">
        <v>214</v>
      </c>
      <c r="C30" s="614"/>
      <c r="D30" s="614"/>
      <c r="E30" s="614"/>
      <c r="F30" s="614"/>
      <c r="G30" s="597">
        <f>Nyitnikék!F142</f>
        <v>15875</v>
      </c>
      <c r="H30" s="597">
        <v>15875</v>
      </c>
      <c r="I30" s="597"/>
      <c r="J30" s="597"/>
      <c r="K30" s="597"/>
      <c r="L30" s="597"/>
      <c r="M30" s="597"/>
      <c r="N30" s="597"/>
      <c r="O30" s="597"/>
      <c r="P30" s="597"/>
      <c r="Q30" s="597"/>
      <c r="R30" s="597"/>
    </row>
    <row r="31" spans="1:18" s="611" customFormat="1">
      <c r="A31" s="603"/>
      <c r="B31" s="592" t="s">
        <v>398</v>
      </c>
      <c r="C31" s="614"/>
      <c r="D31" s="614"/>
      <c r="E31" s="614"/>
      <c r="F31" s="614"/>
      <c r="G31" s="597">
        <f>Nyitnikék!F148</f>
        <v>0</v>
      </c>
      <c r="H31" s="597">
        <f>Nyitnikék!G148</f>
        <v>0</v>
      </c>
      <c r="I31" s="597"/>
      <c r="J31" s="597"/>
      <c r="K31" s="597"/>
      <c r="L31" s="597"/>
      <c r="M31" s="597"/>
      <c r="N31" s="597"/>
      <c r="O31" s="597"/>
      <c r="P31" s="597"/>
      <c r="Q31" s="597"/>
      <c r="R31" s="597"/>
    </row>
    <row r="32" spans="1:18" s="611" customFormat="1">
      <c r="A32" s="607" t="s">
        <v>13</v>
      </c>
      <c r="B32" s="608" t="s">
        <v>155</v>
      </c>
      <c r="C32" s="609">
        <v>0</v>
      </c>
      <c r="D32" s="609">
        <v>0</v>
      </c>
      <c r="E32" s="609">
        <v>0</v>
      </c>
      <c r="F32" s="609">
        <v>0</v>
      </c>
      <c r="G32" s="610">
        <v>0</v>
      </c>
      <c r="H32" s="610">
        <v>0</v>
      </c>
      <c r="I32" s="610">
        <f>K32+M32+Q32</f>
        <v>0</v>
      </c>
      <c r="J32" s="610">
        <f>L32+N32+R32+P32</f>
        <v>0</v>
      </c>
      <c r="K32" s="610">
        <v>0</v>
      </c>
      <c r="L32" s="610">
        <v>0</v>
      </c>
      <c r="M32" s="610">
        <v>0</v>
      </c>
      <c r="N32" s="610">
        <v>0</v>
      </c>
      <c r="O32" s="593">
        <v>0</v>
      </c>
      <c r="P32" s="593">
        <v>0</v>
      </c>
      <c r="Q32" s="610">
        <f>G32-K32-M32</f>
        <v>0</v>
      </c>
      <c r="R32" s="610">
        <f>H32-L32-N32</f>
        <v>0</v>
      </c>
    </row>
    <row r="33" spans="1:18" s="611" customFormat="1">
      <c r="A33" s="443" t="s">
        <v>1810</v>
      </c>
      <c r="B33" s="444" t="s">
        <v>203</v>
      </c>
      <c r="C33" s="445">
        <f t="shared" ref="C33:Q33" si="17">C34+C46</f>
        <v>56</v>
      </c>
      <c r="D33" s="445">
        <f t="shared" ref="D33" si="18">D34+D46</f>
        <v>56</v>
      </c>
      <c r="E33" s="445">
        <f t="shared" si="17"/>
        <v>0</v>
      </c>
      <c r="F33" s="445">
        <f t="shared" ref="F33" si="19">F34+F46</f>
        <v>0</v>
      </c>
      <c r="G33" s="446">
        <f t="shared" si="17"/>
        <v>260026</v>
      </c>
      <c r="H33" s="446">
        <f t="shared" ref="H33" si="20">H34+H46</f>
        <v>262227</v>
      </c>
      <c r="I33" s="446">
        <f t="shared" si="17"/>
        <v>260026</v>
      </c>
      <c r="J33" s="446">
        <f t="shared" ref="J33" si="21">J34+J46</f>
        <v>262227</v>
      </c>
      <c r="K33" s="446">
        <f t="shared" si="17"/>
        <v>0</v>
      </c>
      <c r="L33" s="446">
        <f t="shared" ref="L33" si="22">L34+L46</f>
        <v>0</v>
      </c>
      <c r="M33" s="446">
        <f t="shared" si="17"/>
        <v>12500</v>
      </c>
      <c r="N33" s="446">
        <f t="shared" ref="N33:P33" si="23">N34+N46</f>
        <v>12500</v>
      </c>
      <c r="O33" s="446">
        <f t="shared" si="23"/>
        <v>0</v>
      </c>
      <c r="P33" s="446">
        <f t="shared" si="23"/>
        <v>1528</v>
      </c>
      <c r="Q33" s="446">
        <f t="shared" si="17"/>
        <v>247526</v>
      </c>
      <c r="R33" s="446">
        <f t="shared" ref="R33" si="24">R34+R46</f>
        <v>248199</v>
      </c>
    </row>
    <row r="34" spans="1:18" s="611" customFormat="1">
      <c r="A34" s="607" t="s">
        <v>1</v>
      </c>
      <c r="B34" s="608" t="s">
        <v>153</v>
      </c>
      <c r="C34" s="609">
        <f>C35+C41</f>
        <v>56</v>
      </c>
      <c r="D34" s="609">
        <f>D35+D41</f>
        <v>56</v>
      </c>
      <c r="E34" s="609">
        <v>0</v>
      </c>
      <c r="F34" s="609">
        <v>0</v>
      </c>
      <c r="G34" s="610">
        <f>G35+G41</f>
        <v>260026</v>
      </c>
      <c r="H34" s="610">
        <f>H35+H41</f>
        <v>262227</v>
      </c>
      <c r="I34" s="610">
        <f>K34+M34+Q34</f>
        <v>260026</v>
      </c>
      <c r="J34" s="610">
        <f>L34+N34+R34+P34</f>
        <v>262227</v>
      </c>
      <c r="K34" s="610">
        <v>0</v>
      </c>
      <c r="L34" s="610">
        <v>0</v>
      </c>
      <c r="M34" s="610">
        <f>M35+M41</f>
        <v>12500</v>
      </c>
      <c r="N34" s="610">
        <f>N35+N41</f>
        <v>12500</v>
      </c>
      <c r="O34" s="610">
        <f t="shared" ref="O34:P34" si="25">O35+O41</f>
        <v>0</v>
      </c>
      <c r="P34" s="610">
        <f t="shared" si="25"/>
        <v>1528</v>
      </c>
      <c r="Q34" s="610">
        <f>G34-K34-M34</f>
        <v>247526</v>
      </c>
      <c r="R34" s="610">
        <f>H34-L34-N34-P34</f>
        <v>248199</v>
      </c>
    </row>
    <row r="35" spans="1:18" s="611" customFormat="1">
      <c r="A35" s="604" t="s">
        <v>3</v>
      </c>
      <c r="B35" s="605" t="s">
        <v>1442</v>
      </c>
      <c r="C35" s="612">
        <f>'5C Bóbita'!C5</f>
        <v>56</v>
      </c>
      <c r="D35" s="612">
        <f>'5C Bóbita'!D5</f>
        <v>56</v>
      </c>
      <c r="E35" s="612">
        <v>0</v>
      </c>
      <c r="F35" s="612">
        <v>0</v>
      </c>
      <c r="G35" s="593">
        <f>G36+G37+G38+G40</f>
        <v>232086</v>
      </c>
      <c r="H35" s="593">
        <f>H36+H37+H38+H40+H39</f>
        <v>234287</v>
      </c>
      <c r="I35" s="593">
        <f>K35+M35+Q35</f>
        <v>232086</v>
      </c>
      <c r="J35" s="610">
        <f>L35+N35+R35+P35</f>
        <v>234287</v>
      </c>
      <c r="K35" s="593">
        <v>0</v>
      </c>
      <c r="L35" s="593">
        <v>0</v>
      </c>
      <c r="M35" s="593">
        <v>0</v>
      </c>
      <c r="N35" s="593">
        <v>0</v>
      </c>
      <c r="O35" s="593">
        <v>0</v>
      </c>
      <c r="P35" s="593">
        <v>1528</v>
      </c>
      <c r="Q35" s="593">
        <f>G35-K35-M35</f>
        <v>232086</v>
      </c>
      <c r="R35" s="610">
        <f>H35-L35-N35-P35</f>
        <v>232759</v>
      </c>
    </row>
    <row r="36" spans="1:18" s="611" customFormat="1">
      <c r="A36" s="603"/>
      <c r="B36" s="592" t="s">
        <v>414</v>
      </c>
      <c r="C36" s="613"/>
      <c r="D36" s="613"/>
      <c r="E36" s="613"/>
      <c r="F36" s="613"/>
      <c r="G36" s="586">
        <f>Bóbita!E54</f>
        <v>146030</v>
      </c>
      <c r="H36" s="586">
        <f>146030+530</f>
        <v>146560</v>
      </c>
      <c r="I36" s="586"/>
      <c r="J36" s="586"/>
      <c r="K36" s="586"/>
      <c r="L36" s="586"/>
      <c r="M36" s="586"/>
      <c r="N36" s="586"/>
      <c r="O36" s="586"/>
      <c r="P36" s="586"/>
      <c r="Q36" s="586"/>
      <c r="R36" s="586"/>
    </row>
    <row r="37" spans="1:18" s="611" customFormat="1">
      <c r="A37" s="603"/>
      <c r="B37" s="592" t="s">
        <v>415</v>
      </c>
      <c r="C37" s="613"/>
      <c r="D37" s="613"/>
      <c r="E37" s="613"/>
      <c r="F37" s="613"/>
      <c r="G37" s="586">
        <f>Bóbita!E63</f>
        <v>38522</v>
      </c>
      <c r="H37" s="586">
        <f>38522+143</f>
        <v>38665</v>
      </c>
      <c r="I37" s="586"/>
      <c r="J37" s="586"/>
      <c r="K37" s="586"/>
      <c r="L37" s="586"/>
      <c r="M37" s="586"/>
      <c r="N37" s="586"/>
      <c r="O37" s="586"/>
      <c r="P37" s="586"/>
      <c r="Q37" s="586"/>
      <c r="R37" s="586"/>
    </row>
    <row r="38" spans="1:18" s="611" customFormat="1">
      <c r="A38" s="603"/>
      <c r="B38" s="592" t="s">
        <v>214</v>
      </c>
      <c r="C38" s="613"/>
      <c r="D38" s="613"/>
      <c r="E38" s="613"/>
      <c r="F38" s="613"/>
      <c r="G38" s="586">
        <f>Bóbita!E142</f>
        <v>47534</v>
      </c>
      <c r="H38" s="586">
        <v>47534</v>
      </c>
      <c r="I38" s="586"/>
      <c r="J38" s="586"/>
      <c r="K38" s="586"/>
      <c r="L38" s="586"/>
      <c r="M38" s="586"/>
      <c r="N38" s="586"/>
      <c r="O38" s="586"/>
      <c r="P38" s="586"/>
      <c r="Q38" s="586"/>
      <c r="R38" s="586"/>
    </row>
    <row r="39" spans="1:18" s="611" customFormat="1">
      <c r="A39" s="603"/>
      <c r="B39" s="592" t="s">
        <v>107</v>
      </c>
      <c r="C39" s="613"/>
      <c r="D39" s="613"/>
      <c r="E39" s="613"/>
      <c r="F39" s="613"/>
      <c r="G39" s="586"/>
      <c r="H39" s="586">
        <v>1528</v>
      </c>
      <c r="I39" s="586"/>
      <c r="J39" s="586"/>
      <c r="K39" s="586"/>
      <c r="L39" s="586"/>
      <c r="M39" s="586"/>
      <c r="N39" s="586"/>
      <c r="O39" s="586"/>
      <c r="P39" s="586"/>
      <c r="Q39" s="586"/>
      <c r="R39" s="586"/>
    </row>
    <row r="40" spans="1:18" s="611" customFormat="1">
      <c r="A40" s="603"/>
      <c r="B40" s="592" t="s">
        <v>398</v>
      </c>
      <c r="C40" s="613"/>
      <c r="D40" s="613"/>
      <c r="E40" s="613"/>
      <c r="F40" s="613"/>
      <c r="G40" s="586">
        <f>Bóbita!E148</f>
        <v>0</v>
      </c>
      <c r="H40" s="586">
        <f>Bóbita!F148</f>
        <v>0</v>
      </c>
      <c r="I40" s="586"/>
      <c r="J40" s="586"/>
      <c r="K40" s="586"/>
      <c r="L40" s="586"/>
      <c r="M40" s="586"/>
      <c r="N40" s="586"/>
      <c r="O40" s="586"/>
      <c r="P40" s="586"/>
      <c r="Q40" s="586"/>
      <c r="R40" s="586"/>
    </row>
    <row r="41" spans="1:18" s="611" customFormat="1">
      <c r="A41" s="604" t="s">
        <v>4</v>
      </c>
      <c r="B41" s="605" t="s">
        <v>1398</v>
      </c>
      <c r="C41" s="612">
        <v>0</v>
      </c>
      <c r="D41" s="612">
        <v>0</v>
      </c>
      <c r="E41" s="612">
        <v>0</v>
      </c>
      <c r="F41" s="612">
        <v>0</v>
      </c>
      <c r="G41" s="593">
        <f>G42+G43+G44+G45</f>
        <v>27940</v>
      </c>
      <c r="H41" s="593">
        <f>H42+H43+H44+H45</f>
        <v>27940</v>
      </c>
      <c r="I41" s="593">
        <f>K41+M41+Q41</f>
        <v>27940</v>
      </c>
      <c r="J41" s="610">
        <f>L41+N41+R41+P41</f>
        <v>27940</v>
      </c>
      <c r="K41" s="593">
        <v>0</v>
      </c>
      <c r="L41" s="593">
        <v>0</v>
      </c>
      <c r="M41" s="593">
        <f>'5C Bóbita'!C10</f>
        <v>12500</v>
      </c>
      <c r="N41" s="593">
        <v>12500</v>
      </c>
      <c r="O41" s="593">
        <v>0</v>
      </c>
      <c r="P41" s="593">
        <v>0</v>
      </c>
      <c r="Q41" s="593">
        <f>G41-K41-M41</f>
        <v>15440</v>
      </c>
      <c r="R41" s="610">
        <f>H41-L41-N41-P41</f>
        <v>15440</v>
      </c>
    </row>
    <row r="42" spans="1:18" s="611" customFormat="1">
      <c r="A42" s="603"/>
      <c r="B42" s="592" t="s">
        <v>414</v>
      </c>
      <c r="C42" s="613"/>
      <c r="D42" s="613"/>
      <c r="E42" s="613"/>
      <c r="F42" s="613"/>
      <c r="G42" s="586">
        <f>Bóbita!D54</f>
        <v>0</v>
      </c>
      <c r="H42" s="586">
        <v>0</v>
      </c>
      <c r="I42" s="586"/>
      <c r="J42" s="586"/>
      <c r="K42" s="586"/>
      <c r="L42" s="586"/>
      <c r="M42" s="586"/>
      <c r="N42" s="586"/>
      <c r="O42" s="586"/>
      <c r="P42" s="586"/>
      <c r="Q42" s="586"/>
      <c r="R42" s="586"/>
    </row>
    <row r="43" spans="1:18" s="611" customFormat="1">
      <c r="A43" s="603"/>
      <c r="B43" s="592" t="s">
        <v>415</v>
      </c>
      <c r="C43" s="613"/>
      <c r="D43" s="613"/>
      <c r="E43" s="613"/>
      <c r="F43" s="613"/>
      <c r="G43" s="586">
        <f>Bóbita!D63</f>
        <v>0</v>
      </c>
      <c r="H43" s="586">
        <v>0</v>
      </c>
      <c r="I43" s="586"/>
      <c r="J43" s="586"/>
      <c r="K43" s="586"/>
      <c r="L43" s="586"/>
      <c r="M43" s="586"/>
      <c r="N43" s="586"/>
      <c r="O43" s="586"/>
      <c r="P43" s="586"/>
      <c r="Q43" s="586"/>
      <c r="R43" s="586"/>
    </row>
    <row r="44" spans="1:18" s="611" customFormat="1">
      <c r="A44" s="603"/>
      <c r="B44" s="592" t="s">
        <v>214</v>
      </c>
      <c r="C44" s="613"/>
      <c r="D44" s="613"/>
      <c r="E44" s="613"/>
      <c r="F44" s="613"/>
      <c r="G44" s="586">
        <f>Bóbita!D142</f>
        <v>27940</v>
      </c>
      <c r="H44" s="586">
        <v>27940</v>
      </c>
      <c r="I44" s="586"/>
      <c r="J44" s="586"/>
      <c r="K44" s="586"/>
      <c r="L44" s="586"/>
      <c r="M44" s="586"/>
      <c r="N44" s="586"/>
      <c r="O44" s="586"/>
      <c r="P44" s="586"/>
      <c r="Q44" s="586"/>
      <c r="R44" s="586"/>
    </row>
    <row r="45" spans="1:18" s="611" customFormat="1">
      <c r="A45" s="603"/>
      <c r="B45" s="592" t="s">
        <v>398</v>
      </c>
      <c r="C45" s="613"/>
      <c r="D45" s="613"/>
      <c r="E45" s="613"/>
      <c r="F45" s="613"/>
      <c r="G45" s="586">
        <f>Bóbita!D148</f>
        <v>0</v>
      </c>
      <c r="H45" s="586">
        <f>Bóbita!E148</f>
        <v>0</v>
      </c>
      <c r="I45" s="586"/>
      <c r="J45" s="586"/>
      <c r="K45" s="586"/>
      <c r="L45" s="586"/>
      <c r="M45" s="586"/>
      <c r="N45" s="586"/>
      <c r="O45" s="586"/>
      <c r="P45" s="586"/>
      <c r="Q45" s="586"/>
      <c r="R45" s="586"/>
    </row>
    <row r="46" spans="1:18" s="611" customFormat="1">
      <c r="A46" s="607" t="s">
        <v>13</v>
      </c>
      <c r="B46" s="608" t="s">
        <v>155</v>
      </c>
      <c r="C46" s="609">
        <v>0</v>
      </c>
      <c r="D46" s="609">
        <v>0</v>
      </c>
      <c r="E46" s="609">
        <v>0</v>
      </c>
      <c r="F46" s="609">
        <v>0</v>
      </c>
      <c r="G46" s="610">
        <v>0</v>
      </c>
      <c r="H46" s="610">
        <v>0</v>
      </c>
      <c r="I46" s="610">
        <f>K46+M46+Q46</f>
        <v>0</v>
      </c>
      <c r="J46" s="610">
        <f>L46+N46+R46</f>
        <v>0</v>
      </c>
      <c r="K46" s="610">
        <v>0</v>
      </c>
      <c r="L46" s="610">
        <v>0</v>
      </c>
      <c r="M46" s="610">
        <v>0</v>
      </c>
      <c r="N46" s="610">
        <v>0</v>
      </c>
      <c r="O46" s="593">
        <v>0</v>
      </c>
      <c r="P46" s="593">
        <v>0</v>
      </c>
      <c r="Q46" s="610">
        <f>G46-K46-M46</f>
        <v>0</v>
      </c>
      <c r="R46" s="610">
        <f>H46-L46-N46</f>
        <v>0</v>
      </c>
    </row>
    <row r="47" spans="1:18" s="611" customFormat="1">
      <c r="A47" s="443" t="s">
        <v>1811</v>
      </c>
      <c r="B47" s="444" t="s">
        <v>117</v>
      </c>
      <c r="C47" s="445">
        <f t="shared" ref="C47:R47" si="26">C48+C60</f>
        <v>12.5</v>
      </c>
      <c r="D47" s="445">
        <f t="shared" si="26"/>
        <v>12.5</v>
      </c>
      <c r="E47" s="445">
        <f t="shared" si="26"/>
        <v>0</v>
      </c>
      <c r="F47" s="445">
        <f t="shared" si="26"/>
        <v>0</v>
      </c>
      <c r="G47" s="446">
        <f t="shared" si="26"/>
        <v>135033</v>
      </c>
      <c r="H47" s="446">
        <f t="shared" si="26"/>
        <v>139478</v>
      </c>
      <c r="I47" s="446">
        <f t="shared" si="26"/>
        <v>135033</v>
      </c>
      <c r="J47" s="446">
        <f t="shared" si="26"/>
        <v>139478</v>
      </c>
      <c r="K47" s="446">
        <f t="shared" si="26"/>
        <v>0</v>
      </c>
      <c r="L47" s="446">
        <f t="shared" si="26"/>
        <v>0</v>
      </c>
      <c r="M47" s="446">
        <f t="shared" si="26"/>
        <v>34002</v>
      </c>
      <c r="N47" s="446">
        <f t="shared" si="26"/>
        <v>34002</v>
      </c>
      <c r="O47" s="446">
        <f t="shared" si="26"/>
        <v>0</v>
      </c>
      <c r="P47" s="446">
        <f t="shared" si="26"/>
        <v>2185</v>
      </c>
      <c r="Q47" s="446">
        <f t="shared" si="26"/>
        <v>101031</v>
      </c>
      <c r="R47" s="446">
        <f t="shared" si="26"/>
        <v>103291</v>
      </c>
    </row>
    <row r="48" spans="1:18" s="611" customFormat="1">
      <c r="A48" s="607" t="s">
        <v>1</v>
      </c>
      <c r="B48" s="608" t="s">
        <v>153</v>
      </c>
      <c r="C48" s="609">
        <f>C49+C55</f>
        <v>12.5</v>
      </c>
      <c r="D48" s="609">
        <f>D49+D55</f>
        <v>12.5</v>
      </c>
      <c r="E48" s="609">
        <v>0</v>
      </c>
      <c r="F48" s="609">
        <v>0</v>
      </c>
      <c r="G48" s="610">
        <f>G49+G55</f>
        <v>135033</v>
      </c>
      <c r="H48" s="610">
        <f>H49+H55</f>
        <v>139478</v>
      </c>
      <c r="I48" s="610">
        <f>K48+M48+Q48</f>
        <v>135033</v>
      </c>
      <c r="J48" s="610">
        <f>L48+N48+R48+P48</f>
        <v>139478</v>
      </c>
      <c r="K48" s="610">
        <v>0</v>
      </c>
      <c r="L48" s="610">
        <v>0</v>
      </c>
      <c r="M48" s="610">
        <f>M49+M55</f>
        <v>34002</v>
      </c>
      <c r="N48" s="610">
        <f>N49+N55</f>
        <v>34002</v>
      </c>
      <c r="O48" s="610">
        <f>O49+O55</f>
        <v>0</v>
      </c>
      <c r="P48" s="610">
        <f>P49+P55</f>
        <v>2185</v>
      </c>
      <c r="Q48" s="610">
        <f>G48-K48-M48</f>
        <v>101031</v>
      </c>
      <c r="R48" s="610">
        <f>H48-L48-N48-P48</f>
        <v>103291</v>
      </c>
    </row>
    <row r="49" spans="1:18" s="611" customFormat="1">
      <c r="A49" s="604" t="s">
        <v>3</v>
      </c>
      <c r="B49" s="605" t="s">
        <v>1492</v>
      </c>
      <c r="C49" s="612">
        <f>'5C Bóbita'!C18</f>
        <v>0</v>
      </c>
      <c r="D49" s="612">
        <f>'5C Bóbita'!D18</f>
        <v>0</v>
      </c>
      <c r="E49" s="612">
        <v>0</v>
      </c>
      <c r="F49" s="612">
        <v>0</v>
      </c>
      <c r="G49" s="593">
        <f>G50+G51+G52+G54</f>
        <v>34180</v>
      </c>
      <c r="H49" s="593">
        <f>H50+H51+H52+H54+H53</f>
        <v>36709</v>
      </c>
      <c r="I49" s="593">
        <f>K49+M49+Q49</f>
        <v>34180</v>
      </c>
      <c r="J49" s="610">
        <f>L49+N49+R49+P49</f>
        <v>36709</v>
      </c>
      <c r="K49" s="593">
        <v>0</v>
      </c>
      <c r="L49" s="593">
        <v>0</v>
      </c>
      <c r="M49" s="593">
        <f>'5D MMMH'!C10</f>
        <v>34002</v>
      </c>
      <c r="N49" s="593">
        <v>34002</v>
      </c>
      <c r="O49" s="593">
        <v>0</v>
      </c>
      <c r="P49" s="593">
        <v>2185</v>
      </c>
      <c r="Q49" s="593">
        <f>G49-K49-M49</f>
        <v>178</v>
      </c>
      <c r="R49" s="610">
        <f>H49-L49-N49-P49</f>
        <v>522</v>
      </c>
    </row>
    <row r="50" spans="1:18" s="611" customFormat="1">
      <c r="A50" s="603"/>
      <c r="B50" s="592" t="s">
        <v>414</v>
      </c>
      <c r="C50" s="613"/>
      <c r="D50" s="613"/>
      <c r="E50" s="613"/>
      <c r="F50" s="613"/>
      <c r="G50" s="586">
        <f>MMMH!H58</f>
        <v>0</v>
      </c>
      <c r="H50" s="586">
        <f>MMMH!I58</f>
        <v>0</v>
      </c>
      <c r="I50" s="586"/>
      <c r="J50" s="586"/>
      <c r="K50" s="586"/>
      <c r="L50" s="586"/>
      <c r="M50" s="586"/>
      <c r="N50" s="586"/>
      <c r="O50" s="586"/>
      <c r="P50" s="586"/>
      <c r="Q50" s="586"/>
      <c r="R50" s="586"/>
    </row>
    <row r="51" spans="1:18" s="611" customFormat="1">
      <c r="A51" s="603"/>
      <c r="B51" s="592" t="s">
        <v>415</v>
      </c>
      <c r="C51" s="613"/>
      <c r="D51" s="613"/>
      <c r="E51" s="613"/>
      <c r="F51" s="613"/>
      <c r="G51" s="586">
        <f>MMMH!H67</f>
        <v>0</v>
      </c>
      <c r="H51" s="586">
        <f>MMMH!I67</f>
        <v>0</v>
      </c>
      <c r="I51" s="586"/>
      <c r="J51" s="586"/>
      <c r="K51" s="586"/>
      <c r="L51" s="586"/>
      <c r="M51" s="586"/>
      <c r="N51" s="586"/>
      <c r="O51" s="586"/>
      <c r="P51" s="586"/>
      <c r="Q51" s="586"/>
      <c r="R51" s="586"/>
    </row>
    <row r="52" spans="1:18" s="611" customFormat="1">
      <c r="A52" s="603"/>
      <c r="B52" s="592" t="s">
        <v>214</v>
      </c>
      <c r="C52" s="613"/>
      <c r="D52" s="613"/>
      <c r="E52" s="613"/>
      <c r="F52" s="613"/>
      <c r="G52" s="586">
        <f>MMMH!H152+MMMH!L152</f>
        <v>33080</v>
      </c>
      <c r="H52" s="586">
        <v>33080</v>
      </c>
      <c r="I52" s="586"/>
      <c r="J52" s="586"/>
      <c r="K52" s="586"/>
      <c r="L52" s="586"/>
      <c r="M52" s="586"/>
      <c r="N52" s="586"/>
      <c r="O52" s="586"/>
      <c r="P52" s="586"/>
      <c r="Q52" s="586"/>
      <c r="R52" s="586"/>
    </row>
    <row r="53" spans="1:18" s="611" customFormat="1">
      <c r="A53" s="603"/>
      <c r="B53" s="592" t="s">
        <v>107</v>
      </c>
      <c r="C53" s="613"/>
      <c r="D53" s="613"/>
      <c r="E53" s="613"/>
      <c r="F53" s="613"/>
      <c r="G53" s="586"/>
      <c r="H53" s="586">
        <v>2185</v>
      </c>
      <c r="I53" s="586"/>
      <c r="J53" s="586"/>
      <c r="K53" s="586"/>
      <c r="L53" s="586"/>
      <c r="M53" s="586"/>
      <c r="N53" s="586"/>
      <c r="O53" s="586"/>
      <c r="P53" s="586"/>
      <c r="Q53" s="586"/>
      <c r="R53" s="586"/>
    </row>
    <row r="54" spans="1:18" s="615" customFormat="1">
      <c r="A54" s="603"/>
      <c r="B54" s="592" t="s">
        <v>1824</v>
      </c>
      <c r="C54" s="613"/>
      <c r="D54" s="613"/>
      <c r="E54" s="613"/>
      <c r="F54" s="613"/>
      <c r="G54" s="586">
        <f>MMMH!H170</f>
        <v>1100</v>
      </c>
      <c r="H54" s="586">
        <f>1100+344</f>
        <v>1444</v>
      </c>
      <c r="I54" s="586"/>
      <c r="J54" s="586"/>
      <c r="K54" s="586"/>
      <c r="L54" s="586"/>
      <c r="M54" s="586"/>
      <c r="N54" s="586"/>
      <c r="O54" s="586"/>
      <c r="P54" s="586"/>
      <c r="Q54" s="586"/>
      <c r="R54" s="586"/>
    </row>
    <row r="55" spans="1:18" s="611" customFormat="1">
      <c r="A55" s="604" t="s">
        <v>4</v>
      </c>
      <c r="B55" s="605" t="s">
        <v>1491</v>
      </c>
      <c r="C55" s="612">
        <f>'5D MMMH'!C5</f>
        <v>12.5</v>
      </c>
      <c r="D55" s="612">
        <f>'5D MMMH'!D5</f>
        <v>12.5</v>
      </c>
      <c r="E55" s="612">
        <v>0</v>
      </c>
      <c r="F55" s="612">
        <v>0</v>
      </c>
      <c r="G55" s="593">
        <f>G56+G57+G58+G59</f>
        <v>100853</v>
      </c>
      <c r="H55" s="593">
        <f>H56+H57+H58+H59</f>
        <v>102769</v>
      </c>
      <c r="I55" s="593">
        <f>K55+M55+Q55</f>
        <v>100853</v>
      </c>
      <c r="J55" s="610">
        <f>L55+N55+R55+P55</f>
        <v>102769</v>
      </c>
      <c r="K55" s="593">
        <v>0</v>
      </c>
      <c r="L55" s="593">
        <v>0</v>
      </c>
      <c r="M55" s="593">
        <f>'5C Bóbita'!C23</f>
        <v>0</v>
      </c>
      <c r="N55" s="593">
        <v>0</v>
      </c>
      <c r="O55" s="593">
        <v>0</v>
      </c>
      <c r="P55" s="593">
        <v>0</v>
      </c>
      <c r="Q55" s="593">
        <f>G55-K55-M55</f>
        <v>100853</v>
      </c>
      <c r="R55" s="610">
        <f>H55-L55-N55-P55</f>
        <v>102769</v>
      </c>
    </row>
    <row r="56" spans="1:18" s="611" customFormat="1">
      <c r="A56" s="603"/>
      <c r="B56" s="592" t="s">
        <v>414</v>
      </c>
      <c r="C56" s="613"/>
      <c r="D56" s="613"/>
      <c r="E56" s="613"/>
      <c r="F56" s="613"/>
      <c r="G56" s="586">
        <f>MMMH!J58</f>
        <v>31822</v>
      </c>
      <c r="H56" s="586">
        <f>31822+186</f>
        <v>32008</v>
      </c>
      <c r="I56" s="586"/>
      <c r="J56" s="586"/>
      <c r="K56" s="586"/>
      <c r="L56" s="586"/>
      <c r="M56" s="586"/>
      <c r="N56" s="586"/>
      <c r="O56" s="586"/>
      <c r="P56" s="586"/>
      <c r="Q56" s="586"/>
      <c r="R56" s="586"/>
    </row>
    <row r="57" spans="1:18" s="615" customFormat="1">
      <c r="A57" s="603"/>
      <c r="B57" s="592" t="s">
        <v>415</v>
      </c>
      <c r="C57" s="613"/>
      <c r="D57" s="613"/>
      <c r="E57" s="613"/>
      <c r="F57" s="613"/>
      <c r="G57" s="586">
        <f>MMMH!J67</f>
        <v>8110</v>
      </c>
      <c r="H57" s="586">
        <f>8110+50</f>
        <v>8160</v>
      </c>
      <c r="I57" s="586"/>
      <c r="J57" s="586"/>
      <c r="K57" s="586"/>
      <c r="L57" s="586"/>
      <c r="M57" s="586"/>
      <c r="N57" s="586"/>
      <c r="O57" s="586"/>
      <c r="P57" s="586"/>
      <c r="Q57" s="586"/>
      <c r="R57" s="586"/>
    </row>
    <row r="58" spans="1:18" s="611" customFormat="1">
      <c r="A58" s="603"/>
      <c r="B58" s="592" t="s">
        <v>214</v>
      </c>
      <c r="C58" s="613"/>
      <c r="D58" s="613"/>
      <c r="E58" s="613"/>
      <c r="F58" s="613"/>
      <c r="G58" s="586">
        <f>MMMH!J152</f>
        <v>60671</v>
      </c>
      <c r="H58" s="586">
        <f>60671+1680</f>
        <v>62351</v>
      </c>
      <c r="I58" s="586"/>
      <c r="J58" s="586"/>
      <c r="K58" s="586"/>
      <c r="L58" s="586"/>
      <c r="M58" s="586"/>
      <c r="N58" s="586"/>
      <c r="O58" s="586"/>
      <c r="P58" s="586"/>
      <c r="Q58" s="586"/>
      <c r="R58" s="586"/>
    </row>
    <row r="59" spans="1:18" s="611" customFormat="1">
      <c r="A59" s="603"/>
      <c r="B59" s="592" t="s">
        <v>398</v>
      </c>
      <c r="C59" s="613"/>
      <c r="D59" s="613"/>
      <c r="E59" s="613"/>
      <c r="F59" s="613"/>
      <c r="G59" s="586">
        <f>ROUND(MMMH!J170,0)</f>
        <v>250</v>
      </c>
      <c r="H59" s="586">
        <v>250</v>
      </c>
      <c r="I59" s="586"/>
      <c r="J59" s="586"/>
      <c r="K59" s="586"/>
      <c r="L59" s="586"/>
      <c r="M59" s="586"/>
      <c r="N59" s="586"/>
      <c r="O59" s="586"/>
      <c r="P59" s="586"/>
      <c r="Q59" s="586"/>
      <c r="R59" s="586"/>
    </row>
    <row r="60" spans="1:18" s="611" customFormat="1">
      <c r="A60" s="607" t="s">
        <v>13</v>
      </c>
      <c r="B60" s="608" t="s">
        <v>155</v>
      </c>
      <c r="C60" s="609">
        <v>0</v>
      </c>
      <c r="D60" s="609">
        <v>0</v>
      </c>
      <c r="E60" s="609">
        <v>0</v>
      </c>
      <c r="F60" s="609">
        <v>0</v>
      </c>
      <c r="G60" s="610">
        <v>0</v>
      </c>
      <c r="H60" s="610">
        <v>0</v>
      </c>
      <c r="I60" s="610">
        <f>K60+M60+Q60</f>
        <v>0</v>
      </c>
      <c r="J60" s="610">
        <f>L60+N60+R60+P60</f>
        <v>0</v>
      </c>
      <c r="K60" s="610">
        <v>0</v>
      </c>
      <c r="L60" s="610">
        <v>0</v>
      </c>
      <c r="M60" s="610">
        <v>0</v>
      </c>
      <c r="N60" s="610">
        <v>0</v>
      </c>
      <c r="O60" s="593">
        <v>0</v>
      </c>
      <c r="P60" s="593">
        <v>0</v>
      </c>
      <c r="Q60" s="610">
        <f>G60-K60-M60</f>
        <v>0</v>
      </c>
      <c r="R60" s="610">
        <f>H60-L60-N60</f>
        <v>0</v>
      </c>
    </row>
    <row r="61" spans="1:18" s="611" customFormat="1">
      <c r="A61" s="443" t="s">
        <v>1812</v>
      </c>
      <c r="B61" s="444" t="s">
        <v>1493</v>
      </c>
      <c r="C61" s="445">
        <f>C62+C73</f>
        <v>4.5</v>
      </c>
      <c r="D61" s="445">
        <f>D62+D73</f>
        <v>4.5</v>
      </c>
      <c r="E61" s="445">
        <f t="shared" ref="E61:F61" si="27">E62+E73</f>
        <v>0</v>
      </c>
      <c r="F61" s="445">
        <f t="shared" si="27"/>
        <v>0</v>
      </c>
      <c r="G61" s="446">
        <f t="shared" ref="G61:H61" si="28">G62+G73</f>
        <v>33353</v>
      </c>
      <c r="H61" s="446">
        <f t="shared" si="28"/>
        <v>35964</v>
      </c>
      <c r="I61" s="446">
        <f t="shared" ref="I61:J61" si="29">I62+I73</f>
        <v>33353</v>
      </c>
      <c r="J61" s="446">
        <f t="shared" si="29"/>
        <v>35964</v>
      </c>
      <c r="K61" s="446">
        <f t="shared" ref="K61:L61" si="30">K62+K73</f>
        <v>0</v>
      </c>
      <c r="L61" s="446">
        <f t="shared" si="30"/>
        <v>0</v>
      </c>
      <c r="M61" s="446">
        <f t="shared" ref="M61:P61" si="31">M62+M73</f>
        <v>300</v>
      </c>
      <c r="N61" s="446">
        <f t="shared" si="31"/>
        <v>300</v>
      </c>
      <c r="O61" s="446">
        <f t="shared" si="31"/>
        <v>0</v>
      </c>
      <c r="P61" s="446">
        <f t="shared" si="31"/>
        <v>167</v>
      </c>
      <c r="Q61" s="446">
        <f t="shared" ref="Q61:R61" si="32">Q62+Q73</f>
        <v>33053</v>
      </c>
      <c r="R61" s="446">
        <f t="shared" si="32"/>
        <v>35497</v>
      </c>
    </row>
    <row r="62" spans="1:18" s="615" customFormat="1">
      <c r="A62" s="607" t="s">
        <v>1</v>
      </c>
      <c r="B62" s="608" t="s">
        <v>153</v>
      </c>
      <c r="C62" s="609">
        <f>C63+C68</f>
        <v>4.5</v>
      </c>
      <c r="D62" s="609">
        <f>D63+D68</f>
        <v>4.5</v>
      </c>
      <c r="E62" s="609">
        <v>0</v>
      </c>
      <c r="F62" s="609">
        <v>0</v>
      </c>
      <c r="G62" s="610">
        <f>G63+G68</f>
        <v>33353</v>
      </c>
      <c r="H62" s="610">
        <f>H63+H68</f>
        <v>35964</v>
      </c>
      <c r="I62" s="610">
        <f>K62+M62+Q62</f>
        <v>33353</v>
      </c>
      <c r="J62" s="610">
        <f>L62+N62+R62+P62</f>
        <v>35964</v>
      </c>
      <c r="K62" s="610">
        <v>0</v>
      </c>
      <c r="L62" s="610">
        <v>0</v>
      </c>
      <c r="M62" s="610">
        <f>M63+M68</f>
        <v>300</v>
      </c>
      <c r="N62" s="610">
        <f>N63+N68</f>
        <v>300</v>
      </c>
      <c r="O62" s="610">
        <f t="shared" ref="O62:P62" si="33">O63+O68</f>
        <v>0</v>
      </c>
      <c r="P62" s="610">
        <f t="shared" si="33"/>
        <v>167</v>
      </c>
      <c r="Q62" s="610">
        <f>G62-K62-M62</f>
        <v>33053</v>
      </c>
      <c r="R62" s="610">
        <f>H62-L62-N62-P62</f>
        <v>35497</v>
      </c>
    </row>
    <row r="63" spans="1:18" s="611" customFormat="1">
      <c r="A63" s="604" t="s">
        <v>3</v>
      </c>
      <c r="B63" s="605" t="s">
        <v>1494</v>
      </c>
      <c r="C63" s="612">
        <f>'5E Könyvtár'!C5</f>
        <v>4.5</v>
      </c>
      <c r="D63" s="612">
        <f>'5E Könyvtár'!D5</f>
        <v>4.5</v>
      </c>
      <c r="E63" s="612">
        <v>0</v>
      </c>
      <c r="F63" s="612">
        <v>0</v>
      </c>
      <c r="G63" s="593">
        <f>G64+G65+G66+G67</f>
        <v>30596</v>
      </c>
      <c r="H63" s="593">
        <f>H64+H65+H66+H67</f>
        <v>32211</v>
      </c>
      <c r="I63" s="593">
        <f>K63+M63+Q63</f>
        <v>30596</v>
      </c>
      <c r="J63" s="610">
        <f>L63+N63+R63+P63</f>
        <v>32211</v>
      </c>
      <c r="K63" s="593">
        <v>0</v>
      </c>
      <c r="L63" s="593">
        <v>0</v>
      </c>
      <c r="M63" s="593">
        <f>'5E Könyvtár'!C10</f>
        <v>300</v>
      </c>
      <c r="N63" s="593">
        <v>300</v>
      </c>
      <c r="O63" s="593">
        <v>0</v>
      </c>
      <c r="P63" s="593">
        <v>167</v>
      </c>
      <c r="Q63" s="593">
        <f>G63-K63-M63</f>
        <v>30296</v>
      </c>
      <c r="R63" s="610">
        <f>H63-L63-N63-P63</f>
        <v>31744</v>
      </c>
    </row>
    <row r="64" spans="1:18" s="611" customFormat="1">
      <c r="A64" s="603"/>
      <c r="B64" s="592" t="s">
        <v>414</v>
      </c>
      <c r="C64" s="613"/>
      <c r="D64" s="613"/>
      <c r="E64" s="613"/>
      <c r="F64" s="613"/>
      <c r="G64" s="586">
        <f>Volf!E54</f>
        <v>13825</v>
      </c>
      <c r="H64" s="586">
        <f>13825+36+1235</f>
        <v>15096</v>
      </c>
      <c r="I64" s="586"/>
      <c r="J64" s="586"/>
      <c r="K64" s="586"/>
      <c r="L64" s="586"/>
      <c r="M64" s="586"/>
      <c r="N64" s="586"/>
      <c r="O64" s="586"/>
      <c r="P64" s="586"/>
      <c r="Q64" s="586"/>
      <c r="R64" s="586"/>
    </row>
    <row r="65" spans="1:18" s="611" customFormat="1">
      <c r="A65" s="603"/>
      <c r="B65" s="592" t="s">
        <v>415</v>
      </c>
      <c r="C65" s="613"/>
      <c r="D65" s="613"/>
      <c r="E65" s="613"/>
      <c r="F65" s="613"/>
      <c r="G65" s="586">
        <f>Volf!E63</f>
        <v>3846</v>
      </c>
      <c r="H65" s="586">
        <f>3846+10+334</f>
        <v>4190</v>
      </c>
      <c r="I65" s="586"/>
      <c r="J65" s="586"/>
      <c r="K65" s="586"/>
      <c r="L65" s="586"/>
      <c r="M65" s="586"/>
      <c r="N65" s="586"/>
      <c r="O65" s="586"/>
      <c r="P65" s="586"/>
      <c r="Q65" s="586"/>
      <c r="R65" s="586"/>
    </row>
    <row r="66" spans="1:18" s="611" customFormat="1">
      <c r="A66" s="603"/>
      <c r="B66" s="592" t="s">
        <v>214</v>
      </c>
      <c r="C66" s="613"/>
      <c r="D66" s="613"/>
      <c r="E66" s="613"/>
      <c r="F66" s="613"/>
      <c r="G66" s="586">
        <f>Volf!E142</f>
        <v>12861</v>
      </c>
      <c r="H66" s="586">
        <v>12861</v>
      </c>
      <c r="I66" s="586"/>
      <c r="J66" s="586"/>
      <c r="K66" s="586"/>
      <c r="L66" s="586"/>
      <c r="M66" s="586"/>
      <c r="N66" s="586"/>
      <c r="O66" s="586"/>
      <c r="P66" s="586"/>
      <c r="Q66" s="586"/>
      <c r="R66" s="586"/>
    </row>
    <row r="67" spans="1:18" s="615" customFormat="1">
      <c r="A67" s="603"/>
      <c r="B67" s="592" t="s">
        <v>398</v>
      </c>
      <c r="C67" s="613"/>
      <c r="D67" s="613"/>
      <c r="E67" s="613"/>
      <c r="F67" s="613"/>
      <c r="G67" s="586">
        <f>Volf!E148</f>
        <v>64</v>
      </c>
      <c r="H67" s="586">
        <v>64</v>
      </c>
      <c r="I67" s="586"/>
      <c r="J67" s="586"/>
      <c r="K67" s="586"/>
      <c r="L67" s="586"/>
      <c r="M67" s="586"/>
      <c r="N67" s="586"/>
      <c r="O67" s="586"/>
      <c r="P67" s="586"/>
      <c r="Q67" s="586"/>
      <c r="R67" s="586"/>
    </row>
    <row r="68" spans="1:18" s="611" customFormat="1">
      <c r="A68" s="604" t="s">
        <v>4</v>
      </c>
      <c r="B68" s="605" t="s">
        <v>1495</v>
      </c>
      <c r="C68" s="612">
        <v>0</v>
      </c>
      <c r="D68" s="612">
        <v>0</v>
      </c>
      <c r="E68" s="612">
        <v>0</v>
      </c>
      <c r="F68" s="612">
        <v>0</v>
      </c>
      <c r="G68" s="593">
        <f>G69+G70+G71+G72</f>
        <v>2757</v>
      </c>
      <c r="H68" s="593">
        <f>H69+H70+H71+H72</f>
        <v>3753</v>
      </c>
      <c r="I68" s="593">
        <f>K68+M68+Q68</f>
        <v>2757</v>
      </c>
      <c r="J68" s="610">
        <f>L68+N68+R68+P68</f>
        <v>3753</v>
      </c>
      <c r="K68" s="593">
        <v>0</v>
      </c>
      <c r="L68" s="593">
        <v>0</v>
      </c>
      <c r="M68" s="593">
        <v>0</v>
      </c>
      <c r="N68" s="593">
        <v>0</v>
      </c>
      <c r="O68" s="593">
        <v>0</v>
      </c>
      <c r="P68" s="593">
        <v>0</v>
      </c>
      <c r="Q68" s="593">
        <f>G68-K68-M68</f>
        <v>2757</v>
      </c>
      <c r="R68" s="610">
        <f>H68-L68-N68-P68</f>
        <v>3753</v>
      </c>
    </row>
    <row r="69" spans="1:18" s="611" customFormat="1">
      <c r="A69" s="603"/>
      <c r="B69" s="592" t="s">
        <v>414</v>
      </c>
      <c r="C69" s="613"/>
      <c r="D69" s="613"/>
      <c r="E69" s="613"/>
      <c r="F69" s="613"/>
      <c r="G69" s="586">
        <f>Volf!F54</f>
        <v>0</v>
      </c>
      <c r="H69" s="586">
        <f>Volf!G54</f>
        <v>0</v>
      </c>
      <c r="I69" s="586"/>
      <c r="J69" s="586"/>
      <c r="K69" s="586"/>
      <c r="L69" s="586"/>
      <c r="M69" s="586"/>
      <c r="N69" s="586"/>
      <c r="O69" s="586"/>
      <c r="P69" s="586"/>
      <c r="Q69" s="586"/>
      <c r="R69" s="586"/>
    </row>
    <row r="70" spans="1:18" s="611" customFormat="1">
      <c r="A70" s="603"/>
      <c r="B70" s="592" t="s">
        <v>415</v>
      </c>
      <c r="C70" s="613"/>
      <c r="D70" s="613"/>
      <c r="E70" s="613"/>
      <c r="F70" s="613"/>
      <c r="G70" s="586">
        <f>Volf!F63</f>
        <v>0</v>
      </c>
      <c r="H70" s="586">
        <f>Volf!G63</f>
        <v>0</v>
      </c>
      <c r="I70" s="586"/>
      <c r="J70" s="586"/>
      <c r="K70" s="586"/>
      <c r="L70" s="586"/>
      <c r="M70" s="586"/>
      <c r="N70" s="586"/>
      <c r="O70" s="586"/>
      <c r="P70" s="586"/>
      <c r="Q70" s="586"/>
      <c r="R70" s="586"/>
    </row>
    <row r="71" spans="1:18" s="611" customFormat="1">
      <c r="A71" s="603"/>
      <c r="B71" s="592" t="s">
        <v>214</v>
      </c>
      <c r="C71" s="613"/>
      <c r="D71" s="613"/>
      <c r="E71" s="613"/>
      <c r="F71" s="613"/>
      <c r="G71" s="586">
        <f>Volf!F142</f>
        <v>2757</v>
      </c>
      <c r="H71" s="586">
        <f>2757+996</f>
        <v>3753</v>
      </c>
      <c r="I71" s="586"/>
      <c r="J71" s="586"/>
      <c r="K71" s="586"/>
      <c r="L71" s="586"/>
      <c r="M71" s="586"/>
      <c r="N71" s="586"/>
      <c r="O71" s="586"/>
      <c r="P71" s="586"/>
      <c r="Q71" s="586"/>
      <c r="R71" s="586"/>
    </row>
    <row r="72" spans="1:18" s="615" customFormat="1">
      <c r="A72" s="603"/>
      <c r="B72" s="592" t="s">
        <v>398</v>
      </c>
      <c r="C72" s="613"/>
      <c r="D72" s="613"/>
      <c r="E72" s="613"/>
      <c r="F72" s="613"/>
      <c r="G72" s="586">
        <f>Volf!F148</f>
        <v>0</v>
      </c>
      <c r="H72" s="586">
        <f>Volf!G148</f>
        <v>0</v>
      </c>
      <c r="I72" s="586"/>
      <c r="J72" s="586"/>
      <c r="K72" s="586"/>
      <c r="L72" s="586"/>
      <c r="M72" s="586"/>
      <c r="N72" s="586"/>
      <c r="O72" s="586"/>
      <c r="P72" s="586"/>
      <c r="Q72" s="586"/>
      <c r="R72" s="586"/>
    </row>
    <row r="73" spans="1:18" s="611" customFormat="1">
      <c r="A73" s="607" t="s">
        <v>13</v>
      </c>
      <c r="B73" s="608" t="s">
        <v>155</v>
      </c>
      <c r="C73" s="609">
        <v>0</v>
      </c>
      <c r="D73" s="609">
        <v>0</v>
      </c>
      <c r="E73" s="609">
        <v>0</v>
      </c>
      <c r="F73" s="609">
        <v>0</v>
      </c>
      <c r="G73" s="610">
        <v>0</v>
      </c>
      <c r="H73" s="610">
        <v>0</v>
      </c>
      <c r="I73" s="610">
        <f>K73+M73+Q73</f>
        <v>0</v>
      </c>
      <c r="J73" s="610">
        <f>L73+N73+R73+P73</f>
        <v>0</v>
      </c>
      <c r="K73" s="610">
        <v>0</v>
      </c>
      <c r="L73" s="610">
        <v>0</v>
      </c>
      <c r="M73" s="610">
        <v>0</v>
      </c>
      <c r="N73" s="610">
        <v>0</v>
      </c>
      <c r="O73" s="593">
        <v>0</v>
      </c>
      <c r="P73" s="593">
        <v>0</v>
      </c>
      <c r="Q73" s="610">
        <f>G73-K73-M73</f>
        <v>0</v>
      </c>
      <c r="R73" s="610">
        <f>H73-L73-N73</f>
        <v>0</v>
      </c>
    </row>
    <row r="74" spans="1:18" s="611" customFormat="1">
      <c r="A74" s="443" t="s">
        <v>1813</v>
      </c>
      <c r="B74" s="444" t="s">
        <v>118</v>
      </c>
      <c r="C74" s="445">
        <f t="shared" ref="C74:Q74" si="34">C75+C101</f>
        <v>41</v>
      </c>
      <c r="D74" s="445">
        <f t="shared" ref="D74" si="35">D75+D101</f>
        <v>41</v>
      </c>
      <c r="E74" s="445">
        <f t="shared" si="34"/>
        <v>0</v>
      </c>
      <c r="F74" s="445">
        <f t="shared" ref="F74" si="36">F75+F101</f>
        <v>0</v>
      </c>
      <c r="G74" s="446">
        <f t="shared" si="34"/>
        <v>193336</v>
      </c>
      <c r="H74" s="446">
        <f t="shared" ref="H74" si="37">H75+H101</f>
        <v>200264</v>
      </c>
      <c r="I74" s="446">
        <f t="shared" si="34"/>
        <v>193336</v>
      </c>
      <c r="J74" s="446">
        <f t="shared" ref="J74" si="38">J75+J101</f>
        <v>200264</v>
      </c>
      <c r="K74" s="446">
        <f t="shared" si="34"/>
        <v>0</v>
      </c>
      <c r="L74" s="446">
        <f t="shared" ref="L74" si="39">L75+L101</f>
        <v>0</v>
      </c>
      <c r="M74" s="446">
        <f t="shared" si="34"/>
        <v>11779</v>
      </c>
      <c r="N74" s="446">
        <f t="shared" ref="N74:P74" si="40">N75+N101</f>
        <v>11779</v>
      </c>
      <c r="O74" s="446">
        <f t="shared" si="40"/>
        <v>0</v>
      </c>
      <c r="P74" s="446">
        <f t="shared" si="40"/>
        <v>939</v>
      </c>
      <c r="Q74" s="446">
        <f t="shared" si="34"/>
        <v>181557</v>
      </c>
      <c r="R74" s="446">
        <f t="shared" ref="R74" si="41">R75+R101</f>
        <v>187546</v>
      </c>
    </row>
    <row r="75" spans="1:18" s="615" customFormat="1">
      <c r="A75" s="607" t="s">
        <v>1</v>
      </c>
      <c r="B75" s="608" t="s">
        <v>153</v>
      </c>
      <c r="C75" s="612">
        <f t="shared" ref="C75:E75" si="42">C76+C81+C86+C91+C96</f>
        <v>41</v>
      </c>
      <c r="D75" s="612">
        <f t="shared" ref="D75" si="43">D76+D81+D86+D91+D96</f>
        <v>41</v>
      </c>
      <c r="E75" s="612">
        <f t="shared" si="42"/>
        <v>0</v>
      </c>
      <c r="F75" s="612">
        <f t="shared" ref="F75" si="44">F76+F81+F86+F91+F96</f>
        <v>0</v>
      </c>
      <c r="G75" s="610">
        <f>G76+G81+G86+G91+G96</f>
        <v>193336</v>
      </c>
      <c r="H75" s="610">
        <f>H76+H81+H86+H91+H96</f>
        <v>200264</v>
      </c>
      <c r="I75" s="610">
        <f t="shared" ref="I75:Q75" si="45">I76+I81+I86+I91+I96</f>
        <v>193336</v>
      </c>
      <c r="J75" s="610">
        <f>L75+N75+R75+P75</f>
        <v>200264</v>
      </c>
      <c r="K75" s="610">
        <f t="shared" si="45"/>
        <v>0</v>
      </c>
      <c r="L75" s="610">
        <f t="shared" ref="L75" si="46">L76+L81+L86+L91+L96</f>
        <v>0</v>
      </c>
      <c r="M75" s="610">
        <f t="shared" si="45"/>
        <v>11779</v>
      </c>
      <c r="N75" s="610">
        <f t="shared" ref="N75:P75" si="47">N76+N81+N86+N91+N96</f>
        <v>11779</v>
      </c>
      <c r="O75" s="610">
        <f t="shared" si="47"/>
        <v>0</v>
      </c>
      <c r="P75" s="610">
        <f t="shared" si="47"/>
        <v>939</v>
      </c>
      <c r="Q75" s="610">
        <f t="shared" si="45"/>
        <v>181557</v>
      </c>
      <c r="R75" s="610">
        <f>H75-L75-N75-P75</f>
        <v>187546</v>
      </c>
    </row>
    <row r="76" spans="1:18" s="611" customFormat="1">
      <c r="A76" s="604" t="s">
        <v>3</v>
      </c>
      <c r="B76" s="605" t="s">
        <v>1496</v>
      </c>
      <c r="C76" s="612">
        <f>10+1</f>
        <v>11</v>
      </c>
      <c r="D76" s="612">
        <f>10+1</f>
        <v>11</v>
      </c>
      <c r="E76" s="612">
        <v>0</v>
      </c>
      <c r="F76" s="612">
        <v>0</v>
      </c>
      <c r="G76" s="593">
        <f>G77+G78+G79+G80</f>
        <v>64579</v>
      </c>
      <c r="H76" s="593">
        <f>H77+H78+H79+H80</f>
        <v>65109</v>
      </c>
      <c r="I76" s="593">
        <f>K76+M76+Q76</f>
        <v>64579</v>
      </c>
      <c r="J76" s="610">
        <f>L76+N76+R76+P76</f>
        <v>65109</v>
      </c>
      <c r="K76" s="593">
        <v>0</v>
      </c>
      <c r="L76" s="593">
        <v>0</v>
      </c>
      <c r="M76" s="593">
        <f>'5E Könyvtár'!C23</f>
        <v>0</v>
      </c>
      <c r="N76" s="593">
        <f>'5E Könyvtár'!D23</f>
        <v>0</v>
      </c>
      <c r="O76" s="593">
        <v>0</v>
      </c>
      <c r="P76" s="593">
        <v>0</v>
      </c>
      <c r="Q76" s="593">
        <f>G76-K76-M76</f>
        <v>64579</v>
      </c>
      <c r="R76" s="610">
        <f>H76-L76-N76-P76</f>
        <v>65109</v>
      </c>
    </row>
    <row r="77" spans="1:18" s="611" customFormat="1">
      <c r="A77" s="603"/>
      <c r="B77" s="592" t="s">
        <v>414</v>
      </c>
      <c r="C77" s="613"/>
      <c r="D77" s="613"/>
      <c r="E77" s="613"/>
      <c r="F77" s="613"/>
      <c r="G77" s="586">
        <f>SKSZ!E54</f>
        <v>40375</v>
      </c>
      <c r="H77" s="586">
        <f>40375+120</f>
        <v>40495</v>
      </c>
      <c r="I77" s="586"/>
      <c r="J77" s="586"/>
      <c r="K77" s="586"/>
      <c r="L77" s="586"/>
      <c r="M77" s="586"/>
      <c r="N77" s="586"/>
      <c r="O77" s="586"/>
      <c r="P77" s="586"/>
      <c r="Q77" s="586"/>
      <c r="R77" s="586"/>
    </row>
    <row r="78" spans="1:18" s="611" customFormat="1">
      <c r="A78" s="603"/>
      <c r="B78" s="592" t="s">
        <v>415</v>
      </c>
      <c r="C78" s="613"/>
      <c r="D78" s="613"/>
      <c r="E78" s="613"/>
      <c r="F78" s="613"/>
      <c r="G78" s="586">
        <f>SKSZ!E63</f>
        <v>10594</v>
      </c>
      <c r="H78" s="586">
        <f>10594+32</f>
        <v>10626</v>
      </c>
      <c r="I78" s="586"/>
      <c r="J78" s="586"/>
      <c r="K78" s="586"/>
      <c r="L78" s="586"/>
      <c r="M78" s="586"/>
      <c r="N78" s="586"/>
      <c r="O78" s="586"/>
      <c r="P78" s="586"/>
      <c r="Q78" s="586"/>
      <c r="R78" s="586"/>
    </row>
    <row r="79" spans="1:18" s="611" customFormat="1">
      <c r="A79" s="603"/>
      <c r="B79" s="592" t="s">
        <v>214</v>
      </c>
      <c r="C79" s="613"/>
      <c r="D79" s="613"/>
      <c r="E79" s="613"/>
      <c r="F79" s="613"/>
      <c r="G79" s="586">
        <f>SKSZ!E142</f>
        <v>13229</v>
      </c>
      <c r="H79" s="586">
        <f>13229+98+280</f>
        <v>13607</v>
      </c>
      <c r="I79" s="586"/>
      <c r="J79" s="586"/>
      <c r="K79" s="586"/>
      <c r="L79" s="586"/>
      <c r="M79" s="586"/>
      <c r="N79" s="586"/>
      <c r="O79" s="586"/>
      <c r="P79" s="586"/>
      <c r="Q79" s="586"/>
      <c r="R79" s="586"/>
    </row>
    <row r="80" spans="1:18" s="611" customFormat="1">
      <c r="A80" s="603"/>
      <c r="B80" s="592" t="s">
        <v>398</v>
      </c>
      <c r="C80" s="613"/>
      <c r="D80" s="613"/>
      <c r="E80" s="613"/>
      <c r="F80" s="613"/>
      <c r="G80" s="586">
        <f>SKSZ!E148</f>
        <v>381</v>
      </c>
      <c r="H80" s="586">
        <v>381</v>
      </c>
      <c r="I80" s="586"/>
      <c r="J80" s="586"/>
      <c r="K80" s="586"/>
      <c r="L80" s="586"/>
      <c r="M80" s="586"/>
      <c r="N80" s="586"/>
      <c r="O80" s="586"/>
      <c r="P80" s="586"/>
      <c r="Q80" s="586"/>
      <c r="R80" s="586"/>
    </row>
    <row r="81" spans="1:18" s="611" customFormat="1">
      <c r="A81" s="604" t="s">
        <v>4</v>
      </c>
      <c r="B81" s="605" t="s">
        <v>1497</v>
      </c>
      <c r="C81" s="612">
        <v>6</v>
      </c>
      <c r="D81" s="612">
        <v>6</v>
      </c>
      <c r="E81" s="612">
        <v>0</v>
      </c>
      <c r="F81" s="612">
        <v>0</v>
      </c>
      <c r="G81" s="593">
        <f>G82+G83+G84+G85</f>
        <v>20069</v>
      </c>
      <c r="H81" s="593">
        <f>H82+H83+H84+H85</f>
        <v>20082</v>
      </c>
      <c r="I81" s="593">
        <f>K81+M81+Q81</f>
        <v>20069</v>
      </c>
      <c r="J81" s="610">
        <f>L81+N81+R81+P81</f>
        <v>20082</v>
      </c>
      <c r="K81" s="593">
        <v>0</v>
      </c>
      <c r="L81" s="593">
        <v>0</v>
      </c>
      <c r="M81" s="593">
        <v>0</v>
      </c>
      <c r="N81" s="593">
        <v>0</v>
      </c>
      <c r="O81" s="593">
        <v>0</v>
      </c>
      <c r="P81" s="593">
        <v>0</v>
      </c>
      <c r="Q81" s="593">
        <f>G81-K81-M81</f>
        <v>20069</v>
      </c>
      <c r="R81" s="610">
        <f>H81-L81-N81-P81</f>
        <v>20082</v>
      </c>
    </row>
    <row r="82" spans="1:18" s="611" customFormat="1">
      <c r="A82" s="603"/>
      <c r="B82" s="592" t="s">
        <v>414</v>
      </c>
      <c r="C82" s="613"/>
      <c r="D82" s="613"/>
      <c r="E82" s="613"/>
      <c r="F82" s="613"/>
      <c r="G82" s="586">
        <f>SKSZ!F54</f>
        <v>13753</v>
      </c>
      <c r="H82" s="586">
        <f>13753+10</f>
        <v>13763</v>
      </c>
      <c r="I82" s="586"/>
      <c r="J82" s="586"/>
      <c r="K82" s="586"/>
      <c r="L82" s="586"/>
      <c r="M82" s="586"/>
      <c r="N82" s="586"/>
      <c r="O82" s="586"/>
      <c r="P82" s="586"/>
      <c r="Q82" s="586"/>
      <c r="R82" s="586"/>
    </row>
    <row r="83" spans="1:18" s="611" customFormat="1">
      <c r="A83" s="603"/>
      <c r="B83" s="592" t="s">
        <v>415</v>
      </c>
      <c r="C83" s="613"/>
      <c r="D83" s="613"/>
      <c r="E83" s="613"/>
      <c r="F83" s="613"/>
      <c r="G83" s="586">
        <f>SKSZ!F63</f>
        <v>3935</v>
      </c>
      <c r="H83" s="586">
        <f>3935+3</f>
        <v>3938</v>
      </c>
      <c r="I83" s="586"/>
      <c r="J83" s="586"/>
      <c r="K83" s="586"/>
      <c r="L83" s="586"/>
      <c r="M83" s="586"/>
      <c r="N83" s="586"/>
      <c r="O83" s="586"/>
      <c r="P83" s="586"/>
      <c r="Q83" s="586"/>
      <c r="R83" s="586"/>
    </row>
    <row r="84" spans="1:18" s="611" customFormat="1">
      <c r="A84" s="603"/>
      <c r="B84" s="592" t="s">
        <v>214</v>
      </c>
      <c r="C84" s="613"/>
      <c r="D84" s="613"/>
      <c r="E84" s="613"/>
      <c r="F84" s="613"/>
      <c r="G84" s="586">
        <f>SKSZ!F142</f>
        <v>2381</v>
      </c>
      <c r="H84" s="586">
        <v>2381</v>
      </c>
      <c r="I84" s="586"/>
      <c r="J84" s="586"/>
      <c r="K84" s="586"/>
      <c r="L84" s="586"/>
      <c r="M84" s="586"/>
      <c r="N84" s="586"/>
      <c r="O84" s="586"/>
      <c r="P84" s="586"/>
      <c r="Q84" s="586"/>
      <c r="R84" s="586"/>
    </row>
    <row r="85" spans="1:18" s="611" customFormat="1">
      <c r="A85" s="603"/>
      <c r="B85" s="592" t="s">
        <v>398</v>
      </c>
      <c r="C85" s="613"/>
      <c r="D85" s="613"/>
      <c r="E85" s="613"/>
      <c r="F85" s="613"/>
      <c r="G85" s="586">
        <f>SKSZ!F148</f>
        <v>0</v>
      </c>
      <c r="H85" s="586">
        <f>SKSZ!G148</f>
        <v>0</v>
      </c>
      <c r="I85" s="586"/>
      <c r="J85" s="586"/>
      <c r="K85" s="586"/>
      <c r="L85" s="586"/>
      <c r="M85" s="586"/>
      <c r="N85" s="586"/>
      <c r="O85" s="586"/>
      <c r="P85" s="586"/>
      <c r="Q85" s="586"/>
      <c r="R85" s="586"/>
    </row>
    <row r="86" spans="1:18" s="611" customFormat="1">
      <c r="A86" s="604" t="s">
        <v>5</v>
      </c>
      <c r="B86" s="605" t="s">
        <v>1499</v>
      </c>
      <c r="C86" s="612">
        <v>0</v>
      </c>
      <c r="D86" s="612">
        <v>0</v>
      </c>
      <c r="E86" s="612">
        <v>0</v>
      </c>
      <c r="F86" s="612">
        <v>0</v>
      </c>
      <c r="G86" s="593">
        <f>G87+G88+G89+G90</f>
        <v>15367</v>
      </c>
      <c r="H86" s="593">
        <f>H87+H88+H89+H90</f>
        <v>20867</v>
      </c>
      <c r="I86" s="593">
        <f>K86+M86+Q86</f>
        <v>15367</v>
      </c>
      <c r="J86" s="610">
        <f>L86+N86+R86+P86</f>
        <v>20867</v>
      </c>
      <c r="K86" s="593">
        <v>0</v>
      </c>
      <c r="L86" s="593">
        <v>0</v>
      </c>
      <c r="M86" s="593">
        <f>ROUND(SKSZ!I174,0)</f>
        <v>6200</v>
      </c>
      <c r="N86" s="593">
        <v>6200</v>
      </c>
      <c r="O86" s="593">
        <v>0</v>
      </c>
      <c r="P86" s="593">
        <f>939</f>
        <v>939</v>
      </c>
      <c r="Q86" s="593">
        <f>G86-K86-M86</f>
        <v>9167</v>
      </c>
      <c r="R86" s="610">
        <f>H86-L86-N86-P86</f>
        <v>13728</v>
      </c>
    </row>
    <row r="87" spans="1:18" s="611" customFormat="1">
      <c r="A87" s="603"/>
      <c r="B87" s="592" t="s">
        <v>414</v>
      </c>
      <c r="C87" s="613"/>
      <c r="D87" s="613"/>
      <c r="E87" s="613"/>
      <c r="F87" s="613"/>
      <c r="G87" s="586">
        <f>SKSZ!J54</f>
        <v>0</v>
      </c>
      <c r="H87" s="586">
        <f>SKSZ!K54</f>
        <v>0</v>
      </c>
      <c r="I87" s="586"/>
      <c r="J87" s="586"/>
      <c r="K87" s="586"/>
      <c r="L87" s="586"/>
      <c r="M87" s="586"/>
      <c r="N87" s="586"/>
      <c r="O87" s="586"/>
      <c r="P87" s="586"/>
      <c r="Q87" s="586"/>
      <c r="R87" s="586"/>
    </row>
    <row r="88" spans="1:18" s="611" customFormat="1">
      <c r="A88" s="603"/>
      <c r="B88" s="592" t="s">
        <v>415</v>
      </c>
      <c r="C88" s="613"/>
      <c r="D88" s="613"/>
      <c r="E88" s="613"/>
      <c r="F88" s="613"/>
      <c r="G88" s="586">
        <f>SKSZ!J63</f>
        <v>0</v>
      </c>
      <c r="H88" s="586">
        <f>SKSZ!K63</f>
        <v>0</v>
      </c>
      <c r="I88" s="586"/>
      <c r="J88" s="586"/>
      <c r="K88" s="586"/>
      <c r="L88" s="586"/>
      <c r="M88" s="586"/>
      <c r="N88" s="586"/>
      <c r="O88" s="586"/>
      <c r="P88" s="586"/>
      <c r="Q88" s="586"/>
      <c r="R88" s="586"/>
    </row>
    <row r="89" spans="1:18" s="611" customFormat="1">
      <c r="A89" s="603"/>
      <c r="B89" s="592" t="s">
        <v>214</v>
      </c>
      <c r="C89" s="613"/>
      <c r="D89" s="613"/>
      <c r="E89" s="613"/>
      <c r="F89" s="613"/>
      <c r="G89" s="586">
        <f>ROUND(SKSZ!J142,0)</f>
        <v>15367</v>
      </c>
      <c r="H89" s="586">
        <v>15367</v>
      </c>
      <c r="I89" s="586"/>
      <c r="J89" s="586"/>
      <c r="K89" s="586"/>
      <c r="L89" s="586"/>
      <c r="M89" s="586"/>
      <c r="N89" s="586"/>
      <c r="O89" s="586"/>
      <c r="P89" s="586"/>
      <c r="Q89" s="586"/>
      <c r="R89" s="586"/>
    </row>
    <row r="90" spans="1:18" s="611" customFormat="1">
      <c r="A90" s="603"/>
      <c r="B90" s="592" t="s">
        <v>1858</v>
      </c>
      <c r="C90" s="613"/>
      <c r="D90" s="613"/>
      <c r="E90" s="613"/>
      <c r="F90" s="613"/>
      <c r="G90" s="586">
        <f>SKSZ!J148</f>
        <v>0</v>
      </c>
      <c r="H90" s="586">
        <f>5500</f>
        <v>5500</v>
      </c>
      <c r="I90" s="586"/>
      <c r="J90" s="586"/>
      <c r="K90" s="586"/>
      <c r="L90" s="586"/>
      <c r="M90" s="586"/>
      <c r="N90" s="586"/>
      <c r="O90" s="586"/>
      <c r="P90" s="586"/>
      <c r="Q90" s="586"/>
      <c r="R90" s="586"/>
    </row>
    <row r="91" spans="1:18" s="611" customFormat="1">
      <c r="A91" s="604" t="s">
        <v>6</v>
      </c>
      <c r="B91" s="605" t="s">
        <v>1498</v>
      </c>
      <c r="C91" s="612">
        <v>24</v>
      </c>
      <c r="D91" s="612">
        <v>24</v>
      </c>
      <c r="E91" s="612">
        <v>0</v>
      </c>
      <c r="F91" s="612">
        <v>0</v>
      </c>
      <c r="G91" s="593">
        <f>G92+G93+G94+G95</f>
        <v>85453</v>
      </c>
      <c r="H91" s="593">
        <f>H92+H93+H94+H95</f>
        <v>86338</v>
      </c>
      <c r="I91" s="593">
        <f>K91+M91+Q91</f>
        <v>85453</v>
      </c>
      <c r="J91" s="610">
        <f>L91+N91+R91+P91</f>
        <v>86338</v>
      </c>
      <c r="K91" s="593">
        <v>0</v>
      </c>
      <c r="L91" s="593">
        <v>0</v>
      </c>
      <c r="M91" s="593">
        <v>0</v>
      </c>
      <c r="N91" s="593">
        <v>0</v>
      </c>
      <c r="O91" s="593">
        <v>0</v>
      </c>
      <c r="P91" s="593">
        <v>0</v>
      </c>
      <c r="Q91" s="593">
        <f>G91-K91-M91</f>
        <v>85453</v>
      </c>
      <c r="R91" s="610">
        <f>H91-L91-N91-P91</f>
        <v>86338</v>
      </c>
    </row>
    <row r="92" spans="1:18" s="611" customFormat="1">
      <c r="A92" s="603"/>
      <c r="B92" s="592" t="s">
        <v>414</v>
      </c>
      <c r="C92" s="613"/>
      <c r="D92" s="613"/>
      <c r="E92" s="613"/>
      <c r="F92" s="613"/>
      <c r="G92" s="586">
        <f>SKSZ!I54</f>
        <v>52758</v>
      </c>
      <c r="H92" s="586">
        <f>52758+665</f>
        <v>53423</v>
      </c>
      <c r="I92" s="586"/>
      <c r="J92" s="586"/>
      <c r="K92" s="586"/>
      <c r="L92" s="586"/>
      <c r="M92" s="586"/>
      <c r="N92" s="586"/>
      <c r="O92" s="586"/>
      <c r="P92" s="586"/>
      <c r="Q92" s="586"/>
      <c r="R92" s="586"/>
    </row>
    <row r="93" spans="1:18" s="611" customFormat="1">
      <c r="A93" s="603"/>
      <c r="B93" s="592" t="s">
        <v>415</v>
      </c>
      <c r="C93" s="613"/>
      <c r="D93" s="613"/>
      <c r="E93" s="613"/>
      <c r="F93" s="613"/>
      <c r="G93" s="586">
        <f>SKSZ!I63</f>
        <v>16400</v>
      </c>
      <c r="H93" s="586">
        <f>16400+180</f>
        <v>16580</v>
      </c>
      <c r="I93" s="586"/>
      <c r="J93" s="586"/>
      <c r="K93" s="586"/>
      <c r="L93" s="586"/>
      <c r="M93" s="586"/>
      <c r="N93" s="586"/>
      <c r="O93" s="586"/>
      <c r="P93" s="586"/>
      <c r="Q93" s="586"/>
      <c r="R93" s="586"/>
    </row>
    <row r="94" spans="1:18" s="611" customFormat="1">
      <c r="A94" s="603"/>
      <c r="B94" s="592" t="s">
        <v>214</v>
      </c>
      <c r="C94" s="613"/>
      <c r="D94" s="613"/>
      <c r="E94" s="613"/>
      <c r="F94" s="613"/>
      <c r="G94" s="586">
        <f>SKSZ!I142</f>
        <v>15977</v>
      </c>
      <c r="H94" s="586">
        <f>15977+40</f>
        <v>16017</v>
      </c>
      <c r="I94" s="586"/>
      <c r="J94" s="586"/>
      <c r="K94" s="586"/>
      <c r="L94" s="586"/>
      <c r="M94" s="586"/>
      <c r="N94" s="586"/>
      <c r="O94" s="586"/>
      <c r="P94" s="586"/>
      <c r="Q94" s="586"/>
      <c r="R94" s="586"/>
    </row>
    <row r="95" spans="1:18" s="611" customFormat="1">
      <c r="A95" s="603"/>
      <c r="B95" s="592" t="s">
        <v>398</v>
      </c>
      <c r="C95" s="613"/>
      <c r="D95" s="613"/>
      <c r="E95" s="613"/>
      <c r="F95" s="613"/>
      <c r="G95" s="586">
        <f>SKSZ!I148</f>
        <v>318</v>
      </c>
      <c r="H95" s="586">
        <v>318</v>
      </c>
      <c r="I95" s="586"/>
      <c r="J95" s="586"/>
      <c r="K95" s="586"/>
      <c r="L95" s="586"/>
      <c r="M95" s="586"/>
      <c r="N95" s="586"/>
      <c r="O95" s="586"/>
      <c r="P95" s="586"/>
      <c r="Q95" s="586"/>
      <c r="R95" s="586"/>
    </row>
    <row r="96" spans="1:18" s="611" customFormat="1">
      <c r="A96" s="604" t="s">
        <v>106</v>
      </c>
      <c r="B96" s="605" t="s">
        <v>1500</v>
      </c>
      <c r="C96" s="612">
        <v>0</v>
      </c>
      <c r="D96" s="612">
        <v>0</v>
      </c>
      <c r="E96" s="612">
        <v>0</v>
      </c>
      <c r="F96" s="612">
        <v>0</v>
      </c>
      <c r="G96" s="593">
        <f>G97+G98+G99+G100</f>
        <v>7868</v>
      </c>
      <c r="H96" s="593">
        <f>H97+H98+H99+H100</f>
        <v>7868</v>
      </c>
      <c r="I96" s="593">
        <f>K96+M96+Q96</f>
        <v>7868</v>
      </c>
      <c r="J96" s="610">
        <f>L96+N96+R96+P96</f>
        <v>7868</v>
      </c>
      <c r="K96" s="593">
        <v>0</v>
      </c>
      <c r="L96" s="593">
        <v>0</v>
      </c>
      <c r="M96" s="593">
        <f>ROUND(SKSZ!J174,0)</f>
        <v>5579</v>
      </c>
      <c r="N96" s="593">
        <v>5579</v>
      </c>
      <c r="O96" s="593">
        <v>0</v>
      </c>
      <c r="P96" s="593">
        <v>0</v>
      </c>
      <c r="Q96" s="593">
        <f>G96-K96-M96</f>
        <v>2289</v>
      </c>
      <c r="R96" s="610">
        <f>H96-L96-N96-P96</f>
        <v>2289</v>
      </c>
    </row>
    <row r="97" spans="1:18" s="611" customFormat="1">
      <c r="A97" s="603"/>
      <c r="B97" s="592" t="s">
        <v>414</v>
      </c>
      <c r="C97" s="613"/>
      <c r="D97" s="613"/>
      <c r="E97" s="613"/>
      <c r="F97" s="613"/>
      <c r="G97" s="586">
        <f>SKSZ!K54</f>
        <v>0</v>
      </c>
      <c r="H97" s="586">
        <f>SKSZ!L54</f>
        <v>0</v>
      </c>
      <c r="I97" s="586"/>
      <c r="J97" s="586"/>
      <c r="K97" s="586"/>
      <c r="L97" s="586"/>
      <c r="M97" s="586"/>
      <c r="N97" s="586"/>
      <c r="O97" s="586"/>
      <c r="P97" s="586"/>
      <c r="Q97" s="586"/>
      <c r="R97" s="586"/>
    </row>
    <row r="98" spans="1:18" s="611" customFormat="1">
      <c r="A98" s="603"/>
      <c r="B98" s="592" t="s">
        <v>415</v>
      </c>
      <c r="C98" s="613"/>
      <c r="D98" s="613"/>
      <c r="E98" s="613"/>
      <c r="F98" s="613"/>
      <c r="G98" s="586">
        <f>SKSZ!K63</f>
        <v>0</v>
      </c>
      <c r="H98" s="586">
        <f>SKSZ!L63</f>
        <v>0</v>
      </c>
      <c r="I98" s="586"/>
      <c r="J98" s="586"/>
      <c r="K98" s="586"/>
      <c r="L98" s="586"/>
      <c r="M98" s="586"/>
      <c r="N98" s="586"/>
      <c r="O98" s="586"/>
      <c r="P98" s="586"/>
      <c r="Q98" s="586"/>
      <c r="R98" s="586"/>
    </row>
    <row r="99" spans="1:18" s="611" customFormat="1">
      <c r="A99" s="603"/>
      <c r="B99" s="592" t="s">
        <v>214</v>
      </c>
      <c r="C99" s="613"/>
      <c r="D99" s="613"/>
      <c r="E99" s="613"/>
      <c r="F99" s="613"/>
      <c r="G99" s="586">
        <f>ROUND(SKSZ!K142,0)</f>
        <v>7868</v>
      </c>
      <c r="H99" s="586">
        <v>7868</v>
      </c>
      <c r="I99" s="586"/>
      <c r="J99" s="586"/>
      <c r="K99" s="586"/>
      <c r="L99" s="586"/>
      <c r="M99" s="586"/>
      <c r="N99" s="586"/>
      <c r="O99" s="586"/>
      <c r="P99" s="586"/>
      <c r="Q99" s="586"/>
      <c r="R99" s="586"/>
    </row>
    <row r="100" spans="1:18" s="611" customFormat="1">
      <c r="A100" s="603"/>
      <c r="B100" s="592" t="s">
        <v>398</v>
      </c>
      <c r="C100" s="613"/>
      <c r="D100" s="613"/>
      <c r="E100" s="613"/>
      <c r="F100" s="613"/>
      <c r="G100" s="586">
        <f>SKSZ!K148</f>
        <v>0</v>
      </c>
      <c r="H100" s="586">
        <f>SKSZ!L148</f>
        <v>0</v>
      </c>
      <c r="I100" s="586"/>
      <c r="J100" s="586"/>
      <c r="K100" s="586"/>
      <c r="L100" s="586"/>
      <c r="M100" s="586"/>
      <c r="N100" s="586"/>
      <c r="O100" s="586"/>
      <c r="P100" s="586"/>
      <c r="Q100" s="586"/>
      <c r="R100" s="586"/>
    </row>
    <row r="101" spans="1:18" s="611" customFormat="1">
      <c r="A101" s="607" t="s">
        <v>13</v>
      </c>
      <c r="B101" s="608" t="s">
        <v>155</v>
      </c>
      <c r="C101" s="609">
        <v>0</v>
      </c>
      <c r="D101" s="609">
        <v>0</v>
      </c>
      <c r="E101" s="609">
        <v>0</v>
      </c>
      <c r="F101" s="609">
        <v>0</v>
      </c>
      <c r="G101" s="610">
        <v>0</v>
      </c>
      <c r="H101" s="610">
        <v>0</v>
      </c>
      <c r="I101" s="610">
        <f>K101+M101+Q101</f>
        <v>0</v>
      </c>
      <c r="J101" s="610">
        <f>L101+N101+R101+P101</f>
        <v>0</v>
      </c>
      <c r="K101" s="610">
        <v>0</v>
      </c>
      <c r="L101" s="610">
        <v>0</v>
      </c>
      <c r="M101" s="610">
        <v>0</v>
      </c>
      <c r="N101" s="610">
        <v>0</v>
      </c>
      <c r="O101" s="593">
        <v>0</v>
      </c>
      <c r="P101" s="593">
        <v>0</v>
      </c>
      <c r="Q101" s="610">
        <f>G101-K101-M101</f>
        <v>0</v>
      </c>
      <c r="R101" s="610">
        <f>H101-L101-N101-P101</f>
        <v>0</v>
      </c>
    </row>
    <row r="102" spans="1:18" s="611" customFormat="1">
      <c r="A102" s="616"/>
      <c r="B102" s="617"/>
      <c r="C102" s="618"/>
      <c r="D102" s="618"/>
      <c r="E102" s="618"/>
      <c r="F102" s="618"/>
      <c r="G102" s="619"/>
      <c r="H102" s="619"/>
      <c r="I102" s="619"/>
      <c r="J102" s="619"/>
      <c r="K102" s="619"/>
      <c r="L102" s="619"/>
      <c r="M102" s="619"/>
      <c r="N102" s="619"/>
      <c r="O102" s="619"/>
      <c r="P102" s="619"/>
      <c r="Q102" s="619"/>
      <c r="R102" s="619"/>
    </row>
    <row r="103" spans="1:18" s="611" customFormat="1">
      <c r="A103" s="616"/>
      <c r="B103" s="617"/>
      <c r="C103" s="618"/>
      <c r="D103" s="618"/>
      <c r="E103" s="618"/>
      <c r="F103" s="618"/>
      <c r="G103" s="619"/>
      <c r="H103" s="619"/>
      <c r="I103" s="619"/>
      <c r="J103" s="619"/>
      <c r="K103" s="619"/>
      <c r="L103" s="619"/>
      <c r="M103" s="619"/>
      <c r="N103" s="619"/>
      <c r="O103" s="619"/>
      <c r="P103" s="619"/>
      <c r="Q103" s="619"/>
      <c r="R103" s="619"/>
    </row>
    <row r="104" spans="1:18" s="611" customFormat="1">
      <c r="A104" s="616"/>
      <c r="B104" s="617"/>
      <c r="C104" s="618"/>
      <c r="D104" s="618"/>
      <c r="E104" s="618"/>
      <c r="F104" s="618"/>
      <c r="G104" s="619"/>
      <c r="H104" s="619"/>
      <c r="I104" s="619"/>
      <c r="J104" s="619"/>
      <c r="K104" s="619"/>
      <c r="L104" s="619"/>
      <c r="M104" s="619"/>
      <c r="N104" s="619"/>
      <c r="O104" s="619"/>
      <c r="P104" s="619"/>
      <c r="Q104" s="619"/>
      <c r="R104" s="619"/>
    </row>
  </sheetData>
  <mergeCells count="11">
    <mergeCell ref="I3:J3"/>
    <mergeCell ref="K3:L3"/>
    <mergeCell ref="M3:N3"/>
    <mergeCell ref="Q3:R3"/>
    <mergeCell ref="I2:R2"/>
    <mergeCell ref="O3:P3"/>
    <mergeCell ref="A2:A3"/>
    <mergeCell ref="B2:B3"/>
    <mergeCell ref="C2:D3"/>
    <mergeCell ref="E2:F3"/>
    <mergeCell ref="G2:H3"/>
  </mergeCells>
  <printOptions horizontalCentered="1"/>
  <pageMargins left="0.70866141732283472" right="0.70866141732283472" top="0.9055118110236221" bottom="0.74803149606299213" header="0.31496062992125984" footer="0.31496062992125984"/>
  <pageSetup paperSize="8" scale="70" pageOrder="overThenDown" orientation="portrait" r:id="rId1"/>
  <headerFooter>
    <oddHeader>&amp;L5/G. melléklet a 20/2014. (VI.30.) önkormányzati rendelethez&amp;C&amp;"-,Félkövér"&amp;16
A gazdasági szervezettel nem rendelkező költségvetési szervek 2014. évi bevételei és kiadásai költségvetési szervenként és feladatonként</oddHeader>
    <oddFooter>&amp;C&amp;P</oddFooter>
  </headerFooter>
  <rowBreaks count="1" manualBreakCount="1">
    <brk id="73" max="15" man="1"/>
  </rowBreaks>
  <colBreaks count="1" manualBreakCount="1">
    <brk id="8" max="97" man="1"/>
  </col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A1:M18"/>
  <sheetViews>
    <sheetView showZeros="0" view="pageLayout" zoomScaleNormal="100" zoomScaleSheetLayoutView="100" workbookViewId="0">
      <selection activeCell="A2" sqref="A2:A3"/>
    </sheetView>
  </sheetViews>
  <sheetFormatPr defaultColWidth="12.42578125" defaultRowHeight="12.75"/>
  <cols>
    <col min="1" max="1" width="57" style="162" customWidth="1"/>
    <col min="2" max="2" width="12.7109375" style="160" hidden="1" customWidth="1"/>
    <col min="3" max="3" width="8" style="160" hidden="1" customWidth="1"/>
    <col min="4" max="4" width="12.85546875" style="160" hidden="1" customWidth="1"/>
    <col min="5" max="5" width="8.42578125" style="160" hidden="1" customWidth="1"/>
    <col min="6" max="7" width="13.7109375" style="160" customWidth="1"/>
    <col min="8" max="9" width="10.140625" style="160" customWidth="1"/>
    <col min="10" max="11" width="8.42578125" style="160" customWidth="1"/>
    <col min="12" max="13" width="12.42578125" style="160" customWidth="1"/>
    <col min="14" max="16384" width="12.42578125" style="162"/>
  </cols>
  <sheetData>
    <row r="1" spans="1:13" s="161" customFormat="1" ht="42.6" customHeight="1">
      <c r="A1" s="656" t="s">
        <v>444</v>
      </c>
      <c r="B1" s="657"/>
      <c r="C1" s="657"/>
      <c r="D1" s="657"/>
      <c r="E1" s="657"/>
      <c r="F1" s="657"/>
      <c r="G1" s="657"/>
      <c r="H1" s="657"/>
      <c r="I1" s="657"/>
      <c r="J1" s="657"/>
      <c r="K1" s="517"/>
      <c r="L1" s="517"/>
      <c r="M1" s="517"/>
    </row>
    <row r="2" spans="1:13" ht="39.75" customHeight="1">
      <c r="A2" s="658" t="s">
        <v>445</v>
      </c>
      <c r="B2" s="653" t="s">
        <v>446</v>
      </c>
      <c r="C2" s="653" t="s">
        <v>447</v>
      </c>
      <c r="D2" s="653" t="s">
        <v>446</v>
      </c>
      <c r="E2" s="653" t="s">
        <v>447</v>
      </c>
      <c r="F2" s="653" t="s">
        <v>446</v>
      </c>
      <c r="G2" s="653"/>
      <c r="H2" s="653" t="s">
        <v>453</v>
      </c>
      <c r="I2" s="653"/>
      <c r="J2" s="653" t="s">
        <v>454</v>
      </c>
      <c r="K2" s="653"/>
      <c r="L2" s="653" t="s">
        <v>1763</v>
      </c>
      <c r="M2" s="653"/>
    </row>
    <row r="3" spans="1:13" s="160" customFormat="1" ht="25.5" customHeight="1">
      <c r="A3" s="658"/>
      <c r="B3" s="653"/>
      <c r="C3" s="653"/>
      <c r="D3" s="653"/>
      <c r="E3" s="653"/>
      <c r="F3" s="653"/>
      <c r="G3" s="653"/>
      <c r="H3" s="553" t="s">
        <v>448</v>
      </c>
      <c r="I3" s="553" t="s">
        <v>449</v>
      </c>
      <c r="J3" s="653"/>
      <c r="K3" s="653"/>
      <c r="L3" s="653"/>
      <c r="M3" s="653"/>
    </row>
    <row r="4" spans="1:13" s="160" customFormat="1" ht="15" customHeight="1">
      <c r="A4" s="555"/>
      <c r="B4" s="655" t="s">
        <v>450</v>
      </c>
      <c r="C4" s="655"/>
      <c r="D4" s="655" t="s">
        <v>451</v>
      </c>
      <c r="E4" s="655"/>
      <c r="F4" s="654" t="s">
        <v>455</v>
      </c>
      <c r="G4" s="654"/>
      <c r="H4" s="553"/>
      <c r="I4" s="553"/>
      <c r="J4" s="654" t="s">
        <v>455</v>
      </c>
      <c r="K4" s="654"/>
      <c r="L4" s="654" t="s">
        <v>455</v>
      </c>
      <c r="M4" s="654"/>
    </row>
    <row r="5" spans="1:13" s="160" customFormat="1" ht="15" customHeight="1">
      <c r="A5" s="555"/>
      <c r="B5" s="554"/>
      <c r="C5" s="554"/>
      <c r="D5" s="554"/>
      <c r="E5" s="554"/>
      <c r="F5" s="179" t="s">
        <v>1829</v>
      </c>
      <c r="G5" s="179" t="s">
        <v>1830</v>
      </c>
      <c r="H5" s="553"/>
      <c r="I5" s="553"/>
      <c r="J5" s="179" t="s">
        <v>1829</v>
      </c>
      <c r="K5" s="179" t="s">
        <v>1830</v>
      </c>
      <c r="L5" s="179" t="s">
        <v>1829</v>
      </c>
      <c r="M5" s="179" t="s">
        <v>1830</v>
      </c>
    </row>
    <row r="6" spans="1:13" s="159" customFormat="1" ht="24" customHeight="1">
      <c r="A6" s="163" t="s">
        <v>456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</row>
    <row r="7" spans="1:13" s="159" customFormat="1" ht="23.25" customHeight="1">
      <c r="A7" s="164" t="s">
        <v>194</v>
      </c>
      <c r="B7" s="165">
        <v>76</v>
      </c>
      <c r="C7" s="165"/>
      <c r="D7" s="165">
        <v>64</v>
      </c>
      <c r="E7" s="165"/>
      <c r="F7" s="165">
        <f>'3A PH'!C4</f>
        <v>73</v>
      </c>
      <c r="G7" s="165">
        <f>'3A PH'!D4</f>
        <v>75</v>
      </c>
      <c r="H7" s="555">
        <v>70</v>
      </c>
      <c r="I7" s="555">
        <v>1</v>
      </c>
      <c r="J7" s="165">
        <f>'3A PH'!C5</f>
        <v>32</v>
      </c>
      <c r="K7" s="165">
        <f>'3A PH'!D5</f>
        <v>32</v>
      </c>
      <c r="L7" s="165">
        <f>'3A PH'!C6</f>
        <v>10</v>
      </c>
      <c r="M7" s="165">
        <f>'3A PH'!D6</f>
        <v>10</v>
      </c>
    </row>
    <row r="8" spans="1:13" s="160" customFormat="1" ht="23.25" customHeight="1">
      <c r="A8" s="166" t="s">
        <v>195</v>
      </c>
      <c r="B8" s="167"/>
      <c r="C8" s="167"/>
      <c r="D8" s="168">
        <f>'[1]4-5.1 VG_szakf'!D5</f>
        <v>51.5</v>
      </c>
      <c r="E8" s="167"/>
      <c r="F8" s="169">
        <f>'4A. VG bev kiad'!C4</f>
        <v>158</v>
      </c>
      <c r="G8" s="169">
        <f>'4A. VG bev kiad'!D4</f>
        <v>158</v>
      </c>
      <c r="H8" s="553">
        <v>154</v>
      </c>
      <c r="I8" s="553">
        <v>8</v>
      </c>
      <c r="J8" s="167"/>
      <c r="K8" s="167"/>
      <c r="L8" s="167"/>
      <c r="M8" s="167"/>
    </row>
    <row r="9" spans="1:13" s="173" customFormat="1" ht="23.25" customHeight="1">
      <c r="A9" s="170" t="s">
        <v>158</v>
      </c>
      <c r="B9" s="171">
        <f>SUM(B7:B7)</f>
        <v>76</v>
      </c>
      <c r="C9" s="172">
        <f>SUM(C7:C7)</f>
        <v>0</v>
      </c>
      <c r="D9" s="171">
        <f>SUM(D7:D8)</f>
        <v>115.5</v>
      </c>
      <c r="E9" s="172">
        <f>SUM(E7:E7)</f>
        <v>0</v>
      </c>
      <c r="F9" s="171">
        <f>SUM(F7:F8)</f>
        <v>231</v>
      </c>
      <c r="G9" s="171">
        <f>SUM(G7:G8)</f>
        <v>233</v>
      </c>
      <c r="H9" s="172">
        <f>SUM(H7:H8)</f>
        <v>224</v>
      </c>
      <c r="I9" s="172">
        <f>SUM(I7:I8)</f>
        <v>9</v>
      </c>
      <c r="J9" s="171">
        <f t="shared" ref="J9:L9" si="0">SUM(J7:J8)</f>
        <v>32</v>
      </c>
      <c r="K9" s="171">
        <f t="shared" ref="K9" si="1">SUM(K7:K8)</f>
        <v>32</v>
      </c>
      <c r="L9" s="171">
        <f t="shared" si="0"/>
        <v>10</v>
      </c>
      <c r="M9" s="171">
        <f t="shared" ref="M9" si="2">SUM(M7:M8)</f>
        <v>10</v>
      </c>
    </row>
    <row r="10" spans="1:13" s="159" customFormat="1" ht="23.25" customHeight="1">
      <c r="A10" s="163" t="s">
        <v>443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</row>
    <row r="11" spans="1:13" s="161" customFormat="1" ht="23.25" customHeight="1">
      <c r="A11" s="166" t="s">
        <v>116</v>
      </c>
      <c r="B11" s="174">
        <f>'[1]5. intezmeny'!G7</f>
        <v>13</v>
      </c>
      <c r="C11" s="174"/>
      <c r="D11" s="174">
        <f>'[1]5. intezmeny'!H7</f>
        <v>13</v>
      </c>
      <c r="E11" s="174"/>
      <c r="F11" s="174">
        <f>'5A Walla'!C5</f>
        <v>12.5</v>
      </c>
      <c r="G11" s="174">
        <f>'5A Walla'!D5</f>
        <v>12.5</v>
      </c>
      <c r="H11" s="555">
        <v>12</v>
      </c>
      <c r="I11" s="555">
        <v>1</v>
      </c>
      <c r="J11" s="174"/>
      <c r="K11" s="174"/>
      <c r="L11" s="174"/>
      <c r="M11" s="174"/>
    </row>
    <row r="12" spans="1:13" s="161" customFormat="1" ht="23.25" customHeight="1">
      <c r="A12" s="166" t="s">
        <v>202</v>
      </c>
      <c r="B12" s="175">
        <f>'[1]5. intezmeny'!K7</f>
        <v>31.5</v>
      </c>
      <c r="C12" s="175"/>
      <c r="D12" s="175">
        <f>'[1]5. intezmeny'!L7</f>
        <v>30</v>
      </c>
      <c r="E12" s="175"/>
      <c r="F12" s="174">
        <f>'5B Nyitnikék'!C5</f>
        <v>31</v>
      </c>
      <c r="G12" s="174">
        <f>'5B Nyitnikék'!D5</f>
        <v>31</v>
      </c>
      <c r="H12" s="555">
        <v>31</v>
      </c>
      <c r="I12" s="555">
        <v>0</v>
      </c>
      <c r="J12" s="175"/>
      <c r="K12" s="175"/>
      <c r="L12" s="175"/>
      <c r="M12" s="175"/>
    </row>
    <row r="13" spans="1:13" s="161" customFormat="1" ht="23.25" customHeight="1">
      <c r="A13" s="166" t="s">
        <v>203</v>
      </c>
      <c r="B13" s="174">
        <f>'[1]5. intezmeny'!O7</f>
        <v>42</v>
      </c>
      <c r="C13" s="174"/>
      <c r="D13" s="174">
        <f>'[1]5. intezmeny'!P7</f>
        <v>40</v>
      </c>
      <c r="E13" s="174"/>
      <c r="F13" s="174">
        <f>'5C Bóbita'!C5</f>
        <v>56</v>
      </c>
      <c r="G13" s="174">
        <f>'5C Bóbita'!D5</f>
        <v>56</v>
      </c>
      <c r="H13" s="555">
        <v>54</v>
      </c>
      <c r="I13" s="555">
        <v>2</v>
      </c>
      <c r="J13" s="174"/>
      <c r="K13" s="174"/>
      <c r="L13" s="174"/>
      <c r="M13" s="174"/>
    </row>
    <row r="14" spans="1:13" s="161" customFormat="1" ht="23.25" customHeight="1">
      <c r="A14" s="166" t="s">
        <v>117</v>
      </c>
      <c r="B14" s="175">
        <f>'[1]5. intezmeny'!W7</f>
        <v>12.5</v>
      </c>
      <c r="C14" s="175"/>
      <c r="D14" s="175">
        <f>'[1]5. intezmeny'!X7</f>
        <v>12.5</v>
      </c>
      <c r="E14" s="175"/>
      <c r="F14" s="175">
        <f>'5D MMMH'!C5</f>
        <v>12.5</v>
      </c>
      <c r="G14" s="175">
        <f>'5D MMMH'!D5</f>
        <v>12.5</v>
      </c>
      <c r="H14" s="555">
        <v>11</v>
      </c>
      <c r="I14" s="555">
        <v>2</v>
      </c>
      <c r="J14" s="175"/>
      <c r="K14" s="175"/>
      <c r="L14" s="175"/>
      <c r="M14" s="175"/>
    </row>
    <row r="15" spans="1:13" s="161" customFormat="1" ht="23.25" customHeight="1">
      <c r="A15" s="166" t="s">
        <v>199</v>
      </c>
      <c r="B15" s="175">
        <f>'[1]5. intezmeny'!AA7</f>
        <v>4.5</v>
      </c>
      <c r="C15" s="175"/>
      <c r="D15" s="175">
        <f>'[1]5. intezmeny'!AB7</f>
        <v>4.5</v>
      </c>
      <c r="E15" s="175"/>
      <c r="F15" s="175">
        <f>'5E Könyvtár'!C5</f>
        <v>4.5</v>
      </c>
      <c r="G15" s="175">
        <f>'5E Könyvtár'!D5</f>
        <v>4.5</v>
      </c>
      <c r="H15" s="555">
        <v>3</v>
      </c>
      <c r="I15" s="555"/>
      <c r="J15" s="175"/>
      <c r="K15" s="175"/>
      <c r="L15" s="175"/>
      <c r="M15" s="175"/>
    </row>
    <row r="16" spans="1:13" s="161" customFormat="1" ht="23.25" customHeight="1">
      <c r="A16" s="166" t="s">
        <v>118</v>
      </c>
      <c r="B16" s="174">
        <f>'[1]5. intezmeny'!AE7</f>
        <v>13</v>
      </c>
      <c r="C16" s="174"/>
      <c r="D16" s="174">
        <f>'[1]5. intezmeny'!AF7</f>
        <v>13</v>
      </c>
      <c r="E16" s="174"/>
      <c r="F16" s="174">
        <f>'5F Segítő Kéz'!C5</f>
        <v>41</v>
      </c>
      <c r="G16" s="174">
        <f>'5F Segítő Kéz'!D5</f>
        <v>41</v>
      </c>
      <c r="H16" s="555">
        <v>36</v>
      </c>
      <c r="I16" s="555">
        <v>4</v>
      </c>
      <c r="J16" s="174"/>
      <c r="K16" s="174"/>
      <c r="L16" s="174"/>
      <c r="M16" s="174"/>
    </row>
    <row r="17" spans="1:13" s="173" customFormat="1" ht="23.25" customHeight="1">
      <c r="A17" s="170" t="s">
        <v>158</v>
      </c>
      <c r="B17" s="176">
        <f t="shared" ref="B17:L17" si="3">SUM(B11:B16)</f>
        <v>116.5</v>
      </c>
      <c r="C17" s="176">
        <f t="shared" si="3"/>
        <v>0</v>
      </c>
      <c r="D17" s="176">
        <f t="shared" si="3"/>
        <v>113</v>
      </c>
      <c r="E17" s="176">
        <f t="shared" si="3"/>
        <v>0</v>
      </c>
      <c r="F17" s="176">
        <f t="shared" si="3"/>
        <v>157.5</v>
      </c>
      <c r="G17" s="176">
        <f t="shared" ref="G17" si="4">SUM(G11:G16)</f>
        <v>157.5</v>
      </c>
      <c r="H17" s="177">
        <f t="shared" si="3"/>
        <v>147</v>
      </c>
      <c r="I17" s="177">
        <f t="shared" si="3"/>
        <v>9</v>
      </c>
      <c r="J17" s="176">
        <f t="shared" si="3"/>
        <v>0</v>
      </c>
      <c r="K17" s="176">
        <f t="shared" ref="K17" si="5">SUM(K11:K16)</f>
        <v>0</v>
      </c>
      <c r="L17" s="176">
        <f t="shared" si="3"/>
        <v>0</v>
      </c>
      <c r="M17" s="176">
        <f t="shared" ref="M17" si="6">SUM(M11:M16)</f>
        <v>0</v>
      </c>
    </row>
    <row r="18" spans="1:13" s="178" customFormat="1" ht="23.25" customHeight="1">
      <c r="A18" s="518" t="s">
        <v>452</v>
      </c>
      <c r="B18" s="519" t="e">
        <f>B9+B17+#REF!</f>
        <v>#REF!</v>
      </c>
      <c r="C18" s="519" t="e">
        <f>C9+C17+#REF!</f>
        <v>#REF!</v>
      </c>
      <c r="D18" s="519" t="e">
        <f>D9+D17+#REF!</f>
        <v>#REF!</v>
      </c>
      <c r="E18" s="519" t="e">
        <f>E9+E17+#REF!</f>
        <v>#REF!</v>
      </c>
      <c r="F18" s="519">
        <f>F17+F9</f>
        <v>388.5</v>
      </c>
      <c r="G18" s="519">
        <f>G17+G9</f>
        <v>390.5</v>
      </c>
      <c r="H18" s="520">
        <f>H17+H9</f>
        <v>371</v>
      </c>
      <c r="I18" s="520">
        <f>I17+I9</f>
        <v>18</v>
      </c>
      <c r="J18" s="519">
        <f t="shared" ref="J18:L18" si="7">J17+J9</f>
        <v>32</v>
      </c>
      <c r="K18" s="519">
        <f t="shared" ref="K18" si="8">K17+K9</f>
        <v>32</v>
      </c>
      <c r="L18" s="519">
        <f t="shared" si="7"/>
        <v>10</v>
      </c>
      <c r="M18" s="519">
        <f t="shared" ref="M18" si="9">M17+M9</f>
        <v>10</v>
      </c>
    </row>
  </sheetData>
  <mergeCells count="15">
    <mergeCell ref="B4:C4"/>
    <mergeCell ref="D4:E4"/>
    <mergeCell ref="A1:J1"/>
    <mergeCell ref="A2:A3"/>
    <mergeCell ref="B2:B3"/>
    <mergeCell ref="C2:C3"/>
    <mergeCell ref="D2:D3"/>
    <mergeCell ref="E2:E3"/>
    <mergeCell ref="H2:I2"/>
    <mergeCell ref="F2:G3"/>
    <mergeCell ref="L2:M3"/>
    <mergeCell ref="L4:M4"/>
    <mergeCell ref="F4:G4"/>
    <mergeCell ref="J2:K3"/>
    <mergeCell ref="J4:K4"/>
  </mergeCells>
  <printOptions horizontalCentered="1"/>
  <pageMargins left="0.78740157480314965" right="0.78740157480314965" top="1.0236220472440944" bottom="1.0236220472440944" header="0.78740157480314965" footer="0.78740157480314965"/>
  <pageSetup paperSize="9" scale="88" firstPageNumber="0" orientation="landscape" r:id="rId1"/>
  <headerFooter alignWithMargins="0">
    <oddHeader>&amp;L 6. melléklet a 20/2014. (VI.30.) önkormányzati rendelethez</oddHeader>
    <oddFooter>&amp;C&amp;10&amp;P&amp;R&amp;10&amp;D  &amp;T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D56"/>
  <sheetViews>
    <sheetView showZeros="0" view="pageLayout" zoomScaleNormal="100" zoomScaleSheetLayoutView="100" workbookViewId="0">
      <selection activeCell="E10" sqref="E10"/>
    </sheetView>
  </sheetViews>
  <sheetFormatPr defaultRowHeight="15"/>
  <cols>
    <col min="1" max="1" width="4.5703125" style="182" customWidth="1"/>
    <col min="2" max="2" width="55.85546875" style="183" customWidth="1"/>
    <col min="3" max="3" width="15" style="183" bestFit="1" customWidth="1"/>
    <col min="4" max="4" width="15" style="183" customWidth="1"/>
    <col min="5" max="5" width="14" style="183" bestFit="1" customWidth="1"/>
    <col min="6" max="16384" width="9.140625" style="183"/>
  </cols>
  <sheetData>
    <row r="1" spans="1:4" s="181" customFormat="1" ht="21">
      <c r="A1" s="659" t="s">
        <v>463</v>
      </c>
      <c r="B1" s="659"/>
      <c r="C1" s="659"/>
      <c r="D1" s="659"/>
    </row>
    <row r="3" spans="1:4">
      <c r="C3" s="184"/>
      <c r="D3" s="184" t="s">
        <v>457</v>
      </c>
    </row>
    <row r="4" spans="1:4" s="187" customFormat="1" ht="38.25">
      <c r="A4" s="185" t="s">
        <v>458</v>
      </c>
      <c r="B4" s="186" t="s">
        <v>58</v>
      </c>
      <c r="C4" s="558" t="s">
        <v>57</v>
      </c>
      <c r="D4" s="558" t="s">
        <v>1832</v>
      </c>
    </row>
    <row r="5" spans="1:4" s="187" customFormat="1">
      <c r="A5" s="448" t="s">
        <v>1</v>
      </c>
      <c r="B5" s="449" t="s">
        <v>1521</v>
      </c>
      <c r="C5" s="453">
        <f>SUM(C6:C21)</f>
        <v>127491</v>
      </c>
      <c r="D5" s="453">
        <f>SUM(D6:D31)</f>
        <v>180802</v>
      </c>
    </row>
    <row r="6" spans="1:4" s="182" customFormat="1">
      <c r="A6" s="188">
        <v>1</v>
      </c>
      <c r="B6" s="189" t="s">
        <v>459</v>
      </c>
      <c r="C6" s="190">
        <v>7531</v>
      </c>
      <c r="D6" s="190">
        <v>7531</v>
      </c>
    </row>
    <row r="7" spans="1:4" s="182" customFormat="1">
      <c r="A7" s="188">
        <v>2</v>
      </c>
      <c r="B7" s="189" t="s">
        <v>1401</v>
      </c>
      <c r="C7" s="190">
        <v>1758</v>
      </c>
      <c r="D7" s="190">
        <v>1758</v>
      </c>
    </row>
    <row r="8" spans="1:4" s="182" customFormat="1">
      <c r="A8" s="188">
        <v>3</v>
      </c>
      <c r="B8" s="189" t="s">
        <v>462</v>
      </c>
      <c r="C8" s="190">
        <f>267+30000+203</f>
        <v>30470</v>
      </c>
      <c r="D8" s="190">
        <v>30470</v>
      </c>
    </row>
    <row r="9" spans="1:4" s="182" customFormat="1">
      <c r="A9" s="188">
        <v>4</v>
      </c>
      <c r="B9" s="189" t="s">
        <v>1402</v>
      </c>
      <c r="C9" s="190">
        <v>191</v>
      </c>
      <c r="D9" s="190">
        <v>191</v>
      </c>
    </row>
    <row r="10" spans="1:4" s="182" customFormat="1" ht="33" customHeight="1">
      <c r="A10" s="188">
        <v>5</v>
      </c>
      <c r="B10" s="189" t="s">
        <v>1403</v>
      </c>
      <c r="C10" s="190">
        <v>203</v>
      </c>
      <c r="D10" s="190">
        <v>203</v>
      </c>
    </row>
    <row r="11" spans="1:4" s="182" customFormat="1">
      <c r="A11" s="188">
        <v>6</v>
      </c>
      <c r="B11" s="192" t="s">
        <v>460</v>
      </c>
      <c r="C11" s="190">
        <v>30000</v>
      </c>
      <c r="D11" s="190">
        <v>30000</v>
      </c>
    </row>
    <row r="12" spans="1:4" s="182" customFormat="1" ht="28.5">
      <c r="A12" s="188">
        <v>7</v>
      </c>
      <c r="B12" s="192" t="s">
        <v>461</v>
      </c>
      <c r="C12" s="190">
        <v>10000</v>
      </c>
      <c r="D12" s="190">
        <f>10000-1920</f>
        <v>8080</v>
      </c>
    </row>
    <row r="13" spans="1:4" s="182" customFormat="1">
      <c r="A13" s="188">
        <v>8</v>
      </c>
      <c r="B13" s="193" t="s">
        <v>1404</v>
      </c>
      <c r="C13" s="190">
        <v>3600</v>
      </c>
      <c r="D13" s="190">
        <v>3600</v>
      </c>
    </row>
    <row r="14" spans="1:4" s="182" customFormat="1">
      <c r="A14" s="188">
        <v>9</v>
      </c>
      <c r="B14" s="192" t="s">
        <v>1405</v>
      </c>
      <c r="C14" s="190">
        <v>17399</v>
      </c>
      <c r="D14" s="190">
        <v>17399</v>
      </c>
    </row>
    <row r="15" spans="1:4" s="182" customFormat="1">
      <c r="A15" s="188">
        <v>10</v>
      </c>
      <c r="B15" s="192" t="s">
        <v>1406</v>
      </c>
      <c r="C15" s="190">
        <v>3830</v>
      </c>
      <c r="D15" s="190">
        <v>3830</v>
      </c>
    </row>
    <row r="16" spans="1:4" s="182" customFormat="1">
      <c r="A16" s="188">
        <v>11</v>
      </c>
      <c r="B16" s="192" t="s">
        <v>1409</v>
      </c>
      <c r="C16" s="190">
        <f>'2C Önk bev kiad fel'!G20+'2C Önk bev kiad fel'!G30+'2C Önk bev kiad fel'!G42</f>
        <v>3554</v>
      </c>
      <c r="D16" s="190">
        <f>3554-254</f>
        <v>3300</v>
      </c>
    </row>
    <row r="17" spans="1:4" s="182" customFormat="1" ht="28.5">
      <c r="A17" s="188">
        <v>12</v>
      </c>
      <c r="B17" s="192" t="s">
        <v>1777</v>
      </c>
      <c r="C17" s="190">
        <v>1500</v>
      </c>
      <c r="D17" s="190">
        <v>1500</v>
      </c>
    </row>
    <row r="18" spans="1:4" s="182" customFormat="1">
      <c r="A18" s="188">
        <v>13</v>
      </c>
      <c r="B18" s="192" t="s">
        <v>1815</v>
      </c>
      <c r="C18" s="190">
        <v>1000</v>
      </c>
      <c r="D18" s="190">
        <v>1000</v>
      </c>
    </row>
    <row r="19" spans="1:4" s="182" customFormat="1" ht="28.5">
      <c r="A19" s="188">
        <v>14</v>
      </c>
      <c r="B19" s="192" t="s">
        <v>1816</v>
      </c>
      <c r="C19" s="190">
        <v>1400</v>
      </c>
      <c r="D19" s="190">
        <v>1400</v>
      </c>
    </row>
    <row r="20" spans="1:4" s="182" customFormat="1">
      <c r="A20" s="188">
        <v>15</v>
      </c>
      <c r="B20" s="192" t="s">
        <v>1817</v>
      </c>
      <c r="C20" s="190">
        <v>6800</v>
      </c>
      <c r="D20" s="190">
        <v>6800</v>
      </c>
    </row>
    <row r="21" spans="1:4" s="182" customFormat="1">
      <c r="A21" s="188">
        <v>16</v>
      </c>
      <c r="B21" s="192" t="s">
        <v>1818</v>
      </c>
      <c r="C21" s="190">
        <v>8255</v>
      </c>
      <c r="D21" s="190">
        <v>8255</v>
      </c>
    </row>
    <row r="22" spans="1:4" s="182" customFormat="1" ht="28.5">
      <c r="A22" s="188">
        <v>17</v>
      </c>
      <c r="B22" s="192" t="s">
        <v>1836</v>
      </c>
      <c r="C22" s="190"/>
      <c r="D22" s="190">
        <v>2413</v>
      </c>
    </row>
    <row r="23" spans="1:4" s="182" customFormat="1" ht="28.5">
      <c r="A23" s="188">
        <v>18</v>
      </c>
      <c r="B23" s="192" t="s">
        <v>1837</v>
      </c>
      <c r="C23" s="190"/>
      <c r="D23" s="190">
        <v>2413</v>
      </c>
    </row>
    <row r="24" spans="1:4" s="182" customFormat="1" ht="28.5">
      <c r="A24" s="188">
        <v>19</v>
      </c>
      <c r="B24" s="192" t="s">
        <v>1838</v>
      </c>
      <c r="C24" s="190"/>
      <c r="D24" s="190">
        <v>4800</v>
      </c>
    </row>
    <row r="25" spans="1:4" s="182" customFormat="1" ht="28.5">
      <c r="A25" s="188">
        <v>20</v>
      </c>
      <c r="B25" s="192" t="s">
        <v>1839</v>
      </c>
      <c r="C25" s="190"/>
      <c r="D25" s="190">
        <v>32690</v>
      </c>
    </row>
    <row r="26" spans="1:4" s="182" customFormat="1">
      <c r="A26" s="188">
        <v>21</v>
      </c>
      <c r="B26" s="192" t="s">
        <v>1843</v>
      </c>
      <c r="C26" s="190"/>
      <c r="D26" s="190">
        <v>5000</v>
      </c>
    </row>
    <row r="27" spans="1:4" s="182" customFormat="1" ht="28.5">
      <c r="A27" s="188">
        <v>22</v>
      </c>
      <c r="B27" s="192" t="s">
        <v>1844</v>
      </c>
      <c r="C27" s="190"/>
      <c r="D27" s="190">
        <v>400</v>
      </c>
    </row>
    <row r="28" spans="1:4" s="182" customFormat="1" ht="28.5">
      <c r="A28" s="188">
        <v>23</v>
      </c>
      <c r="B28" s="192" t="s">
        <v>1845</v>
      </c>
      <c r="C28" s="190"/>
      <c r="D28" s="190">
        <v>6000</v>
      </c>
    </row>
    <row r="29" spans="1:4" s="182" customFormat="1" ht="28.5">
      <c r="A29" s="188">
        <v>24</v>
      </c>
      <c r="B29" s="192" t="s">
        <v>1851</v>
      </c>
      <c r="C29" s="190"/>
      <c r="D29" s="190">
        <v>635</v>
      </c>
    </row>
    <row r="30" spans="1:4" s="182" customFormat="1">
      <c r="A30" s="188">
        <v>25</v>
      </c>
      <c r="B30" s="192" t="s">
        <v>1852</v>
      </c>
      <c r="C30" s="190"/>
      <c r="D30" s="190">
        <v>1044</v>
      </c>
    </row>
    <row r="31" spans="1:4" s="182" customFormat="1">
      <c r="A31" s="188">
        <v>26</v>
      </c>
      <c r="B31" s="192" t="s">
        <v>1853</v>
      </c>
      <c r="C31" s="190"/>
      <c r="D31" s="190">
        <v>90</v>
      </c>
    </row>
    <row r="32" spans="1:4" s="182" customFormat="1">
      <c r="A32" s="448" t="s">
        <v>13</v>
      </c>
      <c r="B32" s="449" t="s">
        <v>109</v>
      </c>
      <c r="C32" s="453">
        <f>C33+C35+C39+C44+C46+C48+C51+C53</f>
        <v>46982</v>
      </c>
      <c r="D32" s="453">
        <f>D33+D35+D39+D44+D46+D48+D51+D53</f>
        <v>63173</v>
      </c>
    </row>
    <row r="33" spans="1:4" s="182" customFormat="1">
      <c r="A33" s="450">
        <v>1</v>
      </c>
      <c r="B33" s="451" t="s">
        <v>1523</v>
      </c>
      <c r="C33" s="452">
        <f>SUM(C34:C34)</f>
        <v>1397</v>
      </c>
      <c r="D33" s="452">
        <f>SUM(D34:D34)</f>
        <v>1651</v>
      </c>
    </row>
    <row r="34" spans="1:4" s="182" customFormat="1">
      <c r="A34" s="188"/>
      <c r="B34" s="192" t="s">
        <v>1409</v>
      </c>
      <c r="C34" s="190">
        <f>'3B PH fel'!I11</f>
        <v>1397</v>
      </c>
      <c r="D34" s="190">
        <f>1397+254</f>
        <v>1651</v>
      </c>
    </row>
    <row r="35" spans="1:4" s="182" customFormat="1">
      <c r="A35" s="450">
        <v>2</v>
      </c>
      <c r="B35" s="451" t="s">
        <v>1522</v>
      </c>
      <c r="C35" s="452">
        <f>SUM(C36:C36)</f>
        <v>42284</v>
      </c>
      <c r="D35" s="452">
        <f>SUM(D36:D38)</f>
        <v>51627</v>
      </c>
    </row>
    <row r="36" spans="1:4" s="182" customFormat="1">
      <c r="A36" s="188"/>
      <c r="B36" s="192" t="s">
        <v>1409</v>
      </c>
      <c r="C36" s="190">
        <f>'4B VG fel'!G11+'4B VG fel'!G16+'4B VG fel'!G19+'4B VG fel'!G22+'4B VG fel'!G25+'4B VG fel'!G30+'4B VG fel'!G35+'4B VG fel'!G41+'4B VG fel'!G46+'4B VG fel'!G49+'4B VG fel'!G57+'4B VG fel'!G62+'4B VG fel'!G72+'4B VG fel'!G76+'4B VG fel'!G79</f>
        <v>42284</v>
      </c>
      <c r="D36" s="190">
        <v>42284</v>
      </c>
    </row>
    <row r="37" spans="1:4" s="182" customFormat="1">
      <c r="A37" s="188"/>
      <c r="B37" s="192" t="s">
        <v>1854</v>
      </c>
      <c r="C37" s="190"/>
      <c r="D37" s="190">
        <v>1200</v>
      </c>
    </row>
    <row r="38" spans="1:4" s="182" customFormat="1" ht="28.5">
      <c r="A38" s="188"/>
      <c r="B38" s="192" t="s">
        <v>1857</v>
      </c>
      <c r="C38" s="190"/>
      <c r="D38" s="190">
        <v>8143</v>
      </c>
    </row>
    <row r="39" spans="1:4" s="182" customFormat="1">
      <c r="A39" s="450">
        <v>3</v>
      </c>
      <c r="B39" s="451" t="s">
        <v>1524</v>
      </c>
      <c r="C39" s="452">
        <f>C40+C41</f>
        <v>500</v>
      </c>
      <c r="D39" s="452">
        <f>SUM(D40:D43)</f>
        <v>1250</v>
      </c>
    </row>
    <row r="40" spans="1:4" s="182" customFormat="1">
      <c r="A40" s="188"/>
      <c r="B40" s="192" t="s">
        <v>1778</v>
      </c>
      <c r="C40" s="190">
        <v>400</v>
      </c>
      <c r="D40" s="190">
        <v>0</v>
      </c>
    </row>
    <row r="41" spans="1:4" s="182" customFormat="1">
      <c r="A41" s="188"/>
      <c r="B41" s="192" t="s">
        <v>1779</v>
      </c>
      <c r="C41" s="190">
        <v>100</v>
      </c>
      <c r="D41" s="190">
        <v>0</v>
      </c>
    </row>
    <row r="42" spans="1:4" s="182" customFormat="1">
      <c r="A42" s="188"/>
      <c r="B42" s="192" t="s">
        <v>1860</v>
      </c>
      <c r="C42" s="190"/>
      <c r="D42" s="190">
        <v>750</v>
      </c>
    </row>
    <row r="43" spans="1:4" s="182" customFormat="1">
      <c r="A43" s="188"/>
      <c r="B43" s="192" t="s">
        <v>1859</v>
      </c>
      <c r="C43" s="190"/>
      <c r="D43" s="190">
        <v>500</v>
      </c>
    </row>
    <row r="44" spans="1:4" s="182" customFormat="1" ht="30">
      <c r="A44" s="450">
        <v>4</v>
      </c>
      <c r="B44" s="451" t="s">
        <v>1525</v>
      </c>
      <c r="C44" s="452">
        <f>SUM(C45:C45)</f>
        <v>688</v>
      </c>
      <c r="D44" s="452">
        <f>SUM(D45:D45)</f>
        <v>688</v>
      </c>
    </row>
    <row r="45" spans="1:4" s="182" customFormat="1" ht="28.5">
      <c r="A45" s="188"/>
      <c r="B45" s="192" t="s">
        <v>1781</v>
      </c>
      <c r="C45" s="190">
        <f>'5G GSZNR fel'!G26+'5G GSZNR fel'!G31</f>
        <v>688</v>
      </c>
      <c r="D45" s="190">
        <v>688</v>
      </c>
    </row>
    <row r="46" spans="1:4" s="182" customFormat="1">
      <c r="A46" s="450">
        <v>5</v>
      </c>
      <c r="B46" s="451" t="s">
        <v>1526</v>
      </c>
      <c r="C46" s="452">
        <f>SUM(C47:C47)</f>
        <v>0</v>
      </c>
      <c r="D46" s="452"/>
    </row>
    <row r="47" spans="1:4" s="182" customFormat="1">
      <c r="A47" s="188"/>
      <c r="B47" s="192" t="s">
        <v>1409</v>
      </c>
      <c r="C47" s="190">
        <f>'5G GSZNR fel'!G40+'5G GSZNR fel'!G45</f>
        <v>0</v>
      </c>
      <c r="D47" s="190"/>
    </row>
    <row r="48" spans="1:4" s="182" customFormat="1" ht="30">
      <c r="A48" s="450">
        <v>6</v>
      </c>
      <c r="B48" s="451" t="s">
        <v>1527</v>
      </c>
      <c r="C48" s="452">
        <f>C49+C50</f>
        <v>1350</v>
      </c>
      <c r="D48" s="452">
        <f>D49+D50</f>
        <v>1694</v>
      </c>
    </row>
    <row r="49" spans="1:4" s="182" customFormat="1">
      <c r="A49" s="188"/>
      <c r="B49" s="192" t="s">
        <v>1409</v>
      </c>
      <c r="C49" s="190">
        <f>ROUND(MMMH!J170,0)</f>
        <v>250</v>
      </c>
      <c r="D49" s="190">
        <v>250</v>
      </c>
    </row>
    <row r="50" spans="1:4" s="182" customFormat="1">
      <c r="A50" s="188"/>
      <c r="B50" s="192" t="s">
        <v>1834</v>
      </c>
      <c r="C50" s="190">
        <f>ROUND(MMMH!H170,0)</f>
        <v>1100</v>
      </c>
      <c r="D50" s="190">
        <f>1100+344</f>
        <v>1444</v>
      </c>
    </row>
    <row r="51" spans="1:4" s="182" customFormat="1">
      <c r="A51" s="450">
        <v>7</v>
      </c>
      <c r="B51" s="451" t="s">
        <v>1528</v>
      </c>
      <c r="C51" s="452">
        <f>SUM(C52:C52)</f>
        <v>64</v>
      </c>
      <c r="D51" s="452">
        <f>SUM(D52:D52)</f>
        <v>64</v>
      </c>
    </row>
    <row r="52" spans="1:4" s="182" customFormat="1">
      <c r="A52" s="188"/>
      <c r="B52" s="192" t="s">
        <v>1409</v>
      </c>
      <c r="C52" s="190">
        <f>'5G GSZNR fel'!G67+'5G GSZNR fel'!G72</f>
        <v>64</v>
      </c>
      <c r="D52" s="190">
        <v>64</v>
      </c>
    </row>
    <row r="53" spans="1:4" s="182" customFormat="1">
      <c r="A53" s="450">
        <v>8</v>
      </c>
      <c r="B53" s="451" t="s">
        <v>1529</v>
      </c>
      <c r="C53" s="452">
        <f>SUM(C54:C54)</f>
        <v>699</v>
      </c>
      <c r="D53" s="452">
        <f>SUM(D54:D55)</f>
        <v>6199</v>
      </c>
    </row>
    <row r="54" spans="1:4" s="182" customFormat="1">
      <c r="A54" s="188"/>
      <c r="B54" s="192" t="s">
        <v>1409</v>
      </c>
      <c r="C54" s="190">
        <f>'5G GSZNR fel'!G80+'5G GSZNR fel'!G85+'5G GSZNR fel'!G90+'5G GSZNR fel'!G95+'5G GSZNR fel'!G100</f>
        <v>699</v>
      </c>
      <c r="D54" s="190">
        <v>699</v>
      </c>
    </row>
    <row r="55" spans="1:4" s="182" customFormat="1">
      <c r="A55" s="188"/>
      <c r="B55" s="192" t="s">
        <v>1861</v>
      </c>
      <c r="C55" s="190"/>
      <c r="D55" s="190">
        <v>5500</v>
      </c>
    </row>
    <row r="56" spans="1:4" s="197" customFormat="1" ht="15.75">
      <c r="A56" s="194"/>
      <c r="B56" s="195" t="s">
        <v>213</v>
      </c>
      <c r="C56" s="196">
        <f>C5+C32</f>
        <v>174473</v>
      </c>
      <c r="D56" s="196">
        <f>D5+D32</f>
        <v>243975</v>
      </c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&amp;L 7. melléklet a 20/2014. (VI.30.) önkormányzati rendelethez</oddHeader>
    <oddFooter>&amp;C&amp;10&amp;P&amp;R&amp;10&amp;D  &amp;T</oddFooter>
  </headerFooter>
  <rowBreaks count="1" manualBreakCount="1">
    <brk id="31" max="3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2:H26"/>
  <sheetViews>
    <sheetView showZeros="0" view="pageLayout" zoomScaleNormal="100" zoomScaleSheetLayoutView="100" workbookViewId="0">
      <selection activeCell="G12" sqref="G12"/>
    </sheetView>
  </sheetViews>
  <sheetFormatPr defaultRowHeight="15"/>
  <cols>
    <col min="1" max="1" width="4.5703125" style="182" customWidth="1"/>
    <col min="2" max="2" width="49.140625" style="182" customWidth="1"/>
    <col min="3" max="3" width="15" style="182" bestFit="1" customWidth="1"/>
    <col min="4" max="4" width="15" style="182" customWidth="1"/>
    <col min="5" max="16384" width="9.140625" style="182"/>
  </cols>
  <sheetData>
    <row r="2" spans="1:4" s="180" customFormat="1" ht="21">
      <c r="A2" s="660" t="s">
        <v>466</v>
      </c>
      <c r="B2" s="660"/>
      <c r="C2" s="660"/>
      <c r="D2" s="556"/>
    </row>
    <row r="3" spans="1:4">
      <c r="C3" s="198"/>
      <c r="D3" s="198" t="s">
        <v>457</v>
      </c>
    </row>
    <row r="4" spans="1:4" s="187" customFormat="1" ht="38.25">
      <c r="A4" s="185" t="s">
        <v>458</v>
      </c>
      <c r="B4" s="199" t="s">
        <v>58</v>
      </c>
      <c r="C4" s="422" t="s">
        <v>57</v>
      </c>
      <c r="D4" s="558" t="s">
        <v>1832</v>
      </c>
    </row>
    <row r="5" spans="1:4" s="187" customFormat="1">
      <c r="A5" s="448" t="s">
        <v>1</v>
      </c>
      <c r="B5" s="449" t="s">
        <v>1774</v>
      </c>
      <c r="C5" s="453">
        <f>SUM(C6:C15)</f>
        <v>81498</v>
      </c>
      <c r="D5" s="453">
        <f>SUM(D6:D15)</f>
        <v>82197</v>
      </c>
    </row>
    <row r="6" spans="1:4">
      <c r="A6" s="188">
        <v>1</v>
      </c>
      <c r="B6" s="192" t="s">
        <v>1399</v>
      </c>
      <c r="C6" s="191">
        <v>59047</v>
      </c>
      <c r="D6" s="191">
        <v>59047</v>
      </c>
    </row>
    <row r="7" spans="1:4" ht="28.5">
      <c r="A7" s="188">
        <v>2</v>
      </c>
      <c r="B7" s="192" t="s">
        <v>1400</v>
      </c>
      <c r="C7" s="191">
        <v>1206</v>
      </c>
      <c r="D7" s="191">
        <v>1206</v>
      </c>
    </row>
    <row r="8" spans="1:4" ht="28.5">
      <c r="A8" s="188">
        <v>3</v>
      </c>
      <c r="B8" s="192" t="s">
        <v>464</v>
      </c>
      <c r="C8" s="191">
        <v>3000</v>
      </c>
      <c r="D8" s="191">
        <v>3000</v>
      </c>
    </row>
    <row r="9" spans="1:4" hidden="1">
      <c r="A9" s="188" t="s">
        <v>197</v>
      </c>
      <c r="B9" s="200"/>
      <c r="C9" s="191"/>
      <c r="D9" s="191"/>
    </row>
    <row r="10" spans="1:4" hidden="1">
      <c r="A10" s="188" t="s">
        <v>198</v>
      </c>
      <c r="B10" s="200"/>
      <c r="C10" s="191"/>
      <c r="D10" s="191"/>
    </row>
    <row r="11" spans="1:4" hidden="1">
      <c r="A11" s="188" t="s">
        <v>200</v>
      </c>
      <c r="B11" s="200"/>
      <c r="C11" s="191"/>
      <c r="D11" s="191"/>
    </row>
    <row r="12" spans="1:4" ht="28.5">
      <c r="A12" s="188">
        <v>4</v>
      </c>
      <c r="B12" s="200" t="s">
        <v>465</v>
      </c>
      <c r="C12" s="191">
        <v>13300</v>
      </c>
      <c r="D12" s="191">
        <f>13300+699</f>
        <v>13999</v>
      </c>
    </row>
    <row r="13" spans="1:4">
      <c r="A13" s="188">
        <v>5</v>
      </c>
      <c r="B13" s="200" t="s">
        <v>1490</v>
      </c>
      <c r="C13" s="191">
        <v>445</v>
      </c>
      <c r="D13" s="191">
        <v>445</v>
      </c>
    </row>
    <row r="14" spans="1:4">
      <c r="A14" s="525">
        <v>6</v>
      </c>
      <c r="B14" s="526" t="s">
        <v>1776</v>
      </c>
      <c r="C14" s="527">
        <v>2000</v>
      </c>
      <c r="D14" s="527">
        <v>2000</v>
      </c>
    </row>
    <row r="15" spans="1:4">
      <c r="A15" s="525">
        <v>7</v>
      </c>
      <c r="B15" s="526" t="s">
        <v>1780</v>
      </c>
      <c r="C15" s="527">
        <v>2500</v>
      </c>
      <c r="D15" s="527">
        <v>2500</v>
      </c>
    </row>
    <row r="16" spans="1:4">
      <c r="A16" s="448" t="s">
        <v>13</v>
      </c>
      <c r="B16" s="449" t="s">
        <v>1775</v>
      </c>
      <c r="C16" s="453"/>
      <c r="D16" s="453">
        <f>D17</f>
        <v>0</v>
      </c>
    </row>
    <row r="17" spans="1:8">
      <c r="A17" s="525">
        <v>1</v>
      </c>
      <c r="B17" s="582" t="s">
        <v>1841</v>
      </c>
      <c r="C17" s="583"/>
      <c r="D17" s="583">
        <f>D18</f>
        <v>0</v>
      </c>
    </row>
    <row r="18" spans="1:8" hidden="1">
      <c r="A18" s="188"/>
      <c r="B18" s="200" t="s">
        <v>1842</v>
      </c>
      <c r="C18" s="191"/>
      <c r="D18" s="191">
        <v>0</v>
      </c>
    </row>
    <row r="19" spans="1:8" s="204" customFormat="1">
      <c r="A19" s="201"/>
      <c r="B19" s="202" t="s">
        <v>213</v>
      </c>
      <c r="C19" s="203">
        <f>C5+C16</f>
        <v>81498</v>
      </c>
      <c r="D19" s="203">
        <f>D5+D16</f>
        <v>82197</v>
      </c>
      <c r="F19" s="182"/>
    </row>
    <row r="20" spans="1:8">
      <c r="C20" s="205"/>
      <c r="D20" s="578"/>
    </row>
    <row r="21" spans="1:8">
      <c r="C21" s="191"/>
      <c r="D21" s="578"/>
    </row>
    <row r="22" spans="1:8">
      <c r="C22" s="203"/>
      <c r="D22" s="579"/>
      <c r="F22" s="204"/>
    </row>
    <row r="26" spans="1:8">
      <c r="H26" s="206"/>
    </row>
  </sheetData>
  <mergeCells count="1"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 8. melléklet a 20/2014. (VI.30.) önkormányzati rendelethez</oddHeader>
    <oddFooter>&amp;C&amp;10&amp;P&amp;R&amp;10&amp;D  &amp;T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I29"/>
  <sheetViews>
    <sheetView showZeros="0" view="pageLayout" zoomScaleNormal="100" zoomScaleSheetLayoutView="100" workbookViewId="0">
      <selection activeCell="C13" sqref="C13"/>
    </sheetView>
  </sheetViews>
  <sheetFormatPr defaultColWidth="12.42578125" defaultRowHeight="14.25"/>
  <cols>
    <col min="1" max="1" width="41.5703125" style="207" customWidth="1"/>
    <col min="2" max="2" width="11.140625" style="211" customWidth="1"/>
    <col min="3" max="3" width="11.85546875" style="227" customWidth="1"/>
    <col min="4" max="4" width="11.140625" style="211" customWidth="1"/>
    <col min="5" max="5" width="13.140625" style="227" customWidth="1"/>
    <col min="6" max="7" width="13.7109375" style="210" customWidth="1"/>
    <col min="8" max="8" width="12.42578125" style="211"/>
    <col min="9" max="9" width="16" style="211" bestFit="1" customWidth="1"/>
    <col min="10" max="16384" width="12.42578125" style="211"/>
  </cols>
  <sheetData>
    <row r="1" spans="1:9">
      <c r="B1" s="208"/>
      <c r="C1" s="209"/>
      <c r="D1" s="208"/>
      <c r="E1" s="209"/>
    </row>
    <row r="2" spans="1:9">
      <c r="B2" s="208"/>
      <c r="C2" s="209"/>
      <c r="D2" s="208"/>
      <c r="E2" s="209"/>
    </row>
    <row r="3" spans="1:9" ht="26.25" customHeight="1">
      <c r="A3" s="212"/>
      <c r="B3" s="663" t="s">
        <v>467</v>
      </c>
      <c r="C3" s="664"/>
      <c r="D3" s="664"/>
      <c r="E3" s="665"/>
      <c r="F3" s="666" t="s">
        <v>468</v>
      </c>
      <c r="G3" s="667"/>
    </row>
    <row r="4" spans="1:9" ht="38.25" customHeight="1">
      <c r="A4" s="559" t="s">
        <v>58</v>
      </c>
      <c r="B4" s="661" t="s">
        <v>469</v>
      </c>
      <c r="C4" s="662"/>
      <c r="D4" s="661" t="s">
        <v>470</v>
      </c>
      <c r="E4" s="662"/>
      <c r="F4" s="668"/>
      <c r="G4" s="669"/>
    </row>
    <row r="5" spans="1:9" ht="38.25" customHeight="1">
      <c r="A5" s="580"/>
      <c r="B5" s="213" t="s">
        <v>1828</v>
      </c>
      <c r="C5" s="213" t="s">
        <v>1833</v>
      </c>
      <c r="D5" s="213" t="s">
        <v>1828</v>
      </c>
      <c r="E5" s="213" t="s">
        <v>1833</v>
      </c>
      <c r="F5" s="213" t="s">
        <v>1828</v>
      </c>
      <c r="G5" s="213" t="s">
        <v>1833</v>
      </c>
    </row>
    <row r="6" spans="1:9" ht="14.25" customHeight="1">
      <c r="A6" s="560"/>
      <c r="B6" s="557" t="s">
        <v>471</v>
      </c>
      <c r="C6" s="557" t="s">
        <v>471</v>
      </c>
      <c r="D6" s="557"/>
      <c r="E6" s="557"/>
      <c r="F6" s="214" t="s">
        <v>471</v>
      </c>
      <c r="G6" s="214" t="s">
        <v>471</v>
      </c>
    </row>
    <row r="7" spans="1:9" ht="57.75" customHeight="1">
      <c r="A7" s="231" t="s">
        <v>476</v>
      </c>
      <c r="B7" s="215">
        <v>148941</v>
      </c>
      <c r="C7" s="215">
        <v>148941</v>
      </c>
      <c r="D7" s="215">
        <v>320732</v>
      </c>
      <c r="E7" s="215">
        <v>320732</v>
      </c>
      <c r="F7" s="216">
        <f>B7+D7</f>
        <v>469673</v>
      </c>
      <c r="G7" s="216">
        <f>C7+E7</f>
        <v>469673</v>
      </c>
      <c r="H7" s="208"/>
    </row>
    <row r="8" spans="1:9" ht="14.25" hidden="1" customHeight="1">
      <c r="A8" s="232"/>
      <c r="B8" s="217"/>
      <c r="C8" s="217"/>
      <c r="D8" s="217"/>
      <c r="E8" s="217"/>
      <c r="F8" s="218"/>
      <c r="G8" s="218"/>
    </row>
    <row r="9" spans="1:9" ht="15" hidden="1">
      <c r="A9" s="233"/>
      <c r="B9" s="220"/>
      <c r="C9" s="220"/>
      <c r="D9" s="220"/>
      <c r="E9" s="220"/>
      <c r="F9" s="221"/>
      <c r="G9" s="221"/>
    </row>
    <row r="10" spans="1:9" hidden="1">
      <c r="A10" s="222"/>
      <c r="B10" s="223"/>
      <c r="C10" s="223"/>
      <c r="D10" s="223"/>
      <c r="E10" s="223"/>
      <c r="F10" s="224"/>
      <c r="G10" s="224"/>
    </row>
    <row r="11" spans="1:9" hidden="1">
      <c r="A11" s="222"/>
      <c r="B11" s="217"/>
      <c r="C11" s="217"/>
      <c r="D11" s="217"/>
      <c r="E11" s="217"/>
      <c r="F11" s="224"/>
      <c r="G11" s="224"/>
      <c r="I11" s="211" t="e">
        <f>#REF!*I6/1000</f>
        <v>#REF!</v>
      </c>
    </row>
    <row r="12" spans="1:9" ht="15">
      <c r="A12" s="234" t="s">
        <v>455</v>
      </c>
      <c r="B12" s="230">
        <f>SUM(B13:B14)</f>
        <v>11457</v>
      </c>
      <c r="C12" s="230">
        <f>SUM(C13:C14)</f>
        <v>148941</v>
      </c>
      <c r="D12" s="230">
        <f>SUM(D13:D14)</f>
        <v>0</v>
      </c>
      <c r="E12" s="230">
        <f>SUM(E13:E14)</f>
        <v>0</v>
      </c>
      <c r="F12" s="221">
        <f>B12+D12</f>
        <v>11457</v>
      </c>
      <c r="G12" s="221">
        <f>C12+E12</f>
        <v>148941</v>
      </c>
    </row>
    <row r="13" spans="1:9">
      <c r="A13" s="232" t="s">
        <v>472</v>
      </c>
      <c r="B13" s="217">
        <v>11457</v>
      </c>
      <c r="C13" s="217">
        <f>11457+137484</f>
        <v>148941</v>
      </c>
      <c r="D13" s="217">
        <v>0</v>
      </c>
      <c r="E13" s="217"/>
      <c r="F13" s="224">
        <f>B13+D13</f>
        <v>11457</v>
      </c>
      <c r="G13" s="224">
        <f>C13+E13</f>
        <v>148941</v>
      </c>
    </row>
    <row r="14" spans="1:9">
      <c r="A14" s="232" t="s">
        <v>473</v>
      </c>
      <c r="B14" s="217"/>
      <c r="C14" s="217"/>
      <c r="D14" s="217"/>
      <c r="E14" s="217"/>
      <c r="F14" s="224">
        <f>SUM(B14:D14)</f>
        <v>0</v>
      </c>
      <c r="G14" s="224">
        <f>SUM(C14:D14)</f>
        <v>0</v>
      </c>
    </row>
    <row r="15" spans="1:9" ht="15" hidden="1">
      <c r="A15" s="219" t="s">
        <v>474</v>
      </c>
      <c r="B15" s="220" t="e">
        <f>SUM(B16:B17)</f>
        <v>#REF!</v>
      </c>
      <c r="C15" s="220" t="e">
        <f>SUM(C16:C17)</f>
        <v>#REF!</v>
      </c>
      <c r="D15" s="220" t="e">
        <f>SUM(D16:D17)</f>
        <v>#REF!</v>
      </c>
      <c r="E15" s="220" t="e">
        <f>SUM(E16:E17)</f>
        <v>#REF!</v>
      </c>
      <c r="F15" s="221" t="e">
        <f>SUM(B15,#REF!,D15,#REF!,#REF!,#REF!)</f>
        <v>#REF!</v>
      </c>
      <c r="G15" s="221" t="e">
        <f>SUM(#REF!,#REF!,#REF!,#REF!,#REF!,#REF!)</f>
        <v>#REF!</v>
      </c>
    </row>
    <row r="16" spans="1:9" hidden="1">
      <c r="A16" s="222" t="s">
        <v>472</v>
      </c>
      <c r="B16" s="217"/>
      <c r="C16" s="217"/>
      <c r="D16" s="217"/>
      <c r="E16" s="217"/>
      <c r="F16" s="224" t="e">
        <f>SUM(B16,#REF!,D16,#REF!,#REF!,#REF!)</f>
        <v>#REF!</v>
      </c>
      <c r="G16" s="224" t="e">
        <f>SUM(#REF!,#REF!,#REF!,#REF!,#REF!,#REF!)</f>
        <v>#REF!</v>
      </c>
    </row>
    <row r="17" spans="1:9" ht="15" hidden="1">
      <c r="A17" s="222" t="s">
        <v>473</v>
      </c>
      <c r="B17" s="217" t="e">
        <f>(B$7-B10-#REF!-B13-#REF!-#REF!-#REF!-#REF!)*#REF!</f>
        <v>#REF!</v>
      </c>
      <c r="C17" s="217" t="e">
        <f>(C$7-C10-#REF!-C13-#REF!-#REF!-#REF!-#REF!)*#REF!</f>
        <v>#REF!</v>
      </c>
      <c r="D17" s="217" t="e">
        <f>(D$7-D10-#REF!-D13-#REF!-#REF!-#REF!-#REF!)*#REF!</f>
        <v>#REF!</v>
      </c>
      <c r="E17" s="217" t="e">
        <f>(E$7-E10-#REF!-E13-#REF!-#REF!-#REF!-#REF!)*#REF!</f>
        <v>#REF!</v>
      </c>
      <c r="F17" s="225" t="e">
        <f>SUM(B17,#REF!,D17,#REF!,#REF!,#REF!)</f>
        <v>#REF!</v>
      </c>
      <c r="G17" s="225" t="e">
        <f>SUM(#REF!,#REF!,#REF!,#REF!,#REF!,#REF!)</f>
        <v>#REF!</v>
      </c>
    </row>
    <row r="18" spans="1:9" ht="15">
      <c r="A18" s="252" t="s">
        <v>475</v>
      </c>
      <c r="B18" s="226">
        <f>B12</f>
        <v>11457</v>
      </c>
      <c r="C18" s="226">
        <f>C12</f>
        <v>148941</v>
      </c>
      <c r="D18" s="226">
        <f t="shared" ref="D18" si="0">D12</f>
        <v>0</v>
      </c>
      <c r="E18" s="226">
        <f t="shared" ref="E18" si="1">E12</f>
        <v>0</v>
      </c>
      <c r="F18" s="251">
        <f>F12</f>
        <v>11457</v>
      </c>
      <c r="G18" s="251">
        <f t="shared" ref="G18" si="2">G12</f>
        <v>148941</v>
      </c>
    </row>
    <row r="19" spans="1:9">
      <c r="A19" s="211"/>
    </row>
    <row r="20" spans="1:9">
      <c r="A20" s="211"/>
    </row>
    <row r="21" spans="1:9">
      <c r="A21" s="211"/>
      <c r="B21" s="208"/>
      <c r="C21" s="208"/>
      <c r="D21" s="208"/>
      <c r="E21" s="208"/>
      <c r="F21" s="208"/>
      <c r="G21" s="208"/>
    </row>
    <row r="22" spans="1:9">
      <c r="A22" s="211"/>
      <c r="B22" s="208"/>
      <c r="C22" s="208"/>
      <c r="D22" s="208"/>
      <c r="E22" s="208"/>
      <c r="F22" s="228"/>
      <c r="G22" s="228"/>
      <c r="H22" s="208"/>
      <c r="I22" s="208"/>
    </row>
    <row r="23" spans="1:9">
      <c r="A23" s="211"/>
      <c r="B23" s="208"/>
      <c r="C23" s="208"/>
      <c r="D23" s="229"/>
      <c r="E23" s="229"/>
      <c r="F23" s="208"/>
      <c r="G23" s="208"/>
    </row>
    <row r="24" spans="1:9">
      <c r="A24" s="211"/>
      <c r="F24" s="228"/>
      <c r="G24" s="228"/>
    </row>
    <row r="25" spans="1:9">
      <c r="A25" s="211"/>
      <c r="F25" s="228"/>
      <c r="G25" s="228"/>
    </row>
    <row r="29" spans="1:9">
      <c r="A29" s="211"/>
      <c r="F29" s="228"/>
      <c r="G29" s="228"/>
    </row>
  </sheetData>
  <mergeCells count="4">
    <mergeCell ref="B4:C4"/>
    <mergeCell ref="B3:E3"/>
    <mergeCell ref="D4:E4"/>
    <mergeCell ref="F3:G4"/>
  </mergeCells>
  <printOptions horizontalCentered="1"/>
  <pageMargins left="0.23622047244094491" right="0.23622047244094491" top="1.1023622047244095" bottom="0.74803149606299213" header="0.31496062992125984" footer="0.31496062992125984"/>
  <pageSetup paperSize="9" scale="64" firstPageNumber="0" orientation="portrait" r:id="rId1"/>
  <headerFooter alignWithMargins="0">
    <oddHeader>&amp;L 9. melléklet   a 20/2014. (VI.30.) önkormányzati rendelethez&amp;C&amp;"-,Félkövér"&amp;16
Hitelek tőketörlesztési és kamatfizetési kötelezettségei</oddHeader>
    <oddFooter>&amp;C&amp;8&amp;D  &amp;T&amp;R&amp;8&amp;P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D30"/>
  <sheetViews>
    <sheetView view="pageLayout" zoomScaleNormal="100" zoomScaleSheetLayoutView="100" workbookViewId="0">
      <selection activeCell="B11" sqref="B11"/>
    </sheetView>
  </sheetViews>
  <sheetFormatPr defaultRowHeight="15"/>
  <cols>
    <col min="2" max="2" width="55.140625" style="250" customWidth="1"/>
    <col min="3" max="4" width="18.42578125" customWidth="1"/>
  </cols>
  <sheetData>
    <row r="1" spans="1:4" ht="75.75" customHeight="1">
      <c r="A1" s="670" t="s">
        <v>477</v>
      </c>
      <c r="B1" s="670"/>
      <c r="C1" s="670"/>
      <c r="D1" s="670"/>
    </row>
    <row r="2" spans="1:4" ht="18.75" customHeight="1">
      <c r="A2" s="235"/>
      <c r="B2" s="235"/>
      <c r="C2" s="236"/>
      <c r="D2" s="236" t="s">
        <v>0</v>
      </c>
    </row>
    <row r="3" spans="1:4">
      <c r="A3" s="237" t="s">
        <v>438</v>
      </c>
      <c r="B3" s="237" t="s">
        <v>58</v>
      </c>
      <c r="C3" s="237" t="s">
        <v>437</v>
      </c>
      <c r="D3" s="237" t="s">
        <v>437</v>
      </c>
    </row>
    <row r="4" spans="1:4">
      <c r="A4" s="238" t="s">
        <v>478</v>
      </c>
      <c r="B4" s="239" t="s">
        <v>479</v>
      </c>
      <c r="C4" s="240">
        <f>'1A. Fő bev'!C10+'1A. Fő bev'!C13+'1A. Fő bev'!C15</f>
        <v>2350000</v>
      </c>
      <c r="D4" s="240">
        <f>'1A. Fő bev'!D10+'1A. Fő bev'!D13+'1A. Fő bev'!D15</f>
        <v>2350460</v>
      </c>
    </row>
    <row r="5" spans="1:4">
      <c r="A5" s="238" t="s">
        <v>480</v>
      </c>
      <c r="B5" s="239" t="s">
        <v>481</v>
      </c>
      <c r="C5" s="240"/>
      <c r="D5" s="240"/>
    </row>
    <row r="6" spans="1:4">
      <c r="A6" s="238" t="s">
        <v>482</v>
      </c>
      <c r="B6" s="239" t="s">
        <v>483</v>
      </c>
      <c r="C6" s="240">
        <f>'1A. Fő bev'!C17</f>
        <v>1000</v>
      </c>
      <c r="D6" s="240">
        <f>'1A. Fő bev'!D17</f>
        <v>1000</v>
      </c>
    </row>
    <row r="7" spans="1:4" ht="30">
      <c r="A7" s="238" t="s">
        <v>484</v>
      </c>
      <c r="B7" s="239" t="s">
        <v>485</v>
      </c>
      <c r="C7" s="240">
        <f>'1A. Fő bev'!C38+'1A. Fő bev'!C22</f>
        <v>197039</v>
      </c>
      <c r="D7" s="240">
        <f>'1A. Fő bev'!D38+'1A. Fő bev'!D22</f>
        <v>197039</v>
      </c>
    </row>
    <row r="8" spans="1:4">
      <c r="A8" s="238" t="s">
        <v>486</v>
      </c>
      <c r="B8" s="239" t="s">
        <v>487</v>
      </c>
      <c r="C8" s="240"/>
      <c r="D8" s="240"/>
    </row>
    <row r="9" spans="1:4" ht="30">
      <c r="A9" s="238" t="s">
        <v>488</v>
      </c>
      <c r="B9" s="239" t="s">
        <v>489</v>
      </c>
      <c r="C9" s="240"/>
      <c r="D9" s="240"/>
    </row>
    <row r="10" spans="1:4">
      <c r="A10" s="238" t="s">
        <v>490</v>
      </c>
      <c r="B10" s="239" t="s">
        <v>491</v>
      </c>
      <c r="C10" s="240"/>
      <c r="D10" s="240"/>
    </row>
    <row r="11" spans="1:4">
      <c r="A11" s="241" t="s">
        <v>492</v>
      </c>
      <c r="B11" s="242" t="s">
        <v>493</v>
      </c>
      <c r="C11" s="243">
        <f>SUM(C4:C10)</f>
        <v>2548039</v>
      </c>
      <c r="D11" s="243">
        <f>SUM(D4:D10)</f>
        <v>2548499</v>
      </c>
    </row>
    <row r="12" spans="1:4">
      <c r="A12" s="244" t="s">
        <v>494</v>
      </c>
      <c r="B12" s="245" t="s">
        <v>495</v>
      </c>
      <c r="C12" s="246">
        <f>C11*0.5</f>
        <v>1274019.5</v>
      </c>
      <c r="D12" s="246">
        <f>D11*0.5</f>
        <v>1274249.5</v>
      </c>
    </row>
    <row r="13" spans="1:4" ht="25.5">
      <c r="A13" s="241" t="s">
        <v>496</v>
      </c>
      <c r="B13" s="242" t="s">
        <v>497</v>
      </c>
      <c r="C13" s="243">
        <f>SUM(C14:C20)</f>
        <v>36501</v>
      </c>
      <c r="D13" s="243">
        <f>SUM(D14:D20)</f>
        <v>173986</v>
      </c>
    </row>
    <row r="14" spans="1:4">
      <c r="A14" s="238" t="s">
        <v>498</v>
      </c>
      <c r="B14" s="239" t="s">
        <v>499</v>
      </c>
      <c r="C14" s="240">
        <f>'9. hitelállomány'!F13</f>
        <v>11457</v>
      </c>
      <c r="D14" s="240">
        <f>'9. hitelállomány'!G13</f>
        <v>148941</v>
      </c>
    </row>
    <row r="15" spans="1:4">
      <c r="A15" s="238" t="s">
        <v>500</v>
      </c>
      <c r="B15" s="239" t="s">
        <v>501</v>
      </c>
      <c r="C15" s="240"/>
      <c r="D15" s="240"/>
    </row>
    <row r="16" spans="1:4">
      <c r="A16" s="238" t="s">
        <v>502</v>
      </c>
      <c r="B16" s="239" t="s">
        <v>503</v>
      </c>
      <c r="C16" s="240"/>
      <c r="D16" s="240"/>
    </row>
    <row r="17" spans="1:4">
      <c r="A17" s="238" t="s">
        <v>504</v>
      </c>
      <c r="B17" s="239" t="s">
        <v>505</v>
      </c>
      <c r="C17" s="240"/>
      <c r="D17" s="240"/>
    </row>
    <row r="18" spans="1:4">
      <c r="A18" s="238" t="s">
        <v>506</v>
      </c>
      <c r="B18" s="239" t="s">
        <v>507</v>
      </c>
      <c r="C18" s="240"/>
      <c r="D18" s="240"/>
    </row>
    <row r="19" spans="1:4">
      <c r="A19" s="238" t="s">
        <v>508</v>
      </c>
      <c r="B19" s="239" t="s">
        <v>509</v>
      </c>
      <c r="C19" s="240"/>
      <c r="D19" s="240"/>
    </row>
    <row r="20" spans="1:4">
      <c r="A20" s="238" t="s">
        <v>510</v>
      </c>
      <c r="B20" s="239" t="s">
        <v>511</v>
      </c>
      <c r="C20" s="240">
        <v>25044</v>
      </c>
      <c r="D20" s="240">
        <v>25045</v>
      </c>
    </row>
    <row r="21" spans="1:4" ht="25.5">
      <c r="A21" s="241" t="s">
        <v>512</v>
      </c>
      <c r="B21" s="242" t="s">
        <v>513</v>
      </c>
      <c r="C21" s="243">
        <f>SUM(C22:C28)</f>
        <v>0</v>
      </c>
      <c r="D21" s="243">
        <f>SUM(D22:D28)</f>
        <v>0</v>
      </c>
    </row>
    <row r="22" spans="1:4">
      <c r="A22" s="238" t="s">
        <v>514</v>
      </c>
      <c r="B22" s="239" t="s">
        <v>499</v>
      </c>
      <c r="C22" s="240"/>
      <c r="D22" s="240"/>
    </row>
    <row r="23" spans="1:4">
      <c r="A23" s="238" t="s">
        <v>515</v>
      </c>
      <c r="B23" s="239" t="s">
        <v>501</v>
      </c>
      <c r="C23" s="240"/>
      <c r="D23" s="240"/>
    </row>
    <row r="24" spans="1:4">
      <c r="A24" s="238" t="s">
        <v>516</v>
      </c>
      <c r="B24" s="239" t="s">
        <v>503</v>
      </c>
      <c r="C24" s="240"/>
      <c r="D24" s="240"/>
    </row>
    <row r="25" spans="1:4">
      <c r="A25" s="238" t="s">
        <v>517</v>
      </c>
      <c r="B25" s="239" t="s">
        <v>505</v>
      </c>
      <c r="C25" s="240"/>
      <c r="D25" s="240"/>
    </row>
    <row r="26" spans="1:4">
      <c r="A26" s="238" t="s">
        <v>518</v>
      </c>
      <c r="B26" s="239" t="s">
        <v>507</v>
      </c>
      <c r="C26" s="240"/>
      <c r="D26" s="240"/>
    </row>
    <row r="27" spans="1:4">
      <c r="A27" s="238" t="s">
        <v>519</v>
      </c>
      <c r="B27" s="239" t="s">
        <v>509</v>
      </c>
      <c r="C27" s="240"/>
      <c r="D27" s="240"/>
    </row>
    <row r="28" spans="1:4">
      <c r="A28" s="238" t="s">
        <v>520</v>
      </c>
      <c r="B28" s="239" t="s">
        <v>511</v>
      </c>
      <c r="C28" s="240"/>
      <c r="D28" s="240"/>
    </row>
    <row r="29" spans="1:4">
      <c r="A29" s="244" t="s">
        <v>521</v>
      </c>
      <c r="B29" s="245" t="s">
        <v>522</v>
      </c>
      <c r="C29" s="246">
        <f>C13+C21</f>
        <v>36501</v>
      </c>
      <c r="D29" s="246">
        <f>D13+D21</f>
        <v>173986</v>
      </c>
    </row>
    <row r="30" spans="1:4">
      <c r="A30" s="247" t="s">
        <v>523</v>
      </c>
      <c r="B30" s="248" t="s">
        <v>524</v>
      </c>
      <c r="C30" s="249">
        <f>C12-C29</f>
        <v>1237518.5</v>
      </c>
      <c r="D30" s="249">
        <f>D12-D29</f>
        <v>1100263.5</v>
      </c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&amp;L10. melléklet a 20/2014. (VI.30.) önkormányzati rendelethez</oddHeader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IV140"/>
  <sheetViews>
    <sheetView showZeros="0" view="pageLayout" zoomScaleNormal="100" zoomScaleSheetLayoutView="100" workbookViewId="0">
      <selection activeCell="C5" sqref="C5"/>
    </sheetView>
  </sheetViews>
  <sheetFormatPr defaultColWidth="12.42578125" defaultRowHeight="15"/>
  <cols>
    <col min="1" max="1" width="12.42578125" style="120"/>
    <col min="2" max="2" width="12.42578125" style="126"/>
    <col min="3" max="3" width="59.7109375" style="120" customWidth="1"/>
    <col min="4" max="16384" width="12.42578125" style="120"/>
  </cols>
  <sheetData>
    <row r="1" spans="1:256" s="115" customFormat="1" ht="15.75">
      <c r="A1" s="113" t="s">
        <v>1530</v>
      </c>
      <c r="B1" s="114"/>
      <c r="IV1" s="116"/>
    </row>
    <row r="2" spans="1:256" s="119" customFormat="1" ht="42.6" customHeight="1">
      <c r="A2" s="117"/>
      <c r="B2" s="118"/>
      <c r="IV2" s="120"/>
    </row>
    <row r="3" spans="1:256" s="115" customFormat="1" ht="20.85" customHeight="1">
      <c r="A3" s="121" t="s">
        <v>190</v>
      </c>
      <c r="B3" s="122" t="s">
        <v>191</v>
      </c>
      <c r="C3" s="121" t="s">
        <v>58</v>
      </c>
      <c r="IV3" s="116"/>
    </row>
    <row r="4" spans="1:256" s="119" customFormat="1" ht="22.9" customHeight="1">
      <c r="A4" s="123">
        <v>1</v>
      </c>
      <c r="B4" s="124"/>
      <c r="C4" s="125" t="s">
        <v>201</v>
      </c>
      <c r="IV4" s="120"/>
    </row>
    <row r="5" spans="1:256" s="119" customFormat="1" ht="22.9" customHeight="1">
      <c r="A5" s="123">
        <v>2</v>
      </c>
      <c r="B5" s="124"/>
      <c r="C5" s="125" t="s">
        <v>194</v>
      </c>
      <c r="IV5" s="120"/>
    </row>
    <row r="6" spans="1:256" s="119" customFormat="1" ht="22.9" customHeight="1">
      <c r="A6" s="123">
        <v>3</v>
      </c>
      <c r="B6" s="124"/>
      <c r="C6" s="125" t="s">
        <v>195</v>
      </c>
      <c r="IV6" s="120"/>
    </row>
    <row r="7" spans="1:256" s="119" customFormat="1" ht="22.9" customHeight="1">
      <c r="A7" s="123">
        <v>4</v>
      </c>
      <c r="B7" s="124"/>
      <c r="C7" s="125" t="s">
        <v>443</v>
      </c>
      <c r="IV7" s="120"/>
    </row>
    <row r="8" spans="1:256" s="119" customFormat="1" ht="22.9" customHeight="1">
      <c r="A8" s="123"/>
      <c r="B8" s="124" t="s">
        <v>192</v>
      </c>
      <c r="C8" s="125" t="s">
        <v>116</v>
      </c>
      <c r="IV8" s="120"/>
    </row>
    <row r="9" spans="1:256" s="119" customFormat="1" ht="22.9" customHeight="1">
      <c r="A9" s="123"/>
      <c r="B9" s="124" t="s">
        <v>193</v>
      </c>
      <c r="C9" s="125" t="s">
        <v>202</v>
      </c>
      <c r="IV9" s="120"/>
    </row>
    <row r="10" spans="1:256" s="119" customFormat="1" ht="22.9" customHeight="1">
      <c r="A10" s="123"/>
      <c r="B10" s="124" t="s">
        <v>196</v>
      </c>
      <c r="C10" s="125" t="s">
        <v>203</v>
      </c>
      <c r="IV10" s="120"/>
    </row>
    <row r="11" spans="1:256" s="119" customFormat="1" ht="22.9" customHeight="1">
      <c r="A11" s="123"/>
      <c r="B11" s="124" t="s">
        <v>197</v>
      </c>
      <c r="C11" s="125" t="s">
        <v>117</v>
      </c>
      <c r="IV11" s="120"/>
    </row>
    <row r="12" spans="1:256" s="119" customFormat="1" ht="22.9" customHeight="1">
      <c r="A12" s="123"/>
      <c r="B12" s="124" t="s">
        <v>198</v>
      </c>
      <c r="C12" s="125" t="s">
        <v>199</v>
      </c>
      <c r="IV12" s="120"/>
    </row>
    <row r="13" spans="1:256" s="119" customFormat="1" ht="22.9" customHeight="1">
      <c r="A13" s="123"/>
      <c r="B13" s="124" t="s">
        <v>200</v>
      </c>
      <c r="C13" s="125" t="s">
        <v>118</v>
      </c>
      <c r="IV13" s="120"/>
    </row>
    <row r="14" spans="1:256" s="119" customFormat="1">
      <c r="A14" s="126"/>
      <c r="B14" s="118"/>
      <c r="IV14" s="120"/>
    </row>
    <row r="15" spans="1:256" s="119" customFormat="1">
      <c r="A15" s="126"/>
      <c r="B15" s="118"/>
      <c r="IV15" s="120"/>
    </row>
    <row r="16" spans="1:256" s="119" customFormat="1">
      <c r="A16" s="126"/>
      <c r="B16" s="118"/>
      <c r="IV16" s="120"/>
    </row>
    <row r="17" spans="1:256" s="119" customFormat="1">
      <c r="A17" s="126"/>
      <c r="B17" s="118"/>
      <c r="IV17" s="120"/>
    </row>
    <row r="18" spans="1:256" s="119" customFormat="1">
      <c r="A18" s="126"/>
      <c r="B18" s="118"/>
      <c r="IV18" s="120"/>
    </row>
    <row r="19" spans="1:256" s="119" customFormat="1">
      <c r="A19" s="126"/>
      <c r="B19" s="118"/>
      <c r="IV19" s="120"/>
    </row>
    <row r="20" spans="1:256" s="119" customFormat="1">
      <c r="A20" s="126"/>
      <c r="B20" s="118"/>
      <c r="IV20" s="120"/>
    </row>
    <row r="21" spans="1:256" s="119" customFormat="1">
      <c r="A21" s="126"/>
      <c r="B21" s="118"/>
      <c r="IV21" s="120"/>
    </row>
    <row r="22" spans="1:256" s="119" customFormat="1">
      <c r="A22" s="126"/>
      <c r="B22" s="118"/>
      <c r="IV22" s="120"/>
    </row>
    <row r="23" spans="1:256" s="119" customFormat="1">
      <c r="A23" s="126"/>
      <c r="B23" s="118"/>
      <c r="IV23" s="120"/>
    </row>
    <row r="24" spans="1:256" s="119" customFormat="1">
      <c r="A24" s="126"/>
      <c r="B24" s="118"/>
      <c r="IV24" s="120"/>
    </row>
    <row r="25" spans="1:256" s="119" customFormat="1">
      <c r="A25" s="126"/>
      <c r="B25" s="118"/>
      <c r="IV25" s="120"/>
    </row>
    <row r="26" spans="1:256" s="119" customFormat="1">
      <c r="A26" s="126"/>
      <c r="B26" s="118"/>
      <c r="IV26" s="120"/>
    </row>
    <row r="27" spans="1:256" s="119" customFormat="1">
      <c r="A27" s="126"/>
      <c r="B27" s="118"/>
      <c r="IV27" s="120"/>
    </row>
    <row r="28" spans="1:256" s="119" customFormat="1">
      <c r="A28" s="126"/>
      <c r="B28" s="118"/>
      <c r="IV28" s="120"/>
    </row>
    <row r="29" spans="1:256" s="119" customFormat="1">
      <c r="A29" s="126"/>
      <c r="B29" s="118"/>
      <c r="IV29" s="120"/>
    </row>
    <row r="30" spans="1:256" s="119" customFormat="1">
      <c r="A30" s="126"/>
      <c r="B30" s="118"/>
      <c r="IV30" s="120"/>
    </row>
    <row r="31" spans="1:256" s="119" customFormat="1">
      <c r="A31" s="126"/>
      <c r="B31" s="118"/>
      <c r="IV31" s="120"/>
    </row>
    <row r="32" spans="1:256" s="119" customFormat="1">
      <c r="A32" s="126"/>
      <c r="B32" s="118"/>
      <c r="IV32" s="120"/>
    </row>
    <row r="33" spans="1:256" s="119" customFormat="1">
      <c r="A33" s="126"/>
      <c r="B33" s="118"/>
      <c r="IV33" s="120"/>
    </row>
    <row r="34" spans="1:256" s="119" customFormat="1">
      <c r="A34" s="126"/>
      <c r="B34" s="118"/>
      <c r="IV34" s="120"/>
    </row>
    <row r="35" spans="1:256" s="119" customFormat="1">
      <c r="A35" s="126"/>
      <c r="B35" s="118"/>
      <c r="IV35" s="120"/>
    </row>
    <row r="36" spans="1:256" s="119" customFormat="1">
      <c r="A36" s="126"/>
      <c r="B36" s="118"/>
      <c r="IV36" s="120"/>
    </row>
    <row r="37" spans="1:256" s="119" customFormat="1">
      <c r="A37" s="126"/>
      <c r="B37" s="118"/>
      <c r="IV37" s="120"/>
    </row>
    <row r="38" spans="1:256" s="119" customFormat="1">
      <c r="A38" s="126"/>
      <c r="B38" s="118"/>
      <c r="IV38" s="120"/>
    </row>
    <row r="39" spans="1:256" s="119" customFormat="1">
      <c r="A39" s="126"/>
      <c r="B39" s="118"/>
      <c r="IV39" s="120"/>
    </row>
    <row r="40" spans="1:256" s="119" customFormat="1">
      <c r="A40" s="126"/>
      <c r="B40" s="118"/>
      <c r="IV40" s="120"/>
    </row>
    <row r="41" spans="1:256" s="119" customFormat="1">
      <c r="A41" s="126"/>
      <c r="B41" s="118"/>
      <c r="IV41" s="120"/>
    </row>
    <row r="42" spans="1:256" s="119" customFormat="1">
      <c r="A42" s="126"/>
      <c r="B42" s="118"/>
      <c r="IV42" s="120"/>
    </row>
    <row r="43" spans="1:256" s="119" customFormat="1">
      <c r="A43" s="126"/>
      <c r="B43" s="118"/>
      <c r="IV43" s="120"/>
    </row>
    <row r="44" spans="1:256" s="119" customFormat="1">
      <c r="A44" s="126"/>
      <c r="B44" s="118"/>
      <c r="IV44" s="120"/>
    </row>
    <row r="45" spans="1:256" s="119" customFormat="1">
      <c r="A45" s="126"/>
      <c r="B45" s="118"/>
      <c r="IV45" s="120"/>
    </row>
    <row r="46" spans="1:256" s="119" customFormat="1">
      <c r="A46" s="126"/>
      <c r="B46" s="118"/>
      <c r="IV46" s="120"/>
    </row>
    <row r="47" spans="1:256" s="119" customFormat="1">
      <c r="A47" s="126"/>
      <c r="B47" s="118"/>
      <c r="IV47" s="120"/>
    </row>
    <row r="48" spans="1:256" s="119" customFormat="1">
      <c r="A48" s="126"/>
      <c r="B48" s="118"/>
      <c r="IV48" s="120"/>
    </row>
    <row r="49" spans="1:256" s="119" customFormat="1">
      <c r="A49" s="126"/>
      <c r="B49" s="118"/>
      <c r="IV49" s="120"/>
    </row>
    <row r="50" spans="1:256" s="119" customFormat="1">
      <c r="A50" s="126"/>
      <c r="B50" s="118"/>
      <c r="IV50" s="120"/>
    </row>
    <row r="51" spans="1:256" s="119" customFormat="1">
      <c r="A51" s="126"/>
      <c r="B51" s="118"/>
      <c r="IV51" s="120"/>
    </row>
    <row r="52" spans="1:256" s="119" customFormat="1">
      <c r="A52" s="126"/>
      <c r="B52" s="118"/>
      <c r="IV52" s="120"/>
    </row>
    <row r="53" spans="1:256" s="119" customFormat="1">
      <c r="A53" s="126"/>
      <c r="B53" s="118"/>
      <c r="IV53" s="120"/>
    </row>
    <row r="54" spans="1:256" s="119" customFormat="1">
      <c r="A54" s="126"/>
      <c r="B54" s="118"/>
      <c r="IV54" s="120"/>
    </row>
    <row r="55" spans="1:256" s="119" customFormat="1">
      <c r="A55" s="126"/>
      <c r="B55" s="118"/>
      <c r="IV55" s="120"/>
    </row>
    <row r="56" spans="1:256" s="119" customFormat="1">
      <c r="A56" s="126"/>
      <c r="B56" s="118"/>
      <c r="IV56" s="120"/>
    </row>
    <row r="57" spans="1:256" s="119" customFormat="1">
      <c r="A57" s="126"/>
      <c r="B57" s="118"/>
      <c r="IV57" s="120"/>
    </row>
    <row r="58" spans="1:256" s="119" customFormat="1">
      <c r="A58" s="126"/>
      <c r="B58" s="118"/>
      <c r="IV58" s="120"/>
    </row>
    <row r="59" spans="1:256" s="119" customFormat="1">
      <c r="A59" s="126"/>
      <c r="B59" s="118"/>
      <c r="IV59" s="120"/>
    </row>
    <row r="60" spans="1:256" s="119" customFormat="1">
      <c r="A60" s="126"/>
      <c r="B60" s="118"/>
      <c r="IV60" s="120"/>
    </row>
    <row r="61" spans="1:256" s="119" customFormat="1">
      <c r="A61" s="126"/>
      <c r="B61" s="118"/>
      <c r="IV61" s="120"/>
    </row>
    <row r="62" spans="1:256" s="119" customFormat="1">
      <c r="A62" s="126"/>
      <c r="B62" s="118"/>
      <c r="IV62" s="120"/>
    </row>
    <row r="63" spans="1:256" s="119" customFormat="1">
      <c r="A63" s="126"/>
      <c r="B63" s="118"/>
      <c r="IV63" s="120"/>
    </row>
    <row r="64" spans="1:256" s="119" customFormat="1">
      <c r="A64" s="126"/>
      <c r="B64" s="118"/>
      <c r="IV64" s="120"/>
    </row>
    <row r="65" spans="1:256" s="119" customFormat="1">
      <c r="A65" s="126"/>
      <c r="B65" s="118"/>
      <c r="IV65" s="120"/>
    </row>
    <row r="66" spans="1:256" s="119" customFormat="1">
      <c r="A66" s="126"/>
      <c r="B66" s="118"/>
      <c r="IV66" s="120"/>
    </row>
    <row r="67" spans="1:256" s="119" customFormat="1">
      <c r="A67" s="126"/>
      <c r="B67" s="118"/>
      <c r="IV67" s="120"/>
    </row>
    <row r="68" spans="1:256" s="119" customFormat="1">
      <c r="A68" s="126"/>
      <c r="B68" s="118"/>
      <c r="IV68" s="120"/>
    </row>
    <row r="69" spans="1:256" s="119" customFormat="1">
      <c r="A69" s="126"/>
      <c r="B69" s="118"/>
      <c r="IV69" s="120"/>
    </row>
    <row r="70" spans="1:256" s="119" customFormat="1">
      <c r="A70" s="126"/>
      <c r="B70" s="118"/>
      <c r="IV70" s="120"/>
    </row>
    <row r="71" spans="1:256" s="119" customFormat="1">
      <c r="A71" s="126"/>
      <c r="B71" s="118"/>
      <c r="IV71" s="120"/>
    </row>
    <row r="72" spans="1:256" s="119" customFormat="1">
      <c r="A72" s="126"/>
      <c r="B72" s="118"/>
      <c r="IV72" s="120"/>
    </row>
    <row r="73" spans="1:256" s="119" customFormat="1">
      <c r="A73" s="126"/>
      <c r="B73" s="118"/>
      <c r="IV73" s="120"/>
    </row>
    <row r="74" spans="1:256" s="119" customFormat="1">
      <c r="A74" s="126"/>
      <c r="B74" s="118"/>
      <c r="IV74" s="120"/>
    </row>
    <row r="75" spans="1:256" s="119" customFormat="1">
      <c r="A75" s="126"/>
      <c r="B75" s="118"/>
      <c r="IV75" s="120"/>
    </row>
    <row r="76" spans="1:256" s="119" customFormat="1">
      <c r="A76" s="126"/>
      <c r="B76" s="118"/>
      <c r="IV76" s="120"/>
    </row>
    <row r="77" spans="1:256" s="119" customFormat="1">
      <c r="A77" s="126"/>
      <c r="B77" s="118"/>
      <c r="IV77" s="120"/>
    </row>
    <row r="78" spans="1:256" s="119" customFormat="1">
      <c r="A78" s="126"/>
      <c r="B78" s="118"/>
      <c r="IV78" s="120"/>
    </row>
    <row r="79" spans="1:256" s="119" customFormat="1">
      <c r="A79" s="126"/>
      <c r="B79" s="118"/>
      <c r="IV79" s="120"/>
    </row>
    <row r="80" spans="1:256" s="119" customFormat="1">
      <c r="A80" s="126"/>
      <c r="B80" s="118"/>
      <c r="IV80" s="120"/>
    </row>
    <row r="81" spans="1:256" s="119" customFormat="1">
      <c r="A81" s="126"/>
      <c r="B81" s="118"/>
      <c r="IV81" s="120"/>
    </row>
    <row r="82" spans="1:256" s="119" customFormat="1">
      <c r="A82" s="126"/>
      <c r="B82" s="118"/>
      <c r="IV82" s="120"/>
    </row>
    <row r="83" spans="1:256" s="119" customFormat="1">
      <c r="A83" s="126"/>
      <c r="B83" s="118"/>
      <c r="IV83" s="120"/>
    </row>
    <row r="84" spans="1:256" s="119" customFormat="1">
      <c r="A84" s="126"/>
      <c r="B84" s="118"/>
      <c r="IV84" s="120"/>
    </row>
    <row r="85" spans="1:256" s="119" customFormat="1">
      <c r="A85" s="126"/>
      <c r="B85" s="118"/>
      <c r="IV85" s="120"/>
    </row>
    <row r="86" spans="1:256" s="119" customFormat="1">
      <c r="A86" s="126"/>
      <c r="B86" s="118"/>
      <c r="IV86" s="120"/>
    </row>
    <row r="87" spans="1:256" s="119" customFormat="1">
      <c r="A87" s="126"/>
      <c r="B87" s="118"/>
      <c r="IV87" s="120"/>
    </row>
    <row r="88" spans="1:256" s="119" customFormat="1">
      <c r="A88" s="126"/>
      <c r="B88" s="118"/>
      <c r="IV88" s="120"/>
    </row>
    <row r="89" spans="1:256" s="119" customFormat="1">
      <c r="A89" s="126"/>
      <c r="B89" s="118"/>
      <c r="IV89" s="120"/>
    </row>
    <row r="90" spans="1:256" s="119" customFormat="1">
      <c r="A90" s="126"/>
      <c r="B90" s="118"/>
      <c r="IV90" s="120"/>
    </row>
    <row r="91" spans="1:256" s="119" customFormat="1">
      <c r="A91" s="126"/>
      <c r="B91" s="118"/>
      <c r="IV91" s="120"/>
    </row>
    <row r="92" spans="1:256" s="119" customFormat="1">
      <c r="A92" s="126"/>
      <c r="B92" s="118"/>
      <c r="IV92" s="120"/>
    </row>
    <row r="93" spans="1:256" s="119" customFormat="1">
      <c r="A93" s="126"/>
      <c r="B93" s="118"/>
      <c r="IV93" s="120"/>
    </row>
    <row r="94" spans="1:256" s="119" customFormat="1">
      <c r="A94" s="126"/>
      <c r="B94" s="118"/>
      <c r="IV94" s="120"/>
    </row>
    <row r="95" spans="1:256" s="119" customFormat="1">
      <c r="A95" s="126"/>
      <c r="B95" s="118"/>
      <c r="IV95" s="120"/>
    </row>
    <row r="96" spans="1:256" s="119" customFormat="1">
      <c r="A96" s="126"/>
      <c r="B96" s="118"/>
      <c r="IV96" s="120"/>
    </row>
    <row r="97" spans="1:256" s="119" customFormat="1">
      <c r="A97" s="126"/>
      <c r="B97" s="118"/>
      <c r="IV97" s="120"/>
    </row>
    <row r="98" spans="1:256" s="119" customFormat="1">
      <c r="A98" s="126"/>
      <c r="B98" s="118"/>
      <c r="IV98" s="120"/>
    </row>
    <row r="99" spans="1:256" s="119" customFormat="1">
      <c r="A99" s="126"/>
      <c r="B99" s="118"/>
      <c r="IV99" s="120"/>
    </row>
    <row r="100" spans="1:256" s="119" customFormat="1">
      <c r="A100" s="126"/>
      <c r="B100" s="118"/>
      <c r="IV100" s="120"/>
    </row>
    <row r="101" spans="1:256" s="119" customFormat="1">
      <c r="A101" s="126"/>
      <c r="B101" s="118"/>
      <c r="IV101" s="120"/>
    </row>
    <row r="102" spans="1:256" s="119" customFormat="1">
      <c r="A102" s="126"/>
      <c r="B102" s="118"/>
      <c r="IV102" s="120"/>
    </row>
    <row r="103" spans="1:256" s="119" customFormat="1">
      <c r="A103" s="126"/>
      <c r="B103" s="118"/>
      <c r="IV103" s="120"/>
    </row>
    <row r="104" spans="1:256" s="119" customFormat="1">
      <c r="A104" s="126"/>
      <c r="B104" s="118"/>
      <c r="IV104" s="120"/>
    </row>
    <row r="105" spans="1:256" s="119" customFormat="1">
      <c r="A105" s="126"/>
      <c r="B105" s="118"/>
      <c r="IV105" s="120"/>
    </row>
    <row r="106" spans="1:256" s="119" customFormat="1">
      <c r="A106" s="126"/>
      <c r="B106" s="118"/>
      <c r="IV106" s="120"/>
    </row>
    <row r="107" spans="1:256" s="119" customFormat="1">
      <c r="A107" s="126"/>
      <c r="B107" s="118"/>
      <c r="IV107" s="120"/>
    </row>
    <row r="108" spans="1:256" s="119" customFormat="1">
      <c r="A108" s="126"/>
      <c r="B108" s="118"/>
      <c r="IV108" s="120"/>
    </row>
    <row r="109" spans="1:256" s="119" customFormat="1">
      <c r="A109" s="126"/>
      <c r="B109" s="118"/>
      <c r="IV109" s="120"/>
    </row>
    <row r="110" spans="1:256" s="119" customFormat="1">
      <c r="A110" s="126"/>
      <c r="B110" s="118"/>
      <c r="IV110" s="120"/>
    </row>
    <row r="111" spans="1:256" s="119" customFormat="1">
      <c r="A111" s="126"/>
      <c r="B111" s="118"/>
      <c r="IV111" s="120"/>
    </row>
    <row r="112" spans="1:256" s="119" customFormat="1">
      <c r="A112" s="126"/>
      <c r="B112" s="118"/>
      <c r="IV112" s="120"/>
    </row>
    <row r="113" spans="1:256" s="119" customFormat="1">
      <c r="A113" s="126"/>
      <c r="B113" s="118"/>
      <c r="IV113" s="120"/>
    </row>
    <row r="114" spans="1:256" s="119" customFormat="1">
      <c r="A114" s="126"/>
      <c r="B114" s="118"/>
      <c r="IV114" s="120"/>
    </row>
    <row r="115" spans="1:256" s="119" customFormat="1">
      <c r="A115" s="126"/>
      <c r="B115" s="118"/>
      <c r="IV115" s="120"/>
    </row>
    <row r="116" spans="1:256" s="119" customFormat="1">
      <c r="A116" s="126"/>
      <c r="B116" s="118"/>
      <c r="IV116" s="120"/>
    </row>
    <row r="117" spans="1:256" s="119" customFormat="1">
      <c r="A117" s="126"/>
      <c r="B117" s="118"/>
      <c r="IV117" s="120"/>
    </row>
    <row r="118" spans="1:256" s="119" customFormat="1">
      <c r="A118" s="126"/>
      <c r="B118" s="118"/>
      <c r="IV118" s="120"/>
    </row>
    <row r="119" spans="1:256" s="119" customFormat="1">
      <c r="A119" s="126"/>
      <c r="B119" s="118"/>
      <c r="IV119" s="120"/>
    </row>
    <row r="120" spans="1:256" s="119" customFormat="1">
      <c r="A120" s="126"/>
      <c r="B120" s="118"/>
      <c r="IV120" s="120"/>
    </row>
    <row r="121" spans="1:256" s="119" customFormat="1">
      <c r="A121" s="126"/>
      <c r="B121" s="118"/>
      <c r="IV121" s="120"/>
    </row>
    <row r="122" spans="1:256" s="119" customFormat="1">
      <c r="A122" s="126"/>
      <c r="B122" s="118"/>
      <c r="IV122" s="120"/>
    </row>
    <row r="123" spans="1:256" s="119" customFormat="1">
      <c r="A123" s="126"/>
      <c r="B123" s="118"/>
      <c r="IV123" s="120"/>
    </row>
    <row r="124" spans="1:256" s="119" customFormat="1">
      <c r="A124" s="126"/>
      <c r="B124" s="118"/>
      <c r="IV124" s="120"/>
    </row>
    <row r="125" spans="1:256" s="119" customFormat="1">
      <c r="A125" s="126"/>
      <c r="B125" s="118"/>
      <c r="IV125" s="120"/>
    </row>
    <row r="126" spans="1:256" s="119" customFormat="1">
      <c r="A126" s="126"/>
      <c r="B126" s="118"/>
      <c r="IV126" s="120"/>
    </row>
    <row r="127" spans="1:256" s="119" customFormat="1">
      <c r="A127" s="126"/>
      <c r="B127" s="118"/>
      <c r="IV127" s="120"/>
    </row>
    <row r="128" spans="1:256" s="119" customFormat="1">
      <c r="A128" s="126"/>
      <c r="B128" s="118"/>
      <c r="IV128" s="120"/>
    </row>
    <row r="129" spans="1:256" s="119" customFormat="1">
      <c r="A129" s="126"/>
      <c r="B129" s="118"/>
      <c r="IV129" s="120"/>
    </row>
    <row r="130" spans="1:256" s="119" customFormat="1">
      <c r="A130" s="126"/>
      <c r="B130" s="118"/>
      <c r="IV130" s="120"/>
    </row>
    <row r="131" spans="1:256" s="119" customFormat="1">
      <c r="A131" s="126"/>
      <c r="B131" s="118"/>
      <c r="IV131" s="120"/>
    </row>
    <row r="132" spans="1:256" s="119" customFormat="1">
      <c r="A132" s="126"/>
      <c r="B132" s="118"/>
      <c r="IV132" s="120"/>
    </row>
    <row r="133" spans="1:256" s="119" customFormat="1">
      <c r="A133" s="126"/>
      <c r="B133" s="118"/>
      <c r="IV133" s="120"/>
    </row>
    <row r="134" spans="1:256" s="119" customFormat="1">
      <c r="A134" s="126"/>
      <c r="B134" s="118"/>
      <c r="IV134" s="120"/>
    </row>
    <row r="135" spans="1:256" s="119" customFormat="1">
      <c r="A135" s="126"/>
      <c r="B135" s="118"/>
      <c r="IV135" s="120"/>
    </row>
    <row r="136" spans="1:256" s="119" customFormat="1">
      <c r="A136" s="126"/>
      <c r="B136" s="118"/>
      <c r="IV136" s="120"/>
    </row>
    <row r="137" spans="1:256" s="119" customFormat="1">
      <c r="A137" s="126"/>
      <c r="B137" s="118"/>
      <c r="IV137" s="120"/>
    </row>
    <row r="138" spans="1:256" s="119" customFormat="1">
      <c r="A138" s="126"/>
      <c r="B138" s="118"/>
      <c r="IV138" s="120"/>
    </row>
    <row r="139" spans="1:256" s="119" customFormat="1">
      <c r="A139" s="126"/>
      <c r="B139" s="118"/>
      <c r="IV139" s="120"/>
    </row>
    <row r="140" spans="1:256" s="119" customFormat="1">
      <c r="A140" s="126"/>
      <c r="B140" s="118"/>
      <c r="IV140" s="120"/>
    </row>
  </sheetData>
  <pageMargins left="0.78749999999999998" right="0.78749999999999998" top="1.1354166666666667" bottom="1.0249999999999999" header="0.78749999999999998" footer="0.78749999999999998"/>
  <pageSetup paperSize="9" firstPageNumber="0" orientation="portrait" r:id="rId1"/>
  <headerFooter alignWithMargins="0">
    <oddHeader>&amp;L 11. melléklet  a 20/2014. (VI.30.) önkormányzati rendelethez</oddHeader>
    <oddFooter>&amp;R&amp;10&amp;P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I7"/>
  <sheetViews>
    <sheetView view="pageLayout" topLeftCell="A3" zoomScaleNormal="100" zoomScaleSheetLayoutView="100" workbookViewId="0">
      <selection activeCell="E19" sqref="E19"/>
    </sheetView>
  </sheetViews>
  <sheetFormatPr defaultRowHeight="15"/>
  <cols>
    <col min="1" max="1" width="28.42578125" customWidth="1"/>
    <col min="2" max="2" width="14" style="533" customWidth="1"/>
    <col min="3" max="3" width="16.42578125" style="533" customWidth="1"/>
    <col min="4" max="4" width="13.85546875" style="533" customWidth="1"/>
    <col min="5" max="5" width="12.85546875" style="533" customWidth="1"/>
    <col min="6" max="6" width="13.5703125" style="533" bestFit="1" customWidth="1"/>
    <col min="7" max="7" width="13.28515625" style="533" customWidth="1"/>
    <col min="8" max="8" width="15.5703125" style="533" bestFit="1" customWidth="1"/>
    <col min="9" max="9" width="13.140625" style="540" customWidth="1"/>
  </cols>
  <sheetData>
    <row r="1" spans="1:9">
      <c r="I1" s="540" t="s">
        <v>1825</v>
      </c>
    </row>
    <row r="2" spans="1:9" ht="21" customHeight="1">
      <c r="A2" s="671" t="s">
        <v>1784</v>
      </c>
      <c r="B2" s="672" t="s">
        <v>59</v>
      </c>
      <c r="C2" s="672"/>
      <c r="D2" s="672"/>
      <c r="E2" s="672" t="s">
        <v>138</v>
      </c>
      <c r="F2" s="672"/>
      <c r="G2" s="672"/>
      <c r="H2" s="672"/>
      <c r="I2" s="672"/>
    </row>
    <row r="3" spans="1:9" ht="30">
      <c r="A3" s="671"/>
      <c r="B3" s="543" t="s">
        <v>1785</v>
      </c>
      <c r="C3" s="543" t="s">
        <v>1786</v>
      </c>
      <c r="D3" s="544" t="s">
        <v>1760</v>
      </c>
      <c r="E3" s="543" t="s">
        <v>1787</v>
      </c>
      <c r="F3" s="543" t="s">
        <v>1788</v>
      </c>
      <c r="G3" s="543" t="s">
        <v>1789</v>
      </c>
      <c r="H3" s="543" t="s">
        <v>1790</v>
      </c>
      <c r="I3" s="543" t="s">
        <v>1791</v>
      </c>
    </row>
    <row r="4" spans="1:9" ht="31.5" customHeight="1">
      <c r="A4" s="536" t="s">
        <v>1792</v>
      </c>
      <c r="B4" s="537">
        <v>0</v>
      </c>
      <c r="C4" s="537">
        <v>0</v>
      </c>
      <c r="D4" s="539">
        <v>22000000</v>
      </c>
      <c r="E4" s="537">
        <v>0</v>
      </c>
      <c r="F4" s="539">
        <v>22000000</v>
      </c>
      <c r="G4" s="537">
        <v>0</v>
      </c>
      <c r="H4" s="537">
        <v>22000000</v>
      </c>
      <c r="I4" s="541">
        <f>SUM(E4:G4)</f>
        <v>22000000</v>
      </c>
    </row>
    <row r="5" spans="1:9">
      <c r="A5" s="538"/>
      <c r="B5" s="537"/>
      <c r="C5" s="537"/>
      <c r="D5" s="537"/>
      <c r="E5" s="537"/>
      <c r="F5" s="537"/>
      <c r="G5" s="537"/>
      <c r="H5" s="537"/>
      <c r="I5" s="541"/>
    </row>
    <row r="6" spans="1:9">
      <c r="A6" s="538"/>
      <c r="B6" s="537"/>
      <c r="C6" s="537"/>
      <c r="D6" s="537"/>
      <c r="E6" s="537"/>
      <c r="F6" s="537"/>
      <c r="G6" s="537"/>
      <c r="H6" s="537"/>
      <c r="I6" s="541"/>
    </row>
    <row r="7" spans="1:9" s="145" customFormat="1">
      <c r="A7" s="535" t="s">
        <v>213</v>
      </c>
      <c r="B7" s="534">
        <f>SUM(B4:B6)</f>
        <v>0</v>
      </c>
      <c r="C7" s="534">
        <f t="shared" ref="C7:I7" si="0">SUM(C4:C6)</f>
        <v>0</v>
      </c>
      <c r="D7" s="534">
        <f t="shared" si="0"/>
        <v>22000000</v>
      </c>
      <c r="E7" s="534">
        <f t="shared" si="0"/>
        <v>0</v>
      </c>
      <c r="F7" s="534">
        <f t="shared" si="0"/>
        <v>22000000</v>
      </c>
      <c r="G7" s="534">
        <f t="shared" si="0"/>
        <v>0</v>
      </c>
      <c r="H7" s="534">
        <f t="shared" si="0"/>
        <v>22000000</v>
      </c>
      <c r="I7" s="542">
        <f t="shared" si="0"/>
        <v>22000000</v>
      </c>
    </row>
  </sheetData>
  <mergeCells count="3">
    <mergeCell ref="A2:A3"/>
    <mergeCell ref="B2:D2"/>
    <mergeCell ref="E2:I2"/>
  </mergeCells>
  <pageMargins left="0.70866141732283472" right="0.70866141732283472" top="1.1417322834645669" bottom="0.74803149606299213" header="0.31496062992125984" footer="0.31496062992125984"/>
  <pageSetup paperSize="9" scale="92" orientation="landscape" r:id="rId1"/>
  <headerFooter>
    <oddHeader>&amp;L12. melléklet a 20/2014. (VI.30.) ÖK rendelethez
&amp;C&amp;"-,Félkövér"&amp;16
Törökbálint Város Önkormányzata 2014. évi európai uniós támogatási programjai</oddHead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G88"/>
  <sheetViews>
    <sheetView topLeftCell="A73" workbookViewId="0">
      <selection activeCell="G30" sqref="G30"/>
    </sheetView>
  </sheetViews>
  <sheetFormatPr defaultRowHeight="15"/>
  <cols>
    <col min="1" max="1" width="4" style="515" customWidth="1"/>
    <col min="2" max="2" width="3" style="465" customWidth="1"/>
    <col min="3" max="3" width="6" style="465" customWidth="1"/>
    <col min="4" max="5" width="4.7109375" style="465" customWidth="1"/>
    <col min="6" max="6" width="75.7109375" style="465" customWidth="1"/>
    <col min="7" max="7" width="18.5703125" style="466" customWidth="1"/>
    <col min="257" max="257" width="4" customWidth="1"/>
    <col min="258" max="258" width="3" customWidth="1"/>
    <col min="259" max="259" width="6" customWidth="1"/>
    <col min="260" max="261" width="4.7109375" customWidth="1"/>
    <col min="262" max="262" width="75.7109375" customWidth="1"/>
    <col min="263" max="263" width="18.5703125" customWidth="1"/>
    <col min="513" max="513" width="4" customWidth="1"/>
    <col min="514" max="514" width="3" customWidth="1"/>
    <col min="515" max="515" width="6" customWidth="1"/>
    <col min="516" max="517" width="4.7109375" customWidth="1"/>
    <col min="518" max="518" width="75.7109375" customWidth="1"/>
    <col min="519" max="519" width="18.5703125" customWidth="1"/>
    <col min="769" max="769" width="4" customWidth="1"/>
    <col min="770" max="770" width="3" customWidth="1"/>
    <col min="771" max="771" width="6" customWidth="1"/>
    <col min="772" max="773" width="4.7109375" customWidth="1"/>
    <col min="774" max="774" width="75.7109375" customWidth="1"/>
    <col min="775" max="775" width="18.5703125" customWidth="1"/>
    <col min="1025" max="1025" width="4" customWidth="1"/>
    <col min="1026" max="1026" width="3" customWidth="1"/>
    <col min="1027" max="1027" width="6" customWidth="1"/>
    <col min="1028" max="1029" width="4.7109375" customWidth="1"/>
    <col min="1030" max="1030" width="75.7109375" customWidth="1"/>
    <col min="1031" max="1031" width="18.5703125" customWidth="1"/>
    <col min="1281" max="1281" width="4" customWidth="1"/>
    <col min="1282" max="1282" width="3" customWidth="1"/>
    <col min="1283" max="1283" width="6" customWidth="1"/>
    <col min="1284" max="1285" width="4.7109375" customWidth="1"/>
    <col min="1286" max="1286" width="75.7109375" customWidth="1"/>
    <col min="1287" max="1287" width="18.5703125" customWidth="1"/>
    <col min="1537" max="1537" width="4" customWidth="1"/>
    <col min="1538" max="1538" width="3" customWidth="1"/>
    <col min="1539" max="1539" width="6" customWidth="1"/>
    <col min="1540" max="1541" width="4.7109375" customWidth="1"/>
    <col min="1542" max="1542" width="75.7109375" customWidth="1"/>
    <col min="1543" max="1543" width="18.5703125" customWidth="1"/>
    <col min="1793" max="1793" width="4" customWidth="1"/>
    <col min="1794" max="1794" width="3" customWidth="1"/>
    <col min="1795" max="1795" width="6" customWidth="1"/>
    <col min="1796" max="1797" width="4.7109375" customWidth="1"/>
    <col min="1798" max="1798" width="75.7109375" customWidth="1"/>
    <col min="1799" max="1799" width="18.5703125" customWidth="1"/>
    <col min="2049" max="2049" width="4" customWidth="1"/>
    <col min="2050" max="2050" width="3" customWidth="1"/>
    <col min="2051" max="2051" width="6" customWidth="1"/>
    <col min="2052" max="2053" width="4.7109375" customWidth="1"/>
    <col min="2054" max="2054" width="75.7109375" customWidth="1"/>
    <col min="2055" max="2055" width="18.5703125" customWidth="1"/>
    <col min="2305" max="2305" width="4" customWidth="1"/>
    <col min="2306" max="2306" width="3" customWidth="1"/>
    <col min="2307" max="2307" width="6" customWidth="1"/>
    <col min="2308" max="2309" width="4.7109375" customWidth="1"/>
    <col min="2310" max="2310" width="75.7109375" customWidth="1"/>
    <col min="2311" max="2311" width="18.5703125" customWidth="1"/>
    <col min="2561" max="2561" width="4" customWidth="1"/>
    <col min="2562" max="2562" width="3" customWidth="1"/>
    <col min="2563" max="2563" width="6" customWidth="1"/>
    <col min="2564" max="2565" width="4.7109375" customWidth="1"/>
    <col min="2566" max="2566" width="75.7109375" customWidth="1"/>
    <col min="2567" max="2567" width="18.5703125" customWidth="1"/>
    <col min="2817" max="2817" width="4" customWidth="1"/>
    <col min="2818" max="2818" width="3" customWidth="1"/>
    <col min="2819" max="2819" width="6" customWidth="1"/>
    <col min="2820" max="2821" width="4.7109375" customWidth="1"/>
    <col min="2822" max="2822" width="75.7109375" customWidth="1"/>
    <col min="2823" max="2823" width="18.5703125" customWidth="1"/>
    <col min="3073" max="3073" width="4" customWidth="1"/>
    <col min="3074" max="3074" width="3" customWidth="1"/>
    <col min="3075" max="3075" width="6" customWidth="1"/>
    <col min="3076" max="3077" width="4.7109375" customWidth="1"/>
    <col min="3078" max="3078" width="75.7109375" customWidth="1"/>
    <col min="3079" max="3079" width="18.5703125" customWidth="1"/>
    <col min="3329" max="3329" width="4" customWidth="1"/>
    <col min="3330" max="3330" width="3" customWidth="1"/>
    <col min="3331" max="3331" width="6" customWidth="1"/>
    <col min="3332" max="3333" width="4.7109375" customWidth="1"/>
    <col min="3334" max="3334" width="75.7109375" customWidth="1"/>
    <col min="3335" max="3335" width="18.5703125" customWidth="1"/>
    <col min="3585" max="3585" width="4" customWidth="1"/>
    <col min="3586" max="3586" width="3" customWidth="1"/>
    <col min="3587" max="3587" width="6" customWidth="1"/>
    <col min="3588" max="3589" width="4.7109375" customWidth="1"/>
    <col min="3590" max="3590" width="75.7109375" customWidth="1"/>
    <col min="3591" max="3591" width="18.5703125" customWidth="1"/>
    <col min="3841" max="3841" width="4" customWidth="1"/>
    <col min="3842" max="3842" width="3" customWidth="1"/>
    <col min="3843" max="3843" width="6" customWidth="1"/>
    <col min="3844" max="3845" width="4.7109375" customWidth="1"/>
    <col min="3846" max="3846" width="75.7109375" customWidth="1"/>
    <col min="3847" max="3847" width="18.5703125" customWidth="1"/>
    <col min="4097" max="4097" width="4" customWidth="1"/>
    <col min="4098" max="4098" width="3" customWidth="1"/>
    <col min="4099" max="4099" width="6" customWidth="1"/>
    <col min="4100" max="4101" width="4.7109375" customWidth="1"/>
    <col min="4102" max="4102" width="75.7109375" customWidth="1"/>
    <col min="4103" max="4103" width="18.5703125" customWidth="1"/>
    <col min="4353" max="4353" width="4" customWidth="1"/>
    <col min="4354" max="4354" width="3" customWidth="1"/>
    <col min="4355" max="4355" width="6" customWidth="1"/>
    <col min="4356" max="4357" width="4.7109375" customWidth="1"/>
    <col min="4358" max="4358" width="75.7109375" customWidth="1"/>
    <col min="4359" max="4359" width="18.5703125" customWidth="1"/>
    <col min="4609" max="4609" width="4" customWidth="1"/>
    <col min="4610" max="4610" width="3" customWidth="1"/>
    <col min="4611" max="4611" width="6" customWidth="1"/>
    <col min="4612" max="4613" width="4.7109375" customWidth="1"/>
    <col min="4614" max="4614" width="75.7109375" customWidth="1"/>
    <col min="4615" max="4615" width="18.5703125" customWidth="1"/>
    <col min="4865" max="4865" width="4" customWidth="1"/>
    <col min="4866" max="4866" width="3" customWidth="1"/>
    <col min="4867" max="4867" width="6" customWidth="1"/>
    <col min="4868" max="4869" width="4.7109375" customWidth="1"/>
    <col min="4870" max="4870" width="75.7109375" customWidth="1"/>
    <col min="4871" max="4871" width="18.5703125" customWidth="1"/>
    <col min="5121" max="5121" width="4" customWidth="1"/>
    <col min="5122" max="5122" width="3" customWidth="1"/>
    <col min="5123" max="5123" width="6" customWidth="1"/>
    <col min="5124" max="5125" width="4.7109375" customWidth="1"/>
    <col min="5126" max="5126" width="75.7109375" customWidth="1"/>
    <col min="5127" max="5127" width="18.5703125" customWidth="1"/>
    <col min="5377" max="5377" width="4" customWidth="1"/>
    <col min="5378" max="5378" width="3" customWidth="1"/>
    <col min="5379" max="5379" width="6" customWidth="1"/>
    <col min="5380" max="5381" width="4.7109375" customWidth="1"/>
    <col min="5382" max="5382" width="75.7109375" customWidth="1"/>
    <col min="5383" max="5383" width="18.5703125" customWidth="1"/>
    <col min="5633" max="5633" width="4" customWidth="1"/>
    <col min="5634" max="5634" width="3" customWidth="1"/>
    <col min="5635" max="5635" width="6" customWidth="1"/>
    <col min="5636" max="5637" width="4.7109375" customWidth="1"/>
    <col min="5638" max="5638" width="75.7109375" customWidth="1"/>
    <col min="5639" max="5639" width="18.5703125" customWidth="1"/>
    <col min="5889" max="5889" width="4" customWidth="1"/>
    <col min="5890" max="5890" width="3" customWidth="1"/>
    <col min="5891" max="5891" width="6" customWidth="1"/>
    <col min="5892" max="5893" width="4.7109375" customWidth="1"/>
    <col min="5894" max="5894" width="75.7109375" customWidth="1"/>
    <col min="5895" max="5895" width="18.5703125" customWidth="1"/>
    <col min="6145" max="6145" width="4" customWidth="1"/>
    <col min="6146" max="6146" width="3" customWidth="1"/>
    <col min="6147" max="6147" width="6" customWidth="1"/>
    <col min="6148" max="6149" width="4.7109375" customWidth="1"/>
    <col min="6150" max="6150" width="75.7109375" customWidth="1"/>
    <col min="6151" max="6151" width="18.5703125" customWidth="1"/>
    <col min="6401" max="6401" width="4" customWidth="1"/>
    <col min="6402" max="6402" width="3" customWidth="1"/>
    <col min="6403" max="6403" width="6" customWidth="1"/>
    <col min="6404" max="6405" width="4.7109375" customWidth="1"/>
    <col min="6406" max="6406" width="75.7109375" customWidth="1"/>
    <col min="6407" max="6407" width="18.5703125" customWidth="1"/>
    <col min="6657" max="6657" width="4" customWidth="1"/>
    <col min="6658" max="6658" width="3" customWidth="1"/>
    <col min="6659" max="6659" width="6" customWidth="1"/>
    <col min="6660" max="6661" width="4.7109375" customWidth="1"/>
    <col min="6662" max="6662" width="75.7109375" customWidth="1"/>
    <col min="6663" max="6663" width="18.5703125" customWidth="1"/>
    <col min="6913" max="6913" width="4" customWidth="1"/>
    <col min="6914" max="6914" width="3" customWidth="1"/>
    <col min="6915" max="6915" width="6" customWidth="1"/>
    <col min="6916" max="6917" width="4.7109375" customWidth="1"/>
    <col min="6918" max="6918" width="75.7109375" customWidth="1"/>
    <col min="6919" max="6919" width="18.5703125" customWidth="1"/>
    <col min="7169" max="7169" width="4" customWidth="1"/>
    <col min="7170" max="7170" width="3" customWidth="1"/>
    <col min="7171" max="7171" width="6" customWidth="1"/>
    <col min="7172" max="7173" width="4.7109375" customWidth="1"/>
    <col min="7174" max="7174" width="75.7109375" customWidth="1"/>
    <col min="7175" max="7175" width="18.5703125" customWidth="1"/>
    <col min="7425" max="7425" width="4" customWidth="1"/>
    <col min="7426" max="7426" width="3" customWidth="1"/>
    <col min="7427" max="7427" width="6" customWidth="1"/>
    <col min="7428" max="7429" width="4.7109375" customWidth="1"/>
    <col min="7430" max="7430" width="75.7109375" customWidth="1"/>
    <col min="7431" max="7431" width="18.5703125" customWidth="1"/>
    <col min="7681" max="7681" width="4" customWidth="1"/>
    <col min="7682" max="7682" width="3" customWidth="1"/>
    <col min="7683" max="7683" width="6" customWidth="1"/>
    <col min="7684" max="7685" width="4.7109375" customWidth="1"/>
    <col min="7686" max="7686" width="75.7109375" customWidth="1"/>
    <col min="7687" max="7687" width="18.5703125" customWidth="1"/>
    <col min="7937" max="7937" width="4" customWidth="1"/>
    <col min="7938" max="7938" width="3" customWidth="1"/>
    <col min="7939" max="7939" width="6" customWidth="1"/>
    <col min="7940" max="7941" width="4.7109375" customWidth="1"/>
    <col min="7942" max="7942" width="75.7109375" customWidth="1"/>
    <col min="7943" max="7943" width="18.5703125" customWidth="1"/>
    <col min="8193" max="8193" width="4" customWidth="1"/>
    <col min="8194" max="8194" width="3" customWidth="1"/>
    <col min="8195" max="8195" width="6" customWidth="1"/>
    <col min="8196" max="8197" width="4.7109375" customWidth="1"/>
    <col min="8198" max="8198" width="75.7109375" customWidth="1"/>
    <col min="8199" max="8199" width="18.5703125" customWidth="1"/>
    <col min="8449" max="8449" width="4" customWidth="1"/>
    <col min="8450" max="8450" width="3" customWidth="1"/>
    <col min="8451" max="8451" width="6" customWidth="1"/>
    <col min="8452" max="8453" width="4.7109375" customWidth="1"/>
    <col min="8454" max="8454" width="75.7109375" customWidth="1"/>
    <col min="8455" max="8455" width="18.5703125" customWidth="1"/>
    <col min="8705" max="8705" width="4" customWidth="1"/>
    <col min="8706" max="8706" width="3" customWidth="1"/>
    <col min="8707" max="8707" width="6" customWidth="1"/>
    <col min="8708" max="8709" width="4.7109375" customWidth="1"/>
    <col min="8710" max="8710" width="75.7109375" customWidth="1"/>
    <col min="8711" max="8711" width="18.5703125" customWidth="1"/>
    <col min="8961" max="8961" width="4" customWidth="1"/>
    <col min="8962" max="8962" width="3" customWidth="1"/>
    <col min="8963" max="8963" width="6" customWidth="1"/>
    <col min="8964" max="8965" width="4.7109375" customWidth="1"/>
    <col min="8966" max="8966" width="75.7109375" customWidth="1"/>
    <col min="8967" max="8967" width="18.5703125" customWidth="1"/>
    <col min="9217" max="9217" width="4" customWidth="1"/>
    <col min="9218" max="9218" width="3" customWidth="1"/>
    <col min="9219" max="9219" width="6" customWidth="1"/>
    <col min="9220" max="9221" width="4.7109375" customWidth="1"/>
    <col min="9222" max="9222" width="75.7109375" customWidth="1"/>
    <col min="9223" max="9223" width="18.5703125" customWidth="1"/>
    <col min="9473" max="9473" width="4" customWidth="1"/>
    <col min="9474" max="9474" width="3" customWidth="1"/>
    <col min="9475" max="9475" width="6" customWidth="1"/>
    <col min="9476" max="9477" width="4.7109375" customWidth="1"/>
    <col min="9478" max="9478" width="75.7109375" customWidth="1"/>
    <col min="9479" max="9479" width="18.5703125" customWidth="1"/>
    <col min="9729" max="9729" width="4" customWidth="1"/>
    <col min="9730" max="9730" width="3" customWidth="1"/>
    <col min="9731" max="9731" width="6" customWidth="1"/>
    <col min="9732" max="9733" width="4.7109375" customWidth="1"/>
    <col min="9734" max="9734" width="75.7109375" customWidth="1"/>
    <col min="9735" max="9735" width="18.5703125" customWidth="1"/>
    <col min="9985" max="9985" width="4" customWidth="1"/>
    <col min="9986" max="9986" width="3" customWidth="1"/>
    <col min="9987" max="9987" width="6" customWidth="1"/>
    <col min="9988" max="9989" width="4.7109375" customWidth="1"/>
    <col min="9990" max="9990" width="75.7109375" customWidth="1"/>
    <col min="9991" max="9991" width="18.5703125" customWidth="1"/>
    <col min="10241" max="10241" width="4" customWidth="1"/>
    <col min="10242" max="10242" width="3" customWidth="1"/>
    <col min="10243" max="10243" width="6" customWidth="1"/>
    <col min="10244" max="10245" width="4.7109375" customWidth="1"/>
    <col min="10246" max="10246" width="75.7109375" customWidth="1"/>
    <col min="10247" max="10247" width="18.5703125" customWidth="1"/>
    <col min="10497" max="10497" width="4" customWidth="1"/>
    <col min="10498" max="10498" width="3" customWidth="1"/>
    <col min="10499" max="10499" width="6" customWidth="1"/>
    <col min="10500" max="10501" width="4.7109375" customWidth="1"/>
    <col min="10502" max="10502" width="75.7109375" customWidth="1"/>
    <col min="10503" max="10503" width="18.5703125" customWidth="1"/>
    <col min="10753" max="10753" width="4" customWidth="1"/>
    <col min="10754" max="10754" width="3" customWidth="1"/>
    <col min="10755" max="10755" width="6" customWidth="1"/>
    <col min="10756" max="10757" width="4.7109375" customWidth="1"/>
    <col min="10758" max="10758" width="75.7109375" customWidth="1"/>
    <col min="10759" max="10759" width="18.5703125" customWidth="1"/>
    <col min="11009" max="11009" width="4" customWidth="1"/>
    <col min="11010" max="11010" width="3" customWidth="1"/>
    <col min="11011" max="11011" width="6" customWidth="1"/>
    <col min="11012" max="11013" width="4.7109375" customWidth="1"/>
    <col min="11014" max="11014" width="75.7109375" customWidth="1"/>
    <col min="11015" max="11015" width="18.5703125" customWidth="1"/>
    <col min="11265" max="11265" width="4" customWidth="1"/>
    <col min="11266" max="11266" width="3" customWidth="1"/>
    <col min="11267" max="11267" width="6" customWidth="1"/>
    <col min="11268" max="11269" width="4.7109375" customWidth="1"/>
    <col min="11270" max="11270" width="75.7109375" customWidth="1"/>
    <col min="11271" max="11271" width="18.5703125" customWidth="1"/>
    <col min="11521" max="11521" width="4" customWidth="1"/>
    <col min="11522" max="11522" width="3" customWidth="1"/>
    <col min="11523" max="11523" width="6" customWidth="1"/>
    <col min="11524" max="11525" width="4.7109375" customWidth="1"/>
    <col min="11526" max="11526" width="75.7109375" customWidth="1"/>
    <col min="11527" max="11527" width="18.5703125" customWidth="1"/>
    <col min="11777" max="11777" width="4" customWidth="1"/>
    <col min="11778" max="11778" width="3" customWidth="1"/>
    <col min="11779" max="11779" width="6" customWidth="1"/>
    <col min="11780" max="11781" width="4.7109375" customWidth="1"/>
    <col min="11782" max="11782" width="75.7109375" customWidth="1"/>
    <col min="11783" max="11783" width="18.5703125" customWidth="1"/>
    <col min="12033" max="12033" width="4" customWidth="1"/>
    <col min="12034" max="12034" width="3" customWidth="1"/>
    <col min="12035" max="12035" width="6" customWidth="1"/>
    <col min="12036" max="12037" width="4.7109375" customWidth="1"/>
    <col min="12038" max="12038" width="75.7109375" customWidth="1"/>
    <col min="12039" max="12039" width="18.5703125" customWidth="1"/>
    <col min="12289" max="12289" width="4" customWidth="1"/>
    <col min="12290" max="12290" width="3" customWidth="1"/>
    <col min="12291" max="12291" width="6" customWidth="1"/>
    <col min="12292" max="12293" width="4.7109375" customWidth="1"/>
    <col min="12294" max="12294" width="75.7109375" customWidth="1"/>
    <col min="12295" max="12295" width="18.5703125" customWidth="1"/>
    <col min="12545" max="12545" width="4" customWidth="1"/>
    <col min="12546" max="12546" width="3" customWidth="1"/>
    <col min="12547" max="12547" width="6" customWidth="1"/>
    <col min="12548" max="12549" width="4.7109375" customWidth="1"/>
    <col min="12550" max="12550" width="75.7109375" customWidth="1"/>
    <col min="12551" max="12551" width="18.5703125" customWidth="1"/>
    <col min="12801" max="12801" width="4" customWidth="1"/>
    <col min="12802" max="12802" width="3" customWidth="1"/>
    <col min="12803" max="12803" width="6" customWidth="1"/>
    <col min="12804" max="12805" width="4.7109375" customWidth="1"/>
    <col min="12806" max="12806" width="75.7109375" customWidth="1"/>
    <col min="12807" max="12807" width="18.5703125" customWidth="1"/>
    <col min="13057" max="13057" width="4" customWidth="1"/>
    <col min="13058" max="13058" width="3" customWidth="1"/>
    <col min="13059" max="13059" width="6" customWidth="1"/>
    <col min="13060" max="13061" width="4.7109375" customWidth="1"/>
    <col min="13062" max="13062" width="75.7109375" customWidth="1"/>
    <col min="13063" max="13063" width="18.5703125" customWidth="1"/>
    <col min="13313" max="13313" width="4" customWidth="1"/>
    <col min="13314" max="13314" width="3" customWidth="1"/>
    <col min="13315" max="13315" width="6" customWidth="1"/>
    <col min="13316" max="13317" width="4.7109375" customWidth="1"/>
    <col min="13318" max="13318" width="75.7109375" customWidth="1"/>
    <col min="13319" max="13319" width="18.5703125" customWidth="1"/>
    <col min="13569" max="13569" width="4" customWidth="1"/>
    <col min="13570" max="13570" width="3" customWidth="1"/>
    <col min="13571" max="13571" width="6" customWidth="1"/>
    <col min="13572" max="13573" width="4.7109375" customWidth="1"/>
    <col min="13574" max="13574" width="75.7109375" customWidth="1"/>
    <col min="13575" max="13575" width="18.5703125" customWidth="1"/>
    <col min="13825" max="13825" width="4" customWidth="1"/>
    <col min="13826" max="13826" width="3" customWidth="1"/>
    <col min="13827" max="13827" width="6" customWidth="1"/>
    <col min="13828" max="13829" width="4.7109375" customWidth="1"/>
    <col min="13830" max="13830" width="75.7109375" customWidth="1"/>
    <col min="13831" max="13831" width="18.5703125" customWidth="1"/>
    <col min="14081" max="14081" width="4" customWidth="1"/>
    <col min="14082" max="14082" width="3" customWidth="1"/>
    <col min="14083" max="14083" width="6" customWidth="1"/>
    <col min="14084" max="14085" width="4.7109375" customWidth="1"/>
    <col min="14086" max="14086" width="75.7109375" customWidth="1"/>
    <col min="14087" max="14087" width="18.5703125" customWidth="1"/>
    <col min="14337" max="14337" width="4" customWidth="1"/>
    <col min="14338" max="14338" width="3" customWidth="1"/>
    <col min="14339" max="14339" width="6" customWidth="1"/>
    <col min="14340" max="14341" width="4.7109375" customWidth="1"/>
    <col min="14342" max="14342" width="75.7109375" customWidth="1"/>
    <col min="14343" max="14343" width="18.5703125" customWidth="1"/>
    <col min="14593" max="14593" width="4" customWidth="1"/>
    <col min="14594" max="14594" width="3" customWidth="1"/>
    <col min="14595" max="14595" width="6" customWidth="1"/>
    <col min="14596" max="14597" width="4.7109375" customWidth="1"/>
    <col min="14598" max="14598" width="75.7109375" customWidth="1"/>
    <col min="14599" max="14599" width="18.5703125" customWidth="1"/>
    <col min="14849" max="14849" width="4" customWidth="1"/>
    <col min="14850" max="14850" width="3" customWidth="1"/>
    <col min="14851" max="14851" width="6" customWidth="1"/>
    <col min="14852" max="14853" width="4.7109375" customWidth="1"/>
    <col min="14854" max="14854" width="75.7109375" customWidth="1"/>
    <col min="14855" max="14855" width="18.5703125" customWidth="1"/>
    <col min="15105" max="15105" width="4" customWidth="1"/>
    <col min="15106" max="15106" width="3" customWidth="1"/>
    <col min="15107" max="15107" width="6" customWidth="1"/>
    <col min="15108" max="15109" width="4.7109375" customWidth="1"/>
    <col min="15110" max="15110" width="75.7109375" customWidth="1"/>
    <col min="15111" max="15111" width="18.5703125" customWidth="1"/>
    <col min="15361" max="15361" width="4" customWidth="1"/>
    <col min="15362" max="15362" width="3" customWidth="1"/>
    <col min="15363" max="15363" width="6" customWidth="1"/>
    <col min="15364" max="15365" width="4.7109375" customWidth="1"/>
    <col min="15366" max="15366" width="75.7109375" customWidth="1"/>
    <col min="15367" max="15367" width="18.5703125" customWidth="1"/>
    <col min="15617" max="15617" width="4" customWidth="1"/>
    <col min="15618" max="15618" width="3" customWidth="1"/>
    <col min="15619" max="15619" width="6" customWidth="1"/>
    <col min="15620" max="15621" width="4.7109375" customWidth="1"/>
    <col min="15622" max="15622" width="75.7109375" customWidth="1"/>
    <col min="15623" max="15623" width="18.5703125" customWidth="1"/>
    <col min="15873" max="15873" width="4" customWidth="1"/>
    <col min="15874" max="15874" width="3" customWidth="1"/>
    <col min="15875" max="15875" width="6" customWidth="1"/>
    <col min="15876" max="15877" width="4.7109375" customWidth="1"/>
    <col min="15878" max="15878" width="75.7109375" customWidth="1"/>
    <col min="15879" max="15879" width="18.5703125" customWidth="1"/>
    <col min="16129" max="16129" width="4" customWidth="1"/>
    <col min="16130" max="16130" width="3" customWidth="1"/>
    <col min="16131" max="16131" width="6" customWidth="1"/>
    <col min="16132" max="16133" width="4.7109375" customWidth="1"/>
    <col min="16134" max="16134" width="75.7109375" customWidth="1"/>
    <col min="16135" max="16135" width="18.5703125" customWidth="1"/>
  </cols>
  <sheetData>
    <row r="1" spans="1:7" ht="15.75">
      <c r="A1" s="673" t="s">
        <v>1554</v>
      </c>
      <c r="B1" s="673"/>
      <c r="C1" s="674">
        <v>1306859</v>
      </c>
      <c r="D1" s="675"/>
      <c r="E1" s="464"/>
    </row>
    <row r="2" spans="1:7">
      <c r="A2" s="676" t="s">
        <v>1555</v>
      </c>
      <c r="B2" s="676"/>
      <c r="C2" s="676"/>
      <c r="D2" s="676"/>
      <c r="E2" s="676"/>
      <c r="F2" s="467" t="s">
        <v>1556</v>
      </c>
    </row>
    <row r="4" spans="1:7" ht="36" customHeight="1">
      <c r="A4" s="677" t="s">
        <v>1557</v>
      </c>
      <c r="B4" s="677"/>
      <c r="C4" s="677"/>
      <c r="D4" s="677"/>
      <c r="E4" s="677"/>
      <c r="F4" s="677"/>
      <c r="G4" s="677"/>
    </row>
    <row r="5" spans="1:7" ht="20.25" customHeight="1">
      <c r="A5" s="468"/>
      <c r="B5" s="468"/>
      <c r="C5" s="468"/>
      <c r="D5" s="468"/>
      <c r="E5" s="468"/>
      <c r="F5" s="468"/>
      <c r="G5" s="469"/>
    </row>
    <row r="6" spans="1:7" ht="43.5" customHeight="1">
      <c r="A6" s="470"/>
      <c r="B6" s="470"/>
      <c r="C6" s="470"/>
      <c r="D6" s="470"/>
      <c r="E6" s="470"/>
      <c r="F6" s="470" t="s">
        <v>58</v>
      </c>
      <c r="G6" s="471" t="s">
        <v>1558</v>
      </c>
    </row>
    <row r="7" spans="1:7" ht="16.5" customHeight="1">
      <c r="A7" s="678" t="s">
        <v>1</v>
      </c>
      <c r="B7" s="678">
        <v>1</v>
      </c>
      <c r="C7" s="470"/>
      <c r="D7" s="470"/>
      <c r="E7" s="470"/>
      <c r="F7" s="472" t="s">
        <v>1559</v>
      </c>
      <c r="G7" s="473">
        <f>SUM(G8:G10)</f>
        <v>18320850</v>
      </c>
    </row>
    <row r="8" spans="1:7" s="158" customFormat="1" ht="16.5" customHeight="1">
      <c r="A8" s="678"/>
      <c r="B8" s="678"/>
      <c r="C8" s="474" t="s">
        <v>1560</v>
      </c>
      <c r="D8" s="474"/>
      <c r="E8" s="474"/>
      <c r="F8" s="475" t="s">
        <v>1561</v>
      </c>
      <c r="G8" s="476">
        <v>0</v>
      </c>
    </row>
    <row r="9" spans="1:7" ht="16.5" customHeight="1">
      <c r="A9" s="678"/>
      <c r="B9" s="678"/>
      <c r="C9" s="474" t="s">
        <v>1562</v>
      </c>
      <c r="D9" s="470"/>
      <c r="E9" s="470"/>
      <c r="F9" s="475" t="s">
        <v>1563</v>
      </c>
      <c r="G9" s="476">
        <v>0</v>
      </c>
    </row>
    <row r="10" spans="1:7" ht="16.5" customHeight="1">
      <c r="A10" s="678"/>
      <c r="B10" s="678"/>
      <c r="C10" s="474" t="s">
        <v>1564</v>
      </c>
      <c r="D10" s="470"/>
      <c r="E10" s="470"/>
      <c r="F10" s="475" t="s">
        <v>1565</v>
      </c>
      <c r="G10" s="476">
        <v>18320850</v>
      </c>
    </row>
    <row r="11" spans="1:7" ht="16.5" customHeight="1">
      <c r="A11" s="678"/>
      <c r="B11" s="470">
        <v>2</v>
      </c>
      <c r="C11" s="474"/>
      <c r="D11" s="470"/>
      <c r="E11" s="470"/>
      <c r="F11" s="472" t="s">
        <v>1566</v>
      </c>
      <c r="G11" s="473">
        <v>0</v>
      </c>
    </row>
    <row r="12" spans="1:7" ht="16.5" customHeight="1">
      <c r="A12" s="678"/>
      <c r="B12" s="477">
        <v>3</v>
      </c>
      <c r="C12" s="478"/>
      <c r="D12" s="478"/>
      <c r="E12" s="478"/>
      <c r="F12" s="479" t="s">
        <v>1567</v>
      </c>
      <c r="G12" s="480">
        <v>0</v>
      </c>
    </row>
    <row r="13" spans="1:7" ht="16.5" customHeight="1">
      <c r="A13" s="678"/>
      <c r="B13" s="679"/>
      <c r="C13" s="679"/>
      <c r="D13" s="477"/>
      <c r="E13" s="477"/>
      <c r="F13" s="481" t="s">
        <v>1568</v>
      </c>
      <c r="G13" s="480">
        <f>G7+G11+G12</f>
        <v>18320850</v>
      </c>
    </row>
    <row r="14" spans="1:7" ht="16.5" customHeight="1">
      <c r="A14" s="680" t="s">
        <v>13</v>
      </c>
      <c r="B14" s="680">
        <v>1</v>
      </c>
      <c r="C14" s="482" t="s">
        <v>1560</v>
      </c>
      <c r="D14" s="482"/>
      <c r="E14" s="482"/>
      <c r="F14" s="483" t="s">
        <v>1569</v>
      </c>
      <c r="G14" s="484">
        <f>G15+G16</f>
        <v>189500133</v>
      </c>
    </row>
    <row r="15" spans="1:7" ht="16.5" customHeight="1">
      <c r="A15" s="680"/>
      <c r="B15" s="680"/>
      <c r="C15" s="485"/>
      <c r="D15" s="485"/>
      <c r="E15" s="485"/>
      <c r="F15" s="486" t="s">
        <v>1570</v>
      </c>
      <c r="G15" s="487">
        <v>121162400</v>
      </c>
    </row>
    <row r="16" spans="1:7" ht="16.5" customHeight="1">
      <c r="A16" s="680"/>
      <c r="B16" s="680"/>
      <c r="C16" s="485"/>
      <c r="D16" s="485"/>
      <c r="E16" s="485"/>
      <c r="F16" s="486" t="s">
        <v>1571</v>
      </c>
      <c r="G16" s="487">
        <v>68337733</v>
      </c>
    </row>
    <row r="17" spans="1:7" ht="16.5" customHeight="1">
      <c r="A17" s="680"/>
      <c r="B17" s="680"/>
      <c r="C17" s="482" t="s">
        <v>1562</v>
      </c>
      <c r="D17" s="485"/>
      <c r="E17" s="485"/>
      <c r="F17" s="483" t="s">
        <v>1572</v>
      </c>
      <c r="G17" s="484">
        <v>1757840</v>
      </c>
    </row>
    <row r="18" spans="1:7" ht="16.5" customHeight="1">
      <c r="A18" s="680"/>
      <c r="B18" s="680"/>
      <c r="C18" s="482" t="s">
        <v>1564</v>
      </c>
      <c r="D18" s="482"/>
      <c r="E18" s="482"/>
      <c r="F18" s="483" t="s">
        <v>1573</v>
      </c>
      <c r="G18" s="484">
        <f>G19+G20</f>
        <v>52200000</v>
      </c>
    </row>
    <row r="19" spans="1:7" ht="16.5" customHeight="1">
      <c r="A19" s="680"/>
      <c r="B19" s="680"/>
      <c r="C19" s="485"/>
      <c r="D19" s="485"/>
      <c r="E19" s="485"/>
      <c r="F19" s="486" t="s">
        <v>1570</v>
      </c>
      <c r="G19" s="487">
        <v>34800000</v>
      </c>
    </row>
    <row r="20" spans="1:7" ht="16.5" customHeight="1">
      <c r="A20" s="680"/>
      <c r="B20" s="680"/>
      <c r="C20" s="485"/>
      <c r="D20" s="485"/>
      <c r="E20" s="485"/>
      <c r="F20" s="486" t="s">
        <v>1571</v>
      </c>
      <c r="G20" s="487">
        <v>17400000</v>
      </c>
    </row>
    <row r="21" spans="1:7" ht="16.5" customHeight="1">
      <c r="A21" s="680"/>
      <c r="B21" s="680"/>
      <c r="C21" s="478" t="s">
        <v>1574</v>
      </c>
      <c r="D21" s="478"/>
      <c r="E21" s="478"/>
      <c r="F21" s="479" t="s">
        <v>1575</v>
      </c>
      <c r="G21" s="480">
        <f>G14+G17+G18</f>
        <v>243457973</v>
      </c>
    </row>
    <row r="22" spans="1:7" ht="16.5" customHeight="1">
      <c r="A22" s="680"/>
      <c r="B22" s="681">
        <v>2</v>
      </c>
      <c r="C22" s="488"/>
      <c r="D22" s="488"/>
      <c r="E22" s="488"/>
      <c r="F22" s="479" t="s">
        <v>1576</v>
      </c>
      <c r="G22" s="480">
        <f>G23+G24</f>
        <v>31136000</v>
      </c>
    </row>
    <row r="23" spans="1:7" ht="16.5" customHeight="1">
      <c r="A23" s="680"/>
      <c r="B23" s="682"/>
      <c r="C23" s="485"/>
      <c r="D23" s="485"/>
      <c r="E23" s="485"/>
      <c r="F23" s="486" t="s">
        <v>1570</v>
      </c>
      <c r="G23" s="487">
        <v>19861333</v>
      </c>
    </row>
    <row r="24" spans="1:7" ht="16.5" customHeight="1">
      <c r="A24" s="680"/>
      <c r="B24" s="683"/>
      <c r="C24" s="485"/>
      <c r="D24" s="485"/>
      <c r="E24" s="485"/>
      <c r="F24" s="486" t="s">
        <v>1571</v>
      </c>
      <c r="G24" s="487">
        <v>11274667</v>
      </c>
    </row>
    <row r="25" spans="1:7" ht="16.5" customHeight="1">
      <c r="A25" s="680"/>
      <c r="B25" s="680">
        <v>3</v>
      </c>
      <c r="C25" s="489"/>
      <c r="D25" s="490"/>
      <c r="E25" s="491"/>
      <c r="F25" s="479" t="s">
        <v>1577</v>
      </c>
      <c r="G25" s="480">
        <f>G26+G27</f>
        <v>0</v>
      </c>
    </row>
    <row r="26" spans="1:7" ht="16.5" customHeight="1">
      <c r="A26" s="680"/>
      <c r="B26" s="680"/>
      <c r="C26" s="492"/>
      <c r="D26" s="485"/>
      <c r="E26" s="485"/>
      <c r="F26" s="486" t="s">
        <v>1570</v>
      </c>
      <c r="G26" s="487">
        <v>0</v>
      </c>
    </row>
    <row r="27" spans="1:7" ht="16.5" customHeight="1">
      <c r="A27" s="680"/>
      <c r="B27" s="680"/>
      <c r="C27" s="492"/>
      <c r="D27" s="485"/>
      <c r="E27" s="485"/>
      <c r="F27" s="486" t="s">
        <v>1571</v>
      </c>
      <c r="G27" s="487">
        <v>0</v>
      </c>
    </row>
    <row r="28" spans="1:7" ht="28.5" customHeight="1">
      <c r="A28" s="680"/>
      <c r="B28" s="684"/>
      <c r="C28" s="684"/>
      <c r="D28" s="490"/>
      <c r="E28" s="490"/>
      <c r="F28" s="479" t="s">
        <v>1578</v>
      </c>
      <c r="G28" s="480">
        <f>G21+G22+G25</f>
        <v>274593973</v>
      </c>
    </row>
    <row r="29" spans="1:7" ht="16.5" customHeight="1">
      <c r="A29" s="680" t="s">
        <v>44</v>
      </c>
      <c r="B29" s="493">
        <v>2</v>
      </c>
      <c r="C29" s="489"/>
      <c r="D29" s="490"/>
      <c r="E29" s="491"/>
      <c r="F29" s="479" t="s">
        <v>1579</v>
      </c>
      <c r="G29" s="480">
        <v>9805134</v>
      </c>
    </row>
    <row r="30" spans="1:7" ht="16.5" customHeight="1">
      <c r="A30" s="680"/>
      <c r="B30" s="680">
        <v>3</v>
      </c>
      <c r="C30" s="492" t="s">
        <v>1560</v>
      </c>
      <c r="D30" s="482"/>
      <c r="E30" s="482"/>
      <c r="F30" s="483" t="s">
        <v>1580</v>
      </c>
      <c r="G30" s="484">
        <v>10721090</v>
      </c>
    </row>
    <row r="31" spans="1:7" ht="16.5" customHeight="1">
      <c r="A31" s="680"/>
      <c r="B31" s="680"/>
      <c r="C31" s="492" t="s">
        <v>1562</v>
      </c>
      <c r="D31" s="482"/>
      <c r="E31" s="482"/>
      <c r="F31" s="483" t="s">
        <v>1581</v>
      </c>
      <c r="G31" s="484">
        <v>0</v>
      </c>
    </row>
    <row r="32" spans="1:7" ht="16.5" customHeight="1">
      <c r="A32" s="680"/>
      <c r="B32" s="680"/>
      <c r="C32" s="492" t="s">
        <v>1564</v>
      </c>
      <c r="D32" s="482"/>
      <c r="E32" s="482"/>
      <c r="F32" s="483" t="s">
        <v>1582</v>
      </c>
      <c r="G32" s="484">
        <v>4428800</v>
      </c>
    </row>
    <row r="33" spans="1:7" ht="16.5" customHeight="1">
      <c r="A33" s="680"/>
      <c r="B33" s="680"/>
      <c r="C33" s="492" t="s">
        <v>1583</v>
      </c>
      <c r="D33" s="482"/>
      <c r="E33" s="482"/>
      <c r="F33" s="483" t="s">
        <v>1584</v>
      </c>
      <c r="G33" s="484">
        <v>1450000</v>
      </c>
    </row>
    <row r="34" spans="1:7" ht="16.5" customHeight="1">
      <c r="A34" s="680"/>
      <c r="B34" s="680"/>
      <c r="C34" s="492" t="s">
        <v>1585</v>
      </c>
      <c r="D34" s="482"/>
      <c r="E34" s="482"/>
      <c r="F34" s="483" t="s">
        <v>1586</v>
      </c>
      <c r="G34" s="494">
        <v>0</v>
      </c>
    </row>
    <row r="35" spans="1:7" ht="16.5" customHeight="1">
      <c r="A35" s="680"/>
      <c r="B35" s="680"/>
      <c r="C35" s="492" t="s">
        <v>1587</v>
      </c>
      <c r="D35" s="482"/>
      <c r="E35" s="482"/>
      <c r="F35" s="483" t="s">
        <v>1588</v>
      </c>
      <c r="G35" s="494">
        <v>0</v>
      </c>
    </row>
    <row r="36" spans="1:7" ht="16.5" customHeight="1">
      <c r="A36" s="680"/>
      <c r="B36" s="680"/>
      <c r="C36" s="492" t="s">
        <v>1589</v>
      </c>
      <c r="D36" s="482"/>
      <c r="E36" s="482"/>
      <c r="F36" s="483" t="s">
        <v>1590</v>
      </c>
      <c r="G36" s="494">
        <v>0</v>
      </c>
    </row>
    <row r="37" spans="1:7" ht="16.5" customHeight="1">
      <c r="A37" s="680"/>
      <c r="B37" s="680"/>
      <c r="C37" s="492" t="s">
        <v>1591</v>
      </c>
      <c r="D37" s="482"/>
      <c r="E37" s="482"/>
      <c r="F37" s="483" t="s">
        <v>1592</v>
      </c>
      <c r="G37" s="494">
        <v>0</v>
      </c>
    </row>
    <row r="38" spans="1:7" ht="16.5" customHeight="1">
      <c r="A38" s="680"/>
      <c r="B38" s="680"/>
      <c r="C38" s="492" t="s">
        <v>1593</v>
      </c>
      <c r="D38" s="482"/>
      <c r="E38" s="482"/>
      <c r="F38" s="483" t="s">
        <v>1594</v>
      </c>
      <c r="G38" s="494">
        <v>0</v>
      </c>
    </row>
    <row r="39" spans="1:7" ht="16.5" customHeight="1">
      <c r="A39" s="680"/>
      <c r="B39" s="680"/>
      <c r="C39" s="492" t="s">
        <v>1595</v>
      </c>
      <c r="D39" s="482"/>
      <c r="E39" s="482"/>
      <c r="F39" s="483" t="s">
        <v>1596</v>
      </c>
      <c r="G39" s="494">
        <v>19467540</v>
      </c>
    </row>
    <row r="40" spans="1:7" ht="16.5" customHeight="1">
      <c r="A40" s="680"/>
      <c r="B40" s="680"/>
      <c r="C40" s="492" t="s">
        <v>1597</v>
      </c>
      <c r="D40" s="482"/>
      <c r="E40" s="482"/>
      <c r="F40" s="483" t="s">
        <v>1598</v>
      </c>
      <c r="G40" s="494">
        <v>0</v>
      </c>
    </row>
    <row r="41" spans="1:7" ht="16.5" customHeight="1">
      <c r="A41" s="680"/>
      <c r="B41" s="680"/>
      <c r="C41" s="492" t="s">
        <v>1599</v>
      </c>
      <c r="D41" s="482"/>
      <c r="E41" s="482"/>
      <c r="F41" s="483" t="s">
        <v>1600</v>
      </c>
      <c r="G41" s="494">
        <v>0</v>
      </c>
    </row>
    <row r="42" spans="1:7" ht="16.5" customHeight="1">
      <c r="A42" s="680"/>
      <c r="B42" s="680"/>
      <c r="C42" s="492" t="s">
        <v>1601</v>
      </c>
      <c r="D42" s="482"/>
      <c r="E42" s="482"/>
      <c r="F42" s="483" t="s">
        <v>1602</v>
      </c>
      <c r="G42" s="494">
        <v>0</v>
      </c>
    </row>
    <row r="43" spans="1:7" ht="16.5" customHeight="1">
      <c r="A43" s="680"/>
      <c r="B43" s="680"/>
      <c r="C43" s="495"/>
      <c r="D43" s="477"/>
      <c r="E43" s="496"/>
      <c r="F43" s="479" t="s">
        <v>1603</v>
      </c>
      <c r="G43" s="497">
        <f>SUM(G30:G42)</f>
        <v>36067430</v>
      </c>
    </row>
    <row r="44" spans="1:7" ht="16.5" customHeight="1">
      <c r="A44" s="680"/>
      <c r="B44" s="680">
        <v>4</v>
      </c>
      <c r="C44" s="492" t="s">
        <v>1560</v>
      </c>
      <c r="D44" s="482"/>
      <c r="E44" s="482"/>
      <c r="F44" s="483" t="s">
        <v>1604</v>
      </c>
      <c r="G44" s="494">
        <v>0</v>
      </c>
    </row>
    <row r="45" spans="1:7" ht="16.5" customHeight="1">
      <c r="A45" s="680"/>
      <c r="B45" s="680"/>
      <c r="C45" s="492" t="s">
        <v>1562</v>
      </c>
      <c r="D45" s="482"/>
      <c r="E45" s="482"/>
      <c r="F45" s="483" t="s">
        <v>1605</v>
      </c>
      <c r="G45" s="494">
        <v>0</v>
      </c>
    </row>
    <row r="46" spans="1:7" ht="27.75" customHeight="1">
      <c r="A46" s="680"/>
      <c r="B46" s="680"/>
      <c r="C46" s="498"/>
      <c r="D46" s="478"/>
      <c r="E46" s="478"/>
      <c r="F46" s="479" t="s">
        <v>1606</v>
      </c>
      <c r="G46" s="497">
        <f>G44+G45</f>
        <v>0</v>
      </c>
    </row>
    <row r="47" spans="1:7" ht="16.5" customHeight="1">
      <c r="A47" s="680"/>
      <c r="B47" s="680">
        <v>5</v>
      </c>
      <c r="C47" s="492" t="s">
        <v>1560</v>
      </c>
      <c r="D47" s="482"/>
      <c r="E47" s="482"/>
      <c r="F47" s="483" t="s">
        <v>1607</v>
      </c>
      <c r="G47" s="494">
        <v>59992320</v>
      </c>
    </row>
    <row r="48" spans="1:7" ht="16.5" customHeight="1">
      <c r="A48" s="680"/>
      <c r="B48" s="680"/>
      <c r="C48" s="492" t="s">
        <v>1562</v>
      </c>
      <c r="D48" s="482"/>
      <c r="E48" s="482"/>
      <c r="F48" s="483" t="s">
        <v>1608</v>
      </c>
      <c r="G48" s="494">
        <v>0</v>
      </c>
    </row>
    <row r="49" spans="1:7" ht="17.25" customHeight="1">
      <c r="A49" s="680"/>
      <c r="B49" s="680"/>
      <c r="C49" s="498"/>
      <c r="D49" s="478"/>
      <c r="E49" s="478"/>
      <c r="F49" s="479" t="s">
        <v>1609</v>
      </c>
      <c r="G49" s="497">
        <f>G47+G48</f>
        <v>59992320</v>
      </c>
    </row>
    <row r="50" spans="1:7" ht="27" customHeight="1">
      <c r="A50" s="680"/>
      <c r="B50" s="679"/>
      <c r="C50" s="679"/>
      <c r="D50" s="477"/>
      <c r="E50" s="496"/>
      <c r="F50" s="479" t="s">
        <v>1610</v>
      </c>
      <c r="G50" s="497">
        <f>G29+G43+G46+G49</f>
        <v>105864884</v>
      </c>
    </row>
    <row r="51" spans="1:7" ht="16.5" customHeight="1">
      <c r="A51" s="680" t="s">
        <v>1611</v>
      </c>
      <c r="B51" s="680">
        <v>1</v>
      </c>
      <c r="C51" s="492" t="s">
        <v>1560</v>
      </c>
      <c r="D51" s="482"/>
      <c r="E51" s="482"/>
      <c r="F51" s="483" t="s">
        <v>1612</v>
      </c>
      <c r="G51" s="494">
        <v>0</v>
      </c>
    </row>
    <row r="52" spans="1:7" ht="16.5" customHeight="1">
      <c r="A52" s="680"/>
      <c r="B52" s="680"/>
      <c r="C52" s="492" t="s">
        <v>1562</v>
      </c>
      <c r="D52" s="482"/>
      <c r="E52" s="482"/>
      <c r="F52" s="483" t="s">
        <v>1613</v>
      </c>
      <c r="G52" s="494">
        <v>0</v>
      </c>
    </row>
    <row r="53" spans="1:7" ht="16.5" customHeight="1">
      <c r="A53" s="680"/>
      <c r="B53" s="680"/>
      <c r="C53" s="492" t="s">
        <v>1564</v>
      </c>
      <c r="D53" s="482"/>
      <c r="E53" s="482"/>
      <c r="F53" s="483" t="s">
        <v>1614</v>
      </c>
      <c r="G53" s="494">
        <v>0</v>
      </c>
    </row>
    <row r="54" spans="1:7" ht="16.5" customHeight="1">
      <c r="A54" s="680"/>
      <c r="B54" s="680"/>
      <c r="C54" s="492" t="s">
        <v>1583</v>
      </c>
      <c r="D54" s="482"/>
      <c r="E54" s="482"/>
      <c r="F54" s="483" t="s">
        <v>1615</v>
      </c>
      <c r="G54" s="494">
        <v>15470940</v>
      </c>
    </row>
    <row r="55" spans="1:7" ht="16.5" customHeight="1">
      <c r="A55" s="680"/>
      <c r="B55" s="680"/>
      <c r="C55" s="492" t="s">
        <v>1585</v>
      </c>
      <c r="D55" s="482"/>
      <c r="E55" s="482"/>
      <c r="F55" s="483" t="s">
        <v>1616</v>
      </c>
      <c r="G55" s="494">
        <v>0</v>
      </c>
    </row>
    <row r="56" spans="1:7" ht="16.5" customHeight="1">
      <c r="A56" s="680"/>
      <c r="B56" s="680"/>
      <c r="C56" s="492" t="s">
        <v>1587</v>
      </c>
      <c r="D56" s="482"/>
      <c r="E56" s="482"/>
      <c r="F56" s="483" t="s">
        <v>1617</v>
      </c>
      <c r="G56" s="494">
        <v>0</v>
      </c>
    </row>
    <row r="57" spans="1:7" ht="16.5" customHeight="1">
      <c r="A57" s="680"/>
      <c r="B57" s="680"/>
      <c r="C57" s="492" t="s">
        <v>1589</v>
      </c>
      <c r="D57" s="482"/>
      <c r="E57" s="482"/>
      <c r="F57" s="483" t="s">
        <v>1618</v>
      </c>
      <c r="G57" s="494">
        <v>0</v>
      </c>
    </row>
    <row r="58" spans="1:7" ht="16.5" customHeight="1">
      <c r="A58" s="680"/>
      <c r="B58" s="680"/>
      <c r="C58" s="492" t="s">
        <v>1591</v>
      </c>
      <c r="D58" s="482"/>
      <c r="E58" s="482"/>
      <c r="F58" s="483" t="s">
        <v>1619</v>
      </c>
      <c r="G58" s="494">
        <v>0</v>
      </c>
    </row>
    <row r="59" spans="1:7" ht="16.5" customHeight="1">
      <c r="A59" s="680"/>
      <c r="B59" s="680"/>
      <c r="C59" s="492"/>
      <c r="D59" s="482"/>
      <c r="E59" s="482"/>
      <c r="F59" s="479" t="s">
        <v>1620</v>
      </c>
      <c r="G59" s="497">
        <f>SUM(G51:G58)</f>
        <v>15470940</v>
      </c>
    </row>
    <row r="60" spans="1:7" ht="16.5" customHeight="1">
      <c r="A60" s="680"/>
      <c r="B60" s="680">
        <v>2</v>
      </c>
      <c r="C60" s="492" t="s">
        <v>1560</v>
      </c>
      <c r="D60" s="482"/>
      <c r="E60" s="482"/>
      <c r="F60" s="483" t="s">
        <v>1621</v>
      </c>
      <c r="G60" s="494">
        <f>G61+G64</f>
        <v>0</v>
      </c>
    </row>
    <row r="61" spans="1:7" ht="16.5" customHeight="1">
      <c r="A61" s="680"/>
      <c r="B61" s="680"/>
      <c r="C61" s="492"/>
      <c r="D61" s="482" t="s">
        <v>1622</v>
      </c>
      <c r="E61" s="482"/>
      <c r="F61" s="499" t="s">
        <v>1623</v>
      </c>
      <c r="G61" s="494">
        <f>G62+G63</f>
        <v>0</v>
      </c>
    </row>
    <row r="62" spans="1:7" ht="16.5" customHeight="1">
      <c r="A62" s="680"/>
      <c r="B62" s="680"/>
      <c r="C62" s="492"/>
      <c r="D62" s="485"/>
      <c r="E62" s="485" t="s">
        <v>1624</v>
      </c>
      <c r="F62" s="500" t="s">
        <v>1625</v>
      </c>
      <c r="G62" s="501">
        <v>0</v>
      </c>
    </row>
    <row r="63" spans="1:7" ht="24" customHeight="1">
      <c r="A63" s="680"/>
      <c r="B63" s="680"/>
      <c r="C63" s="492"/>
      <c r="D63" s="485"/>
      <c r="E63" s="485" t="s">
        <v>1626</v>
      </c>
      <c r="F63" s="500" t="s">
        <v>1627</v>
      </c>
      <c r="G63" s="501">
        <v>0</v>
      </c>
    </row>
    <row r="64" spans="1:7" ht="16.5" customHeight="1">
      <c r="A64" s="680"/>
      <c r="B64" s="680"/>
      <c r="C64" s="492"/>
      <c r="D64" s="482" t="s">
        <v>1628</v>
      </c>
      <c r="E64" s="482"/>
      <c r="F64" s="499" t="s">
        <v>1629</v>
      </c>
      <c r="G64" s="494">
        <f>G65+G66</f>
        <v>0</v>
      </c>
    </row>
    <row r="65" spans="1:7" ht="16.5" customHeight="1">
      <c r="A65" s="680"/>
      <c r="B65" s="680"/>
      <c r="C65" s="492"/>
      <c r="D65" s="485"/>
      <c r="E65" s="485" t="s">
        <v>1630</v>
      </c>
      <c r="F65" s="500" t="s">
        <v>1631</v>
      </c>
      <c r="G65" s="501">
        <v>0</v>
      </c>
    </row>
    <row r="66" spans="1:7" ht="27" customHeight="1">
      <c r="A66" s="680"/>
      <c r="B66" s="680"/>
      <c r="C66" s="492"/>
      <c r="D66" s="485"/>
      <c r="E66" s="485" t="s">
        <v>1632</v>
      </c>
      <c r="F66" s="500" t="s">
        <v>1633</v>
      </c>
      <c r="G66" s="501">
        <v>0</v>
      </c>
    </row>
    <row r="67" spans="1:7" ht="16.5" customHeight="1">
      <c r="A67" s="680"/>
      <c r="B67" s="680"/>
      <c r="C67" s="492" t="s">
        <v>1562</v>
      </c>
      <c r="D67" s="482"/>
      <c r="E67" s="482"/>
      <c r="F67" s="483" t="s">
        <v>1634</v>
      </c>
      <c r="G67" s="494">
        <f>SUM(G68:G71)</f>
        <v>8500000</v>
      </c>
    </row>
    <row r="68" spans="1:7" ht="16.5" customHeight="1">
      <c r="A68" s="680"/>
      <c r="B68" s="680"/>
      <c r="C68" s="492"/>
      <c r="D68" s="482" t="s">
        <v>1635</v>
      </c>
      <c r="E68" s="482"/>
      <c r="F68" s="499" t="s">
        <v>1636</v>
      </c>
      <c r="G68" s="501">
        <v>0</v>
      </c>
    </row>
    <row r="69" spans="1:7" ht="24" customHeight="1">
      <c r="A69" s="680"/>
      <c r="B69" s="680"/>
      <c r="C69" s="492"/>
      <c r="D69" s="482" t="s">
        <v>1637</v>
      </c>
      <c r="E69" s="482"/>
      <c r="F69" s="499" t="s">
        <v>1638</v>
      </c>
      <c r="G69" s="501">
        <v>0</v>
      </c>
    </row>
    <row r="70" spans="1:7" ht="15.75" customHeight="1">
      <c r="A70" s="680"/>
      <c r="B70" s="680"/>
      <c r="C70" s="492"/>
      <c r="D70" s="482" t="s">
        <v>1639</v>
      </c>
      <c r="E70" s="482"/>
      <c r="F70" s="499" t="s">
        <v>1640</v>
      </c>
      <c r="G70" s="501">
        <v>8500000</v>
      </c>
    </row>
    <row r="71" spans="1:7" ht="24" customHeight="1">
      <c r="A71" s="680"/>
      <c r="B71" s="680"/>
      <c r="C71" s="492"/>
      <c r="D71" s="482" t="s">
        <v>1641</v>
      </c>
      <c r="E71" s="482"/>
      <c r="F71" s="499" t="s">
        <v>1642</v>
      </c>
      <c r="G71" s="501">
        <v>0</v>
      </c>
    </row>
    <row r="72" spans="1:7" ht="16.5" customHeight="1">
      <c r="A72" s="680"/>
      <c r="B72" s="680"/>
      <c r="C72" s="492" t="s">
        <v>1564</v>
      </c>
      <c r="D72" s="482"/>
      <c r="E72" s="482"/>
      <c r="F72" s="483" t="s">
        <v>1643</v>
      </c>
      <c r="G72" s="494">
        <f>G73+G76</f>
        <v>0</v>
      </c>
    </row>
    <row r="73" spans="1:7" ht="16.5" customHeight="1">
      <c r="A73" s="680"/>
      <c r="B73" s="680"/>
      <c r="C73" s="492"/>
      <c r="D73" s="482" t="s">
        <v>1644</v>
      </c>
      <c r="E73" s="482"/>
      <c r="F73" s="499" t="s">
        <v>1645</v>
      </c>
      <c r="G73" s="494">
        <f>G74+G75</f>
        <v>0</v>
      </c>
    </row>
    <row r="74" spans="1:7" ht="16.5" customHeight="1">
      <c r="A74" s="680"/>
      <c r="B74" s="680"/>
      <c r="C74" s="492"/>
      <c r="D74" s="485"/>
      <c r="E74" s="485" t="s">
        <v>1646</v>
      </c>
      <c r="F74" s="486" t="s">
        <v>1647</v>
      </c>
      <c r="G74" s="501">
        <v>0</v>
      </c>
    </row>
    <row r="75" spans="1:7" ht="16.5" customHeight="1">
      <c r="A75" s="680"/>
      <c r="B75" s="680"/>
      <c r="C75" s="492"/>
      <c r="D75" s="485"/>
      <c r="E75" s="485" t="s">
        <v>1648</v>
      </c>
      <c r="F75" s="486" t="s">
        <v>1649</v>
      </c>
      <c r="G75" s="501">
        <v>0</v>
      </c>
    </row>
    <row r="76" spans="1:7" ht="16.5" customHeight="1">
      <c r="A76" s="680"/>
      <c r="B76" s="680"/>
      <c r="C76" s="492"/>
      <c r="D76" s="482" t="s">
        <v>1650</v>
      </c>
      <c r="E76" s="482"/>
      <c r="F76" s="499" t="s">
        <v>1651</v>
      </c>
      <c r="G76" s="494">
        <f>G77+G78</f>
        <v>0</v>
      </c>
    </row>
    <row r="77" spans="1:7" ht="16.5" customHeight="1">
      <c r="A77" s="680"/>
      <c r="B77" s="680"/>
      <c r="C77" s="492"/>
      <c r="D77" s="485"/>
      <c r="E77" s="485" t="s">
        <v>1652</v>
      </c>
      <c r="F77" s="486" t="s">
        <v>1653</v>
      </c>
      <c r="G77" s="501">
        <v>0</v>
      </c>
    </row>
    <row r="78" spans="1:7" ht="16.5" customHeight="1">
      <c r="A78" s="680"/>
      <c r="B78" s="680"/>
      <c r="C78" s="492"/>
      <c r="D78" s="485"/>
      <c r="E78" s="485" t="s">
        <v>1654</v>
      </c>
      <c r="F78" s="486" t="s">
        <v>1655</v>
      </c>
      <c r="G78" s="501">
        <v>0</v>
      </c>
    </row>
    <row r="79" spans="1:7" ht="25.5" customHeight="1">
      <c r="A79" s="680"/>
      <c r="B79" s="680"/>
      <c r="C79" s="492"/>
      <c r="D79" s="482"/>
      <c r="E79" s="482"/>
      <c r="F79" s="479" t="s">
        <v>1656</v>
      </c>
      <c r="G79" s="497">
        <f>G60+G67+G72</f>
        <v>8500000</v>
      </c>
    </row>
    <row r="80" spans="1:7" ht="25.5" customHeight="1">
      <c r="A80" s="680"/>
      <c r="B80" s="680"/>
      <c r="C80" s="680"/>
      <c r="D80" s="493"/>
      <c r="E80" s="502"/>
      <c r="F80" s="479" t="s">
        <v>1657</v>
      </c>
      <c r="G80" s="497">
        <f>G59+G79</f>
        <v>23970940</v>
      </c>
    </row>
    <row r="81" spans="1:7" s="507" customFormat="1" ht="25.5" customHeight="1">
      <c r="A81" s="503"/>
      <c r="B81" s="503"/>
      <c r="C81" s="503"/>
      <c r="D81" s="503"/>
      <c r="E81" s="504"/>
      <c r="F81" s="505"/>
      <c r="G81" s="506"/>
    </row>
    <row r="82" spans="1:7" s="507" customFormat="1" ht="35.25" customHeight="1">
      <c r="A82" s="691" t="s">
        <v>1658</v>
      </c>
      <c r="B82" s="691"/>
      <c r="C82" s="691"/>
      <c r="D82" s="691"/>
      <c r="E82" s="691"/>
      <c r="F82" s="691"/>
      <c r="G82" s="691"/>
    </row>
    <row r="83" spans="1:7" s="507" customFormat="1" ht="13.5" customHeight="1">
      <c r="A83" s="503"/>
      <c r="B83" s="503"/>
      <c r="C83" s="503"/>
      <c r="D83" s="503"/>
      <c r="E83" s="504"/>
      <c r="F83" s="505"/>
      <c r="G83" s="506"/>
    </row>
    <row r="84" spans="1:7" s="145" customFormat="1" ht="16.5" customHeight="1">
      <c r="A84" s="493">
        <v>15</v>
      </c>
      <c r="B84" s="508"/>
      <c r="C84" s="692" t="s">
        <v>1659</v>
      </c>
      <c r="D84" s="693"/>
      <c r="E84" s="693"/>
      <c r="F84" s="694"/>
      <c r="G84" s="497">
        <v>7132275</v>
      </c>
    </row>
    <row r="85" spans="1:7" s="145" customFormat="1">
      <c r="A85" s="509">
        <v>16</v>
      </c>
      <c r="B85" s="510"/>
      <c r="C85" s="685" t="s">
        <v>1660</v>
      </c>
      <c r="D85" s="686"/>
      <c r="E85" s="686"/>
      <c r="F85" s="687"/>
      <c r="G85" s="511">
        <f>G86+G87</f>
        <v>0</v>
      </c>
    </row>
    <row r="86" spans="1:7" ht="29.25" customHeight="1">
      <c r="A86" s="512"/>
      <c r="B86" s="513" t="s">
        <v>1560</v>
      </c>
      <c r="C86" s="688" t="s">
        <v>1661</v>
      </c>
      <c r="D86" s="689"/>
      <c r="E86" s="689"/>
      <c r="F86" s="690"/>
      <c r="G86" s="514">
        <v>0</v>
      </c>
    </row>
    <row r="87" spans="1:7">
      <c r="A87" s="512"/>
      <c r="B87" s="513" t="s">
        <v>1562</v>
      </c>
      <c r="C87" s="688" t="s">
        <v>1662</v>
      </c>
      <c r="D87" s="689"/>
      <c r="E87" s="689"/>
      <c r="F87" s="690"/>
      <c r="G87" s="514">
        <v>0</v>
      </c>
    </row>
    <row r="88" spans="1:7" s="145" customFormat="1">
      <c r="A88" s="509">
        <v>17</v>
      </c>
      <c r="B88" s="510"/>
      <c r="C88" s="685" t="s">
        <v>1663</v>
      </c>
      <c r="D88" s="686"/>
      <c r="E88" s="686"/>
      <c r="F88" s="687"/>
      <c r="G88" s="511">
        <v>3588507</v>
      </c>
    </row>
  </sheetData>
  <mergeCells count="27">
    <mergeCell ref="C85:F85"/>
    <mergeCell ref="C86:F86"/>
    <mergeCell ref="C87:F87"/>
    <mergeCell ref="C88:F88"/>
    <mergeCell ref="A51:A80"/>
    <mergeCell ref="B51:B59"/>
    <mergeCell ref="B60:B79"/>
    <mergeCell ref="B80:C80"/>
    <mergeCell ref="A82:G82"/>
    <mergeCell ref="C84:F84"/>
    <mergeCell ref="A14:A28"/>
    <mergeCell ref="B14:B21"/>
    <mergeCell ref="B22:B24"/>
    <mergeCell ref="B25:B27"/>
    <mergeCell ref="B28:C28"/>
    <mergeCell ref="A29:A50"/>
    <mergeCell ref="B30:B43"/>
    <mergeCell ref="B44:B46"/>
    <mergeCell ref="B47:B49"/>
    <mergeCell ref="B50:C50"/>
    <mergeCell ref="A1:B1"/>
    <mergeCell ref="C1:D1"/>
    <mergeCell ref="A2:E2"/>
    <mergeCell ref="A4:G4"/>
    <mergeCell ref="A7:A13"/>
    <mergeCell ref="B7:B10"/>
    <mergeCell ref="B13:C13"/>
  </mergeCells>
  <printOptions horizontalCentered="1"/>
  <pageMargins left="0.19685039370078741" right="0.19685039370078741" top="0.47244094488188981" bottom="0.47244094488188981" header="0.15748031496062992" footer="0.19685039370078741"/>
  <pageSetup paperSize="9" scale="80" orientation="portrait" r:id="rId1"/>
  <headerFooter>
    <oddFooter>&amp;C&amp;P/&amp;N . oldal</oddFooter>
  </headerFooter>
  <rowBreaks count="1" manualBreakCount="1">
    <brk id="50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dimension ref="A1:M174"/>
  <sheetViews>
    <sheetView zoomScaleNormal="100" zoomScaleSheetLayoutView="100" workbookViewId="0">
      <pane xSplit="3" ySplit="1" topLeftCell="D50" activePane="bottomRight" state="frozen"/>
      <selection pane="topRight" activeCell="D1" sqref="D1"/>
      <selection pane="bottomLeft" activeCell="A2" sqref="A2"/>
      <selection pane="bottomRight" activeCell="K71" sqref="K71"/>
    </sheetView>
  </sheetViews>
  <sheetFormatPr defaultColWidth="11.5703125" defaultRowHeight="12.75"/>
  <cols>
    <col min="1" max="1" width="6.28515625" style="289" bestFit="1" customWidth="1"/>
    <col min="2" max="2" width="13.5703125" style="280" bestFit="1" customWidth="1"/>
    <col min="3" max="3" width="42.28515625" style="133" customWidth="1"/>
    <col min="4" max="4" width="12.5703125" style="133" customWidth="1"/>
    <col min="5" max="5" width="13.85546875" style="133" customWidth="1"/>
    <col min="6" max="6" width="12.5703125" style="133" customWidth="1"/>
    <col min="7" max="7" width="12.5703125" style="133" hidden="1" customWidth="1"/>
    <col min="8" max="13" width="12.5703125" style="133" customWidth="1"/>
    <col min="14" max="16384" width="11.5703125" style="133"/>
  </cols>
  <sheetData>
    <row r="1" spans="1:13" s="258" customFormat="1" ht="38.25">
      <c r="A1" s="395" t="s">
        <v>859</v>
      </c>
      <c r="B1" s="395" t="s">
        <v>549</v>
      </c>
      <c r="C1" s="395" t="s">
        <v>58</v>
      </c>
      <c r="D1" s="395" t="s">
        <v>216</v>
      </c>
      <c r="E1" s="395" t="s">
        <v>1372</v>
      </c>
      <c r="F1" s="395" t="s">
        <v>1373</v>
      </c>
      <c r="G1" s="395" t="s">
        <v>1371</v>
      </c>
      <c r="H1" s="395" t="s">
        <v>1374</v>
      </c>
      <c r="I1" s="395" t="s">
        <v>1375</v>
      </c>
      <c r="J1" s="395" t="s">
        <v>1376</v>
      </c>
      <c r="K1" s="395" t="s">
        <v>1377</v>
      </c>
      <c r="L1" s="395" t="s">
        <v>538</v>
      </c>
      <c r="M1" s="395" t="s">
        <v>1378</v>
      </c>
    </row>
    <row r="2" spans="1:13">
      <c r="A2" s="396"/>
      <c r="B2" s="397" t="s">
        <v>553</v>
      </c>
      <c r="C2" s="140" t="s">
        <v>554</v>
      </c>
      <c r="D2" s="135">
        <f>SUM(E2:M2)</f>
        <v>74068</v>
      </c>
      <c r="E2" s="135">
        <f>23889+1600</f>
        <v>25489</v>
      </c>
      <c r="F2" s="135">
        <v>9852</v>
      </c>
      <c r="G2" s="135"/>
      <c r="H2" s="135"/>
      <c r="I2" s="135">
        <v>38727</v>
      </c>
      <c r="J2" s="135"/>
      <c r="K2" s="135"/>
      <c r="L2" s="135"/>
      <c r="M2" s="135"/>
    </row>
    <row r="3" spans="1:13">
      <c r="A3" s="396"/>
      <c r="B3" s="397" t="s">
        <v>555</v>
      </c>
      <c r="C3" s="140" t="s">
        <v>556</v>
      </c>
      <c r="D3" s="135">
        <f t="shared" ref="D3:D7" si="0">SUM(E3:M3)</f>
        <v>2030</v>
      </c>
      <c r="E3" s="135">
        <v>1015</v>
      </c>
      <c r="F3" s="135"/>
      <c r="G3" s="135"/>
      <c r="H3" s="135"/>
      <c r="I3" s="135">
        <v>1015</v>
      </c>
      <c r="J3" s="135"/>
      <c r="K3" s="135"/>
      <c r="L3" s="135"/>
      <c r="M3" s="135"/>
    </row>
    <row r="4" spans="1:13">
      <c r="A4" s="396"/>
      <c r="B4" s="397" t="s">
        <v>557</v>
      </c>
      <c r="C4" s="140" t="s">
        <v>558</v>
      </c>
      <c r="D4" s="135">
        <f t="shared" si="0"/>
        <v>0</v>
      </c>
      <c r="E4" s="135"/>
      <c r="F4" s="135"/>
      <c r="G4" s="135"/>
      <c r="H4" s="135"/>
      <c r="I4" s="135"/>
      <c r="J4" s="135"/>
      <c r="K4" s="135"/>
      <c r="L4" s="135"/>
      <c r="M4" s="135"/>
    </row>
    <row r="5" spans="1:13">
      <c r="A5" s="396"/>
      <c r="B5" s="397" t="s">
        <v>559</v>
      </c>
      <c r="C5" s="140" t="s">
        <v>560</v>
      </c>
      <c r="D5" s="135">
        <f t="shared" si="0"/>
        <v>4904</v>
      </c>
      <c r="E5" s="135">
        <v>1370</v>
      </c>
      <c r="F5" s="135">
        <v>647</v>
      </c>
      <c r="G5" s="135"/>
      <c r="H5" s="135"/>
      <c r="I5" s="135">
        <v>2887</v>
      </c>
      <c r="J5" s="135"/>
      <c r="K5" s="135"/>
      <c r="L5" s="135"/>
      <c r="M5" s="135"/>
    </row>
    <row r="6" spans="1:13">
      <c r="A6" s="396"/>
      <c r="B6" s="397" t="s">
        <v>561</v>
      </c>
      <c r="C6" s="140" t="s">
        <v>562</v>
      </c>
      <c r="D6" s="135">
        <f t="shared" si="0"/>
        <v>0</v>
      </c>
      <c r="E6" s="135"/>
      <c r="F6" s="135"/>
      <c r="G6" s="135"/>
      <c r="H6" s="135"/>
      <c r="I6" s="135"/>
      <c r="J6" s="135"/>
      <c r="K6" s="135"/>
      <c r="L6" s="135"/>
      <c r="M6" s="135"/>
    </row>
    <row r="7" spans="1:13">
      <c r="A7" s="396"/>
      <c r="B7" s="397" t="s">
        <v>563</v>
      </c>
      <c r="C7" s="140" t="s">
        <v>564</v>
      </c>
      <c r="D7" s="135">
        <f t="shared" si="0"/>
        <v>0</v>
      </c>
      <c r="E7" s="135"/>
      <c r="F7" s="135"/>
      <c r="G7" s="135"/>
      <c r="H7" s="135"/>
      <c r="I7" s="135"/>
      <c r="J7" s="135"/>
      <c r="K7" s="135"/>
      <c r="L7" s="135"/>
      <c r="M7" s="135"/>
    </row>
    <row r="8" spans="1:13">
      <c r="A8" s="398" t="s">
        <v>860</v>
      </c>
      <c r="B8" s="399" t="s">
        <v>565</v>
      </c>
      <c r="C8" s="136" t="s">
        <v>566</v>
      </c>
      <c r="D8" s="137">
        <f>SUM(D2:D7)</f>
        <v>81002</v>
      </c>
      <c r="E8" s="137">
        <f t="shared" ref="E8:M8" si="1">SUM(E2:E7)</f>
        <v>27874</v>
      </c>
      <c r="F8" s="137">
        <f t="shared" si="1"/>
        <v>10499</v>
      </c>
      <c r="G8" s="137">
        <f t="shared" si="1"/>
        <v>0</v>
      </c>
      <c r="H8" s="137">
        <f t="shared" si="1"/>
        <v>0</v>
      </c>
      <c r="I8" s="137">
        <f t="shared" si="1"/>
        <v>42629</v>
      </c>
      <c r="J8" s="137">
        <f t="shared" si="1"/>
        <v>0</v>
      </c>
      <c r="K8" s="137">
        <f t="shared" si="1"/>
        <v>0</v>
      </c>
      <c r="L8" s="137">
        <f t="shared" si="1"/>
        <v>0</v>
      </c>
      <c r="M8" s="137">
        <f t="shared" si="1"/>
        <v>0</v>
      </c>
    </row>
    <row r="9" spans="1:13">
      <c r="A9" s="400" t="s">
        <v>861</v>
      </c>
      <c r="B9" s="401" t="s">
        <v>567</v>
      </c>
      <c r="C9" s="136" t="s">
        <v>568</v>
      </c>
      <c r="D9" s="137">
        <f>SUM(E9:M9)</f>
        <v>0</v>
      </c>
      <c r="E9" s="137"/>
      <c r="F9" s="137"/>
      <c r="G9" s="137"/>
      <c r="H9" s="137"/>
      <c r="I9" s="137"/>
      <c r="J9" s="137"/>
      <c r="K9" s="137"/>
      <c r="L9" s="137"/>
      <c r="M9" s="137"/>
    </row>
    <row r="10" spans="1:13">
      <c r="A10" s="400" t="s">
        <v>862</v>
      </c>
      <c r="B10" s="401" t="s">
        <v>569</v>
      </c>
      <c r="C10" s="136" t="s">
        <v>570</v>
      </c>
      <c r="D10" s="137">
        <f>SUM(E10:M10)</f>
        <v>0</v>
      </c>
      <c r="E10" s="137"/>
      <c r="F10" s="137"/>
      <c r="G10" s="137"/>
      <c r="H10" s="137"/>
      <c r="I10" s="137"/>
      <c r="J10" s="137"/>
      <c r="K10" s="137"/>
      <c r="L10" s="137"/>
      <c r="M10" s="137"/>
    </row>
    <row r="11" spans="1:13">
      <c r="A11" s="396"/>
      <c r="B11" s="397" t="s">
        <v>571</v>
      </c>
      <c r="C11" s="140" t="s">
        <v>572</v>
      </c>
      <c r="D11" s="135">
        <f>SUM(E11:M11)</f>
        <v>4828</v>
      </c>
      <c r="E11" s="135">
        <v>1888</v>
      </c>
      <c r="F11" s="135">
        <v>1100</v>
      </c>
      <c r="G11" s="135"/>
      <c r="H11" s="135"/>
      <c r="I11" s="135">
        <v>1840</v>
      </c>
      <c r="J11" s="135"/>
      <c r="K11" s="135"/>
      <c r="L11" s="135"/>
      <c r="M11" s="135"/>
    </row>
    <row r="12" spans="1:13">
      <c r="A12" s="396"/>
      <c r="B12" s="397" t="s">
        <v>573</v>
      </c>
      <c r="C12" s="140" t="s">
        <v>574</v>
      </c>
      <c r="D12" s="135">
        <f>SUM(E12:M12)</f>
        <v>600</v>
      </c>
      <c r="E12" s="135"/>
      <c r="F12" s="135">
        <v>300</v>
      </c>
      <c r="G12" s="135"/>
      <c r="H12" s="135"/>
      <c r="I12" s="135">
        <v>300</v>
      </c>
      <c r="J12" s="135"/>
      <c r="K12" s="135"/>
      <c r="L12" s="135"/>
      <c r="M12" s="135"/>
    </row>
    <row r="13" spans="1:13">
      <c r="A13" s="398" t="s">
        <v>863</v>
      </c>
      <c r="B13" s="399" t="s">
        <v>575</v>
      </c>
      <c r="C13" s="136" t="s">
        <v>576</v>
      </c>
      <c r="D13" s="137">
        <f>SUM(D11:D12)</f>
        <v>5428</v>
      </c>
      <c r="E13" s="137">
        <f t="shared" ref="E13:M13" si="2">SUM(E11:E12)</f>
        <v>1888</v>
      </c>
      <c r="F13" s="137">
        <f t="shared" si="2"/>
        <v>1400</v>
      </c>
      <c r="G13" s="137">
        <f t="shared" si="2"/>
        <v>0</v>
      </c>
      <c r="H13" s="137">
        <f t="shared" si="2"/>
        <v>0</v>
      </c>
      <c r="I13" s="137">
        <f t="shared" si="2"/>
        <v>2140</v>
      </c>
      <c r="J13" s="137">
        <f t="shared" si="2"/>
        <v>0</v>
      </c>
      <c r="K13" s="137">
        <f t="shared" si="2"/>
        <v>0</v>
      </c>
      <c r="L13" s="137">
        <f t="shared" si="2"/>
        <v>0</v>
      </c>
      <c r="M13" s="137">
        <f t="shared" si="2"/>
        <v>0</v>
      </c>
    </row>
    <row r="14" spans="1:13">
      <c r="A14" s="400" t="s">
        <v>864</v>
      </c>
      <c r="B14" s="401" t="s">
        <v>577</v>
      </c>
      <c r="C14" s="136" t="s">
        <v>578</v>
      </c>
      <c r="D14" s="137">
        <f>SUM(E14:M14)</f>
        <v>0</v>
      </c>
      <c r="E14" s="137"/>
      <c r="F14" s="137"/>
      <c r="G14" s="137"/>
      <c r="H14" s="137"/>
      <c r="I14" s="137"/>
      <c r="J14" s="137"/>
      <c r="K14" s="137"/>
      <c r="L14" s="137"/>
      <c r="M14" s="137"/>
    </row>
    <row r="15" spans="1:13">
      <c r="A15" s="400" t="s">
        <v>865</v>
      </c>
      <c r="B15" s="401" t="s">
        <v>579</v>
      </c>
      <c r="C15" s="136" t="s">
        <v>580</v>
      </c>
      <c r="D15" s="137">
        <f>SUM(E15:M15)</f>
        <v>4837</v>
      </c>
      <c r="E15" s="137">
        <v>1349</v>
      </c>
      <c r="F15" s="137">
        <v>432</v>
      </c>
      <c r="G15" s="137"/>
      <c r="H15" s="137"/>
      <c r="I15" s="137">
        <v>3056</v>
      </c>
      <c r="J15" s="137"/>
      <c r="K15" s="137"/>
      <c r="L15" s="137"/>
      <c r="M15" s="137"/>
    </row>
    <row r="16" spans="1:13">
      <c r="A16" s="396"/>
      <c r="B16" s="397" t="s">
        <v>582</v>
      </c>
      <c r="C16" s="140" t="s">
        <v>583</v>
      </c>
      <c r="D16" s="135">
        <f t="shared" ref="D16:D22" si="3">SUM(E16:M16)</f>
        <v>0</v>
      </c>
      <c r="E16" s="135"/>
      <c r="F16" s="135"/>
      <c r="G16" s="135"/>
      <c r="H16" s="135"/>
      <c r="I16" s="135"/>
      <c r="J16" s="135"/>
      <c r="K16" s="135"/>
      <c r="L16" s="135"/>
      <c r="M16" s="135"/>
    </row>
    <row r="17" spans="1:13">
      <c r="A17" s="396"/>
      <c r="B17" s="397" t="s">
        <v>584</v>
      </c>
      <c r="C17" s="140" t="s">
        <v>585</v>
      </c>
      <c r="D17" s="135">
        <f t="shared" si="3"/>
        <v>0</v>
      </c>
      <c r="E17" s="135"/>
      <c r="F17" s="135"/>
      <c r="G17" s="135"/>
      <c r="H17" s="135"/>
      <c r="I17" s="135"/>
      <c r="J17" s="135"/>
      <c r="K17" s="135"/>
      <c r="L17" s="135"/>
      <c r="M17" s="135"/>
    </row>
    <row r="18" spans="1:13">
      <c r="A18" s="396"/>
      <c r="B18" s="397" t="s">
        <v>586</v>
      </c>
      <c r="C18" s="140" t="s">
        <v>587</v>
      </c>
      <c r="D18" s="135">
        <f t="shared" si="3"/>
        <v>3744</v>
      </c>
      <c r="E18" s="135">
        <v>864</v>
      </c>
      <c r="F18" s="135">
        <v>576</v>
      </c>
      <c r="G18" s="135"/>
      <c r="H18" s="135"/>
      <c r="I18" s="135">
        <v>2304</v>
      </c>
      <c r="J18" s="135"/>
      <c r="K18" s="135"/>
      <c r="L18" s="135"/>
      <c r="M18" s="135"/>
    </row>
    <row r="19" spans="1:13">
      <c r="A19" s="396"/>
      <c r="B19" s="397" t="s">
        <v>588</v>
      </c>
      <c r="C19" s="140" t="s">
        <v>589</v>
      </c>
      <c r="D19" s="135">
        <f t="shared" si="3"/>
        <v>0</v>
      </c>
      <c r="E19" s="135"/>
      <c r="F19" s="135"/>
      <c r="G19" s="135"/>
      <c r="H19" s="135"/>
      <c r="I19" s="135"/>
      <c r="J19" s="135"/>
      <c r="K19" s="135"/>
      <c r="L19" s="135"/>
      <c r="M19" s="135"/>
    </row>
    <row r="20" spans="1:13">
      <c r="A20" s="396"/>
      <c r="B20" s="397" t="s">
        <v>590</v>
      </c>
      <c r="C20" s="140" t="s">
        <v>591</v>
      </c>
      <c r="D20" s="135">
        <f t="shared" si="3"/>
        <v>0</v>
      </c>
      <c r="E20" s="135"/>
      <c r="F20" s="135"/>
      <c r="G20" s="135"/>
      <c r="H20" s="135"/>
      <c r="I20" s="135"/>
      <c r="J20" s="135"/>
      <c r="K20" s="135"/>
      <c r="L20" s="135"/>
      <c r="M20" s="135"/>
    </row>
    <row r="21" spans="1:13">
      <c r="A21" s="396"/>
      <c r="B21" s="397" t="s">
        <v>592</v>
      </c>
      <c r="C21" s="140" t="s">
        <v>593</v>
      </c>
      <c r="D21" s="135">
        <f t="shared" si="3"/>
        <v>0</v>
      </c>
      <c r="E21" s="135"/>
      <c r="F21" s="135"/>
      <c r="G21" s="135"/>
      <c r="H21" s="135"/>
      <c r="I21" s="135"/>
      <c r="J21" s="135"/>
      <c r="K21" s="135"/>
      <c r="L21" s="135"/>
      <c r="M21" s="135"/>
    </row>
    <row r="22" spans="1:13">
      <c r="A22" s="396"/>
      <c r="B22" s="397" t="s">
        <v>594</v>
      </c>
      <c r="C22" s="140" t="s">
        <v>595</v>
      </c>
      <c r="D22" s="135">
        <f t="shared" si="3"/>
        <v>0</v>
      </c>
      <c r="E22" s="135"/>
      <c r="F22" s="135"/>
      <c r="G22" s="135"/>
      <c r="H22" s="135"/>
      <c r="I22" s="135"/>
      <c r="J22" s="135"/>
      <c r="K22" s="135"/>
      <c r="L22" s="135"/>
      <c r="M22" s="135"/>
    </row>
    <row r="23" spans="1:13">
      <c r="A23" s="398" t="s">
        <v>866</v>
      </c>
      <c r="B23" s="399" t="s">
        <v>596</v>
      </c>
      <c r="C23" s="136" t="s">
        <v>597</v>
      </c>
      <c r="D23" s="137">
        <f>SUM(D16:D22)</f>
        <v>3744</v>
      </c>
      <c r="E23" s="137">
        <f t="shared" ref="E23:M23" si="4">SUM(E16:E22)</f>
        <v>864</v>
      </c>
      <c r="F23" s="137">
        <f t="shared" si="4"/>
        <v>576</v>
      </c>
      <c r="G23" s="137">
        <f t="shared" si="4"/>
        <v>0</v>
      </c>
      <c r="H23" s="137">
        <f t="shared" si="4"/>
        <v>0</v>
      </c>
      <c r="I23" s="137">
        <f t="shared" si="4"/>
        <v>2304</v>
      </c>
      <c r="J23" s="137">
        <f t="shared" si="4"/>
        <v>0</v>
      </c>
      <c r="K23" s="137">
        <f t="shared" si="4"/>
        <v>0</v>
      </c>
      <c r="L23" s="137">
        <f t="shared" si="4"/>
        <v>0</v>
      </c>
      <c r="M23" s="137">
        <f t="shared" si="4"/>
        <v>0</v>
      </c>
    </row>
    <row r="24" spans="1:13">
      <c r="A24" s="400" t="s">
        <v>867</v>
      </c>
      <c r="B24" s="401" t="s">
        <v>598</v>
      </c>
      <c r="C24" s="136" t="s">
        <v>599</v>
      </c>
      <c r="D24" s="137">
        <f>SUM(E24:M24)</f>
        <v>0</v>
      </c>
      <c r="E24" s="137"/>
      <c r="F24" s="137"/>
      <c r="G24" s="137"/>
      <c r="H24" s="137"/>
      <c r="I24" s="137"/>
      <c r="J24" s="137"/>
      <c r="K24" s="137"/>
      <c r="L24" s="137"/>
      <c r="M24" s="137"/>
    </row>
    <row r="25" spans="1:13">
      <c r="A25" s="400" t="s">
        <v>868</v>
      </c>
      <c r="B25" s="401" t="s">
        <v>600</v>
      </c>
      <c r="C25" s="136" t="s">
        <v>601</v>
      </c>
      <c r="D25" s="137">
        <f>SUM(E25:M25)</f>
        <v>3276</v>
      </c>
      <c r="E25" s="137">
        <v>1800</v>
      </c>
      <c r="F25" s="137">
        <v>696</v>
      </c>
      <c r="G25" s="137"/>
      <c r="H25" s="137"/>
      <c r="I25" s="137">
        <v>780</v>
      </c>
      <c r="J25" s="137"/>
      <c r="K25" s="137"/>
      <c r="L25" s="137"/>
      <c r="M25" s="137"/>
    </row>
    <row r="26" spans="1:13">
      <c r="A26" s="400" t="s">
        <v>869</v>
      </c>
      <c r="B26" s="401" t="s">
        <v>603</v>
      </c>
      <c r="C26" s="136" t="s">
        <v>604</v>
      </c>
      <c r="D26" s="137">
        <f>SUM(E26:M26)</f>
        <v>1340</v>
      </c>
      <c r="E26" s="137">
        <v>600</v>
      </c>
      <c r="F26" s="137"/>
      <c r="G26" s="137"/>
      <c r="H26" s="137"/>
      <c r="I26" s="137">
        <v>740</v>
      </c>
      <c r="J26" s="137"/>
      <c r="K26" s="137"/>
      <c r="L26" s="137"/>
      <c r="M26" s="137"/>
    </row>
    <row r="27" spans="1:13">
      <c r="A27" s="396"/>
      <c r="B27" s="397" t="s">
        <v>605</v>
      </c>
      <c r="C27" s="140" t="s">
        <v>606</v>
      </c>
      <c r="D27" s="135">
        <f t="shared" ref="D27:D28" si="5">SUM(E27:M27)</f>
        <v>0</v>
      </c>
      <c r="E27" s="135"/>
      <c r="F27" s="135"/>
      <c r="G27" s="135"/>
      <c r="H27" s="135"/>
      <c r="I27" s="135"/>
      <c r="J27" s="135"/>
      <c r="K27" s="135"/>
      <c r="L27" s="135"/>
      <c r="M27" s="135"/>
    </row>
    <row r="28" spans="1:13">
      <c r="A28" s="396"/>
      <c r="B28" s="397" t="s">
        <v>607</v>
      </c>
      <c r="C28" s="140" t="s">
        <v>608</v>
      </c>
      <c r="D28" s="135">
        <f t="shared" si="5"/>
        <v>0</v>
      </c>
      <c r="E28" s="135"/>
      <c r="F28" s="135"/>
      <c r="G28" s="135"/>
      <c r="H28" s="135"/>
      <c r="I28" s="135"/>
      <c r="J28" s="135"/>
      <c r="K28" s="135"/>
      <c r="L28" s="135"/>
      <c r="M28" s="135"/>
    </row>
    <row r="29" spans="1:13">
      <c r="A29" s="398" t="s">
        <v>870</v>
      </c>
      <c r="B29" s="399" t="s">
        <v>609</v>
      </c>
      <c r="C29" s="136" t="s">
        <v>610</v>
      </c>
      <c r="D29" s="137">
        <f>SUM(D27:D28)</f>
        <v>0</v>
      </c>
      <c r="E29" s="137">
        <f t="shared" ref="E29:M29" si="6">SUM(E27:E28)</f>
        <v>0</v>
      </c>
      <c r="F29" s="137">
        <f t="shared" si="6"/>
        <v>0</v>
      </c>
      <c r="G29" s="137">
        <f t="shared" si="6"/>
        <v>0</v>
      </c>
      <c r="H29" s="137">
        <f t="shared" si="6"/>
        <v>0</v>
      </c>
      <c r="I29" s="137">
        <f t="shared" si="6"/>
        <v>0</v>
      </c>
      <c r="J29" s="137">
        <f t="shared" si="6"/>
        <v>0</v>
      </c>
      <c r="K29" s="137">
        <f t="shared" si="6"/>
        <v>0</v>
      </c>
      <c r="L29" s="137">
        <f t="shared" si="6"/>
        <v>0</v>
      </c>
      <c r="M29" s="137">
        <f t="shared" si="6"/>
        <v>0</v>
      </c>
    </row>
    <row r="30" spans="1:13">
      <c r="A30" s="400" t="s">
        <v>871</v>
      </c>
      <c r="B30" s="401" t="s">
        <v>611</v>
      </c>
      <c r="C30" s="136" t="s">
        <v>612</v>
      </c>
      <c r="D30" s="137">
        <f>SUM(E30:M30)</f>
        <v>950</v>
      </c>
      <c r="E30" s="137">
        <v>300</v>
      </c>
      <c r="F30" s="137">
        <v>150</v>
      </c>
      <c r="G30" s="137"/>
      <c r="H30" s="137"/>
      <c r="I30" s="137">
        <v>500</v>
      </c>
      <c r="J30" s="137"/>
      <c r="K30" s="137"/>
      <c r="L30" s="137"/>
      <c r="M30" s="137"/>
    </row>
    <row r="31" spans="1:13">
      <c r="A31" s="396"/>
      <c r="B31" s="397" t="s">
        <v>613</v>
      </c>
      <c r="C31" s="140" t="s">
        <v>614</v>
      </c>
      <c r="D31" s="135">
        <f t="shared" ref="D31:D36" si="7">SUM(E31:M31)</f>
        <v>200</v>
      </c>
      <c r="E31" s="135">
        <v>200</v>
      </c>
      <c r="F31" s="135"/>
      <c r="G31" s="135"/>
      <c r="H31" s="135"/>
      <c r="I31" s="135"/>
      <c r="J31" s="135"/>
      <c r="K31" s="135"/>
      <c r="L31" s="135"/>
      <c r="M31" s="135"/>
    </row>
    <row r="32" spans="1:13">
      <c r="A32" s="396"/>
      <c r="B32" s="397" t="s">
        <v>615</v>
      </c>
      <c r="C32" s="140" t="s">
        <v>616</v>
      </c>
      <c r="D32" s="135">
        <f t="shared" si="7"/>
        <v>0</v>
      </c>
      <c r="E32" s="135"/>
      <c r="F32" s="135"/>
      <c r="G32" s="135"/>
      <c r="H32" s="135"/>
      <c r="I32" s="135"/>
      <c r="J32" s="135"/>
      <c r="K32" s="135"/>
      <c r="L32" s="135"/>
      <c r="M32" s="135"/>
    </row>
    <row r="33" spans="1:13">
      <c r="A33" s="396"/>
      <c r="B33" s="397" t="s">
        <v>617</v>
      </c>
      <c r="C33" s="140" t="s">
        <v>618</v>
      </c>
      <c r="D33" s="135">
        <f t="shared" si="7"/>
        <v>0</v>
      </c>
      <c r="E33" s="135"/>
      <c r="F33" s="135"/>
      <c r="G33" s="135"/>
      <c r="H33" s="135"/>
      <c r="I33" s="135"/>
      <c r="J33" s="135"/>
      <c r="K33" s="135"/>
      <c r="L33" s="135"/>
      <c r="M33" s="135"/>
    </row>
    <row r="34" spans="1:13">
      <c r="A34" s="396"/>
      <c r="B34" s="397" t="s">
        <v>619</v>
      </c>
      <c r="C34" s="140" t="s">
        <v>620</v>
      </c>
      <c r="D34" s="135">
        <f t="shared" si="7"/>
        <v>0</v>
      </c>
      <c r="E34" s="135"/>
      <c r="F34" s="135"/>
      <c r="G34" s="135"/>
      <c r="H34" s="135"/>
      <c r="I34" s="135"/>
      <c r="J34" s="135"/>
      <c r="K34" s="135"/>
      <c r="L34" s="135"/>
      <c r="M34" s="135"/>
    </row>
    <row r="35" spans="1:13">
      <c r="A35" s="396"/>
      <c r="B35" s="397" t="s">
        <v>621</v>
      </c>
      <c r="C35" s="140" t="s">
        <v>622</v>
      </c>
      <c r="D35" s="135">
        <f t="shared" si="7"/>
        <v>0</v>
      </c>
      <c r="E35" s="135"/>
      <c r="F35" s="135"/>
      <c r="G35" s="135"/>
      <c r="H35" s="135"/>
      <c r="I35" s="135"/>
      <c r="J35" s="135"/>
      <c r="K35" s="135"/>
      <c r="L35" s="135"/>
      <c r="M35" s="135"/>
    </row>
    <row r="36" spans="1:13">
      <c r="A36" s="396"/>
      <c r="B36" s="397" t="s">
        <v>623</v>
      </c>
      <c r="C36" s="140" t="s">
        <v>624</v>
      </c>
      <c r="D36" s="135">
        <f t="shared" si="7"/>
        <v>0</v>
      </c>
      <c r="E36" s="135"/>
      <c r="F36" s="135"/>
      <c r="G36" s="135"/>
      <c r="H36" s="135"/>
      <c r="I36" s="135"/>
      <c r="J36" s="135"/>
      <c r="K36" s="135"/>
      <c r="L36" s="135"/>
      <c r="M36" s="135"/>
    </row>
    <row r="37" spans="1:13">
      <c r="A37" s="398" t="s">
        <v>872</v>
      </c>
      <c r="B37" s="399" t="s">
        <v>625</v>
      </c>
      <c r="C37" s="136" t="s">
        <v>626</v>
      </c>
      <c r="D37" s="137">
        <f>SUM(D31:D36)</f>
        <v>200</v>
      </c>
      <c r="E37" s="137">
        <f t="shared" ref="E37:M37" si="8">SUM(E31:E36)</f>
        <v>200</v>
      </c>
      <c r="F37" s="137">
        <f t="shared" si="8"/>
        <v>0</v>
      </c>
      <c r="G37" s="137">
        <f t="shared" si="8"/>
        <v>0</v>
      </c>
      <c r="H37" s="137">
        <f t="shared" si="8"/>
        <v>0</v>
      </c>
      <c r="I37" s="137">
        <f t="shared" si="8"/>
        <v>0</v>
      </c>
      <c r="J37" s="137">
        <f t="shared" si="8"/>
        <v>0</v>
      </c>
      <c r="K37" s="137">
        <f t="shared" si="8"/>
        <v>0</v>
      </c>
      <c r="L37" s="137">
        <f t="shared" si="8"/>
        <v>0</v>
      </c>
      <c r="M37" s="137">
        <f t="shared" si="8"/>
        <v>0</v>
      </c>
    </row>
    <row r="38" spans="1:13">
      <c r="A38" s="402" t="s">
        <v>873</v>
      </c>
      <c r="B38" s="403" t="s">
        <v>627</v>
      </c>
      <c r="C38" s="138" t="s">
        <v>628</v>
      </c>
      <c r="D38" s="139">
        <f>D8+D9+D10+D13+D14+D15+D23+D24+D25+D26+D29+D30+D37</f>
        <v>100777</v>
      </c>
      <c r="E38" s="139">
        <f t="shared" ref="E38:M38" si="9">E8+E9+E10+E13+E14+E15+E23+E24+E25+E26+E29+E30+E37</f>
        <v>34875</v>
      </c>
      <c r="F38" s="139">
        <f t="shared" si="9"/>
        <v>13753</v>
      </c>
      <c r="G38" s="139">
        <f t="shared" si="9"/>
        <v>0</v>
      </c>
      <c r="H38" s="139">
        <f t="shared" si="9"/>
        <v>0</v>
      </c>
      <c r="I38" s="139">
        <f t="shared" si="9"/>
        <v>52149</v>
      </c>
      <c r="J38" s="139">
        <f t="shared" si="9"/>
        <v>0</v>
      </c>
      <c r="K38" s="139">
        <f t="shared" si="9"/>
        <v>0</v>
      </c>
      <c r="L38" s="139">
        <f t="shared" si="9"/>
        <v>0</v>
      </c>
      <c r="M38" s="139">
        <f t="shared" si="9"/>
        <v>0</v>
      </c>
    </row>
    <row r="39" spans="1:13">
      <c r="A39" s="396"/>
      <c r="B39" s="397" t="s">
        <v>629</v>
      </c>
      <c r="C39" s="140" t="s">
        <v>630</v>
      </c>
      <c r="D39" s="135">
        <f>SUM(E39:M39)</f>
        <v>0</v>
      </c>
      <c r="E39" s="135"/>
      <c r="F39" s="135"/>
      <c r="G39" s="135"/>
      <c r="H39" s="135"/>
      <c r="I39" s="135"/>
      <c r="J39" s="135"/>
      <c r="K39" s="135"/>
      <c r="L39" s="135"/>
      <c r="M39" s="135"/>
    </row>
    <row r="40" spans="1:13">
      <c r="A40" s="396"/>
      <c r="B40" s="397" t="s">
        <v>631</v>
      </c>
      <c r="C40" s="140" t="s">
        <v>632</v>
      </c>
      <c r="D40" s="135">
        <f>SUM(E40:M40)</f>
        <v>0</v>
      </c>
      <c r="E40" s="135"/>
      <c r="F40" s="135"/>
      <c r="G40" s="135"/>
      <c r="H40" s="135"/>
      <c r="I40" s="135"/>
      <c r="J40" s="135"/>
      <c r="K40" s="135"/>
      <c r="L40" s="135"/>
      <c r="M40" s="135"/>
    </row>
    <row r="41" spans="1:13">
      <c r="A41" s="398" t="s">
        <v>874</v>
      </c>
      <c r="B41" s="399" t="s">
        <v>633</v>
      </c>
      <c r="C41" s="136" t="s">
        <v>634</v>
      </c>
      <c r="D41" s="137">
        <f>SUM(D39:D40)</f>
        <v>0</v>
      </c>
      <c r="E41" s="137">
        <f t="shared" ref="E41:M41" si="10">SUM(E39:E40)</f>
        <v>0</v>
      </c>
      <c r="F41" s="137">
        <f t="shared" si="10"/>
        <v>0</v>
      </c>
      <c r="G41" s="137">
        <f t="shared" si="10"/>
        <v>0</v>
      </c>
      <c r="H41" s="137">
        <f t="shared" si="10"/>
        <v>0</v>
      </c>
      <c r="I41" s="137">
        <f t="shared" si="10"/>
        <v>0</v>
      </c>
      <c r="J41" s="137">
        <f t="shared" si="10"/>
        <v>0</v>
      </c>
      <c r="K41" s="137">
        <f t="shared" si="10"/>
        <v>0</v>
      </c>
      <c r="L41" s="137">
        <f t="shared" si="10"/>
        <v>0</v>
      </c>
      <c r="M41" s="137">
        <f t="shared" si="10"/>
        <v>0</v>
      </c>
    </row>
    <row r="42" spans="1:13">
      <c r="A42" s="396"/>
      <c r="B42" s="397" t="s">
        <v>635</v>
      </c>
      <c r="C42" s="140" t="s">
        <v>636</v>
      </c>
      <c r="D42" s="135">
        <f>SUM(E42:M42)</f>
        <v>5500</v>
      </c>
      <c r="E42" s="135">
        <v>5500</v>
      </c>
      <c r="F42" s="135"/>
      <c r="G42" s="135"/>
      <c r="H42" s="135"/>
      <c r="I42" s="135"/>
      <c r="J42" s="135"/>
      <c r="K42" s="135"/>
      <c r="L42" s="135"/>
      <c r="M42" s="135"/>
    </row>
    <row r="43" spans="1:13">
      <c r="A43" s="396"/>
      <c r="B43" s="397" t="s">
        <v>638</v>
      </c>
      <c r="C43" s="140" t="s">
        <v>639</v>
      </c>
      <c r="D43" s="135">
        <f>SUM(E43:M43)</f>
        <v>0</v>
      </c>
      <c r="E43" s="135"/>
      <c r="F43" s="135"/>
      <c r="G43" s="135"/>
      <c r="H43" s="135"/>
      <c r="I43" s="135"/>
      <c r="J43" s="135"/>
      <c r="K43" s="135"/>
      <c r="L43" s="135"/>
      <c r="M43" s="135"/>
    </row>
    <row r="44" spans="1:13">
      <c r="A44" s="398" t="s">
        <v>875</v>
      </c>
      <c r="B44" s="399" t="s">
        <v>640</v>
      </c>
      <c r="C44" s="136" t="s">
        <v>641</v>
      </c>
      <c r="D44" s="137">
        <f>SUM(D42:D43)</f>
        <v>5500</v>
      </c>
      <c r="E44" s="137">
        <f t="shared" ref="E44:M44" si="11">SUM(E42:E43)</f>
        <v>5500</v>
      </c>
      <c r="F44" s="137">
        <f t="shared" si="11"/>
        <v>0</v>
      </c>
      <c r="G44" s="137">
        <f t="shared" si="11"/>
        <v>0</v>
      </c>
      <c r="H44" s="137">
        <f t="shared" si="11"/>
        <v>0</v>
      </c>
      <c r="I44" s="137">
        <f t="shared" si="11"/>
        <v>0</v>
      </c>
      <c r="J44" s="137">
        <f t="shared" si="11"/>
        <v>0</v>
      </c>
      <c r="K44" s="137">
        <f t="shared" si="11"/>
        <v>0</v>
      </c>
      <c r="L44" s="137">
        <f t="shared" si="11"/>
        <v>0</v>
      </c>
      <c r="M44" s="137">
        <f t="shared" si="11"/>
        <v>0</v>
      </c>
    </row>
    <row r="45" spans="1:13">
      <c r="A45" s="396"/>
      <c r="B45" s="397" t="s">
        <v>642</v>
      </c>
      <c r="C45" s="140" t="s">
        <v>643</v>
      </c>
      <c r="D45" s="135">
        <f t="shared" ref="D45:D51" si="12">SUM(E45:M45)</f>
        <v>0</v>
      </c>
      <c r="E45" s="135"/>
      <c r="F45" s="135"/>
      <c r="G45" s="135"/>
      <c r="H45" s="135"/>
      <c r="I45" s="135"/>
      <c r="J45" s="135"/>
      <c r="K45" s="135"/>
      <c r="L45" s="135"/>
      <c r="M45" s="135"/>
    </row>
    <row r="46" spans="1:13">
      <c r="A46" s="396"/>
      <c r="B46" s="397" t="s">
        <v>644</v>
      </c>
      <c r="C46" s="140" t="s">
        <v>645</v>
      </c>
      <c r="D46" s="135">
        <f t="shared" si="12"/>
        <v>0</v>
      </c>
      <c r="E46" s="135"/>
      <c r="F46" s="135"/>
      <c r="G46" s="135"/>
      <c r="H46" s="135"/>
      <c r="I46" s="135"/>
      <c r="J46" s="135"/>
      <c r="K46" s="135"/>
      <c r="L46" s="135"/>
      <c r="M46" s="135"/>
    </row>
    <row r="47" spans="1:13">
      <c r="A47" s="396"/>
      <c r="B47" s="397" t="s">
        <v>646</v>
      </c>
      <c r="C47" s="140" t="s">
        <v>647</v>
      </c>
      <c r="D47" s="135">
        <f t="shared" si="12"/>
        <v>0</v>
      </c>
      <c r="E47" s="135"/>
      <c r="F47" s="135"/>
      <c r="G47" s="135"/>
      <c r="H47" s="135"/>
      <c r="I47" s="135"/>
      <c r="J47" s="135"/>
      <c r="K47" s="135"/>
      <c r="L47" s="135"/>
      <c r="M47" s="135"/>
    </row>
    <row r="48" spans="1:13">
      <c r="A48" s="396"/>
      <c r="B48" s="397" t="s">
        <v>648</v>
      </c>
      <c r="C48" s="140" t="s">
        <v>649</v>
      </c>
      <c r="D48" s="135">
        <f t="shared" si="12"/>
        <v>609</v>
      </c>
      <c r="E48" s="135"/>
      <c r="F48" s="135"/>
      <c r="G48" s="135"/>
      <c r="H48" s="135"/>
      <c r="I48" s="135">
        <v>609</v>
      </c>
      <c r="J48" s="135"/>
      <c r="K48" s="135"/>
      <c r="L48" s="135"/>
      <c r="M48" s="135"/>
    </row>
    <row r="49" spans="1:13">
      <c r="A49" s="396"/>
      <c r="B49" s="397" t="s">
        <v>650</v>
      </c>
      <c r="C49" s="140" t="s">
        <v>651</v>
      </c>
      <c r="D49" s="135">
        <f t="shared" si="12"/>
        <v>0</v>
      </c>
      <c r="E49" s="135"/>
      <c r="F49" s="135"/>
      <c r="G49" s="135"/>
      <c r="H49" s="135"/>
      <c r="I49" s="135"/>
      <c r="J49" s="135"/>
      <c r="K49" s="135"/>
      <c r="L49" s="135"/>
      <c r="M49" s="135"/>
    </row>
    <row r="50" spans="1:13">
      <c r="A50" s="396"/>
      <c r="B50" s="397" t="s">
        <v>652</v>
      </c>
      <c r="C50" s="140" t="s">
        <v>653</v>
      </c>
      <c r="D50" s="135">
        <f t="shared" si="12"/>
        <v>0</v>
      </c>
      <c r="E50" s="135"/>
      <c r="F50" s="135"/>
      <c r="G50" s="135"/>
      <c r="H50" s="135"/>
      <c r="I50" s="135"/>
      <c r="J50" s="135"/>
      <c r="K50" s="135"/>
      <c r="L50" s="135"/>
      <c r="M50" s="135"/>
    </row>
    <row r="51" spans="1:13">
      <c r="A51" s="396"/>
      <c r="B51" s="397" t="s">
        <v>655</v>
      </c>
      <c r="C51" s="140" t="s">
        <v>656</v>
      </c>
      <c r="D51" s="135">
        <f t="shared" si="12"/>
        <v>0</v>
      </c>
      <c r="E51" s="135"/>
      <c r="F51" s="135"/>
      <c r="G51" s="135"/>
      <c r="H51" s="135"/>
      <c r="I51" s="135"/>
      <c r="J51" s="135"/>
      <c r="K51" s="135"/>
      <c r="L51" s="135"/>
      <c r="M51" s="135"/>
    </row>
    <row r="52" spans="1:13">
      <c r="A52" s="398" t="s">
        <v>876</v>
      </c>
      <c r="B52" s="399" t="s">
        <v>657</v>
      </c>
      <c r="C52" s="136" t="s">
        <v>658</v>
      </c>
      <c r="D52" s="137">
        <f>SUM(D45:D51)</f>
        <v>609</v>
      </c>
      <c r="E52" s="137">
        <f t="shared" ref="E52:M52" si="13">SUM(E45:E51)</f>
        <v>0</v>
      </c>
      <c r="F52" s="137">
        <f t="shared" si="13"/>
        <v>0</v>
      </c>
      <c r="G52" s="137">
        <f t="shared" si="13"/>
        <v>0</v>
      </c>
      <c r="H52" s="137">
        <f t="shared" si="13"/>
        <v>0</v>
      </c>
      <c r="I52" s="137">
        <f t="shared" si="13"/>
        <v>609</v>
      </c>
      <c r="J52" s="137">
        <f t="shared" si="13"/>
        <v>0</v>
      </c>
      <c r="K52" s="137">
        <f t="shared" si="13"/>
        <v>0</v>
      </c>
      <c r="L52" s="137">
        <f t="shared" si="13"/>
        <v>0</v>
      </c>
      <c r="M52" s="137">
        <f t="shared" si="13"/>
        <v>0</v>
      </c>
    </row>
    <row r="53" spans="1:13" s="269" customFormat="1">
      <c r="A53" s="402" t="s">
        <v>877</v>
      </c>
      <c r="B53" s="403" t="s">
        <v>659</v>
      </c>
      <c r="C53" s="138" t="s">
        <v>660</v>
      </c>
      <c r="D53" s="139">
        <f>D41+D44+D52</f>
        <v>6109</v>
      </c>
      <c r="E53" s="139">
        <f t="shared" ref="E53:M53" si="14">E41+E44+E52</f>
        <v>5500</v>
      </c>
      <c r="F53" s="139">
        <f t="shared" si="14"/>
        <v>0</v>
      </c>
      <c r="G53" s="139">
        <f t="shared" si="14"/>
        <v>0</v>
      </c>
      <c r="H53" s="139">
        <f t="shared" si="14"/>
        <v>0</v>
      </c>
      <c r="I53" s="139">
        <f t="shared" si="14"/>
        <v>609</v>
      </c>
      <c r="J53" s="139">
        <f t="shared" si="14"/>
        <v>0</v>
      </c>
      <c r="K53" s="139">
        <f t="shared" si="14"/>
        <v>0</v>
      </c>
      <c r="L53" s="139">
        <f t="shared" si="14"/>
        <v>0</v>
      </c>
      <c r="M53" s="139">
        <f t="shared" si="14"/>
        <v>0</v>
      </c>
    </row>
    <row r="54" spans="1:13" s="269" customFormat="1">
      <c r="A54" s="404" t="s">
        <v>878</v>
      </c>
      <c r="B54" s="405" t="s">
        <v>661</v>
      </c>
      <c r="C54" s="406" t="s">
        <v>662</v>
      </c>
      <c r="D54" s="407">
        <f>D38+D53</f>
        <v>106886</v>
      </c>
      <c r="E54" s="407">
        <f t="shared" ref="E54:M54" si="15">E38+E53</f>
        <v>40375</v>
      </c>
      <c r="F54" s="407">
        <f t="shared" si="15"/>
        <v>13753</v>
      </c>
      <c r="G54" s="407">
        <f t="shared" si="15"/>
        <v>0</v>
      </c>
      <c r="H54" s="407">
        <f t="shared" si="15"/>
        <v>0</v>
      </c>
      <c r="I54" s="407">
        <f t="shared" si="15"/>
        <v>52758</v>
      </c>
      <c r="J54" s="407">
        <f t="shared" si="15"/>
        <v>0</v>
      </c>
      <c r="K54" s="407">
        <f t="shared" si="15"/>
        <v>0</v>
      </c>
      <c r="L54" s="407">
        <f t="shared" si="15"/>
        <v>0</v>
      </c>
      <c r="M54" s="407">
        <f t="shared" si="15"/>
        <v>0</v>
      </c>
    </row>
    <row r="55" spans="1:13">
      <c r="A55" s="396"/>
      <c r="B55" s="397" t="s">
        <v>663</v>
      </c>
      <c r="C55" s="140" t="s">
        <v>664</v>
      </c>
      <c r="D55" s="135">
        <f>SUM(E55:M55)</f>
        <v>26291</v>
      </c>
      <c r="E55" s="135">
        <f>ROUND((E8+E9+E10+E14+E13+E15+E44+E52)*0.27,0)</f>
        <v>9885</v>
      </c>
      <c r="F55" s="135">
        <f t="shared" ref="F55:M55" si="16">ROUND((F8+F9+F10+F14+F13+F15+F44+F52)*0.27,0)</f>
        <v>3329</v>
      </c>
      <c r="G55" s="135">
        <f t="shared" si="16"/>
        <v>0</v>
      </c>
      <c r="H55" s="135">
        <f t="shared" si="16"/>
        <v>0</v>
      </c>
      <c r="I55" s="135">
        <f t="shared" si="16"/>
        <v>13077</v>
      </c>
      <c r="J55" s="135">
        <f t="shared" si="16"/>
        <v>0</v>
      </c>
      <c r="K55" s="135">
        <f t="shared" si="16"/>
        <v>0</v>
      </c>
      <c r="L55" s="135">
        <f t="shared" si="16"/>
        <v>0</v>
      </c>
      <c r="M55" s="135">
        <f t="shared" si="16"/>
        <v>0</v>
      </c>
    </row>
    <row r="56" spans="1:13">
      <c r="A56" s="396"/>
      <c r="B56" s="397" t="s">
        <v>665</v>
      </c>
      <c r="C56" s="140" t="s">
        <v>666</v>
      </c>
      <c r="D56" s="135">
        <f t="shared" ref="D56:D62" si="17">SUM(E56:M56)</f>
        <v>624</v>
      </c>
      <c r="E56" s="135">
        <f>ROUND((E18*1.19*0.14)+(E50*1.19*0.27),0)</f>
        <v>144</v>
      </c>
      <c r="F56" s="135">
        <f t="shared" ref="F56:M56" si="18">ROUND((F18*1.19*0.14)+(F50*1.19*0.27),0)</f>
        <v>96</v>
      </c>
      <c r="G56" s="135">
        <f t="shared" si="18"/>
        <v>0</v>
      </c>
      <c r="H56" s="135">
        <f t="shared" si="18"/>
        <v>0</v>
      </c>
      <c r="I56" s="135">
        <f t="shared" si="18"/>
        <v>384</v>
      </c>
      <c r="J56" s="135">
        <f t="shared" si="18"/>
        <v>0</v>
      </c>
      <c r="K56" s="135">
        <f t="shared" si="18"/>
        <v>0</v>
      </c>
      <c r="L56" s="135">
        <f t="shared" si="18"/>
        <v>0</v>
      </c>
      <c r="M56" s="135">
        <f t="shared" si="18"/>
        <v>0</v>
      </c>
    </row>
    <row r="57" spans="1:13">
      <c r="A57" s="396"/>
      <c r="B57" s="397" t="s">
        <v>667</v>
      </c>
      <c r="C57" s="140" t="s">
        <v>668</v>
      </c>
      <c r="D57" s="135">
        <f t="shared" si="17"/>
        <v>0</v>
      </c>
      <c r="E57" s="135"/>
      <c r="F57" s="135"/>
      <c r="G57" s="135"/>
      <c r="H57" s="135"/>
      <c r="I57" s="135"/>
      <c r="J57" s="135"/>
      <c r="K57" s="135"/>
      <c r="L57" s="135"/>
      <c r="M57" s="135"/>
    </row>
    <row r="58" spans="1:13">
      <c r="A58" s="396"/>
      <c r="B58" s="397" t="s">
        <v>669</v>
      </c>
      <c r="C58" s="140" t="s">
        <v>670</v>
      </c>
      <c r="D58" s="135">
        <f t="shared" si="17"/>
        <v>0</v>
      </c>
      <c r="E58" s="135"/>
      <c r="F58" s="135"/>
      <c r="G58" s="135"/>
      <c r="H58" s="135"/>
      <c r="I58" s="135"/>
      <c r="J58" s="135"/>
      <c r="K58" s="135"/>
      <c r="L58" s="135"/>
      <c r="M58" s="135"/>
    </row>
    <row r="59" spans="1:13">
      <c r="A59" s="396"/>
      <c r="B59" s="397" t="s">
        <v>671</v>
      </c>
      <c r="C59" s="140" t="s">
        <v>672</v>
      </c>
      <c r="D59" s="135">
        <f t="shared" si="17"/>
        <v>0</v>
      </c>
      <c r="E59" s="135"/>
      <c r="F59" s="135"/>
      <c r="G59" s="135"/>
      <c r="H59" s="135"/>
      <c r="I59" s="135"/>
      <c r="J59" s="135"/>
      <c r="K59" s="135"/>
      <c r="L59" s="135"/>
      <c r="M59" s="135"/>
    </row>
    <row r="60" spans="1:13">
      <c r="A60" s="396"/>
      <c r="B60" s="397" t="s">
        <v>673</v>
      </c>
      <c r="C60" s="140" t="s">
        <v>674</v>
      </c>
      <c r="D60" s="135">
        <f t="shared" si="17"/>
        <v>3300</v>
      </c>
      <c r="E60" s="135">
        <v>400</v>
      </c>
      <c r="F60" s="135">
        <v>400</v>
      </c>
      <c r="G60" s="135"/>
      <c r="H60" s="135"/>
      <c r="I60" s="135">
        <v>2500</v>
      </c>
      <c r="J60" s="135"/>
      <c r="K60" s="135"/>
      <c r="L60" s="135"/>
      <c r="M60" s="135"/>
    </row>
    <row r="61" spans="1:13">
      <c r="A61" s="396"/>
      <c r="B61" s="397" t="s">
        <v>675</v>
      </c>
      <c r="C61" s="140" t="s">
        <v>676</v>
      </c>
      <c r="D61" s="135">
        <f t="shared" si="17"/>
        <v>714</v>
      </c>
      <c r="E61" s="135">
        <f>ROUND(E18*1.19*0.16+E50*1.19*0.16,0)</f>
        <v>165</v>
      </c>
      <c r="F61" s="135">
        <f t="shared" ref="F61:M61" si="19">ROUND(F18*1.19*0.16+F50*1.19*0.16,0)</f>
        <v>110</v>
      </c>
      <c r="G61" s="135">
        <f t="shared" si="19"/>
        <v>0</v>
      </c>
      <c r="H61" s="135">
        <f t="shared" si="19"/>
        <v>0</v>
      </c>
      <c r="I61" s="135">
        <f t="shared" si="19"/>
        <v>439</v>
      </c>
      <c r="J61" s="135">
        <f t="shared" si="19"/>
        <v>0</v>
      </c>
      <c r="K61" s="135">
        <f t="shared" si="19"/>
        <v>0</v>
      </c>
      <c r="L61" s="135">
        <f t="shared" si="19"/>
        <v>0</v>
      </c>
      <c r="M61" s="135">
        <f t="shared" si="19"/>
        <v>0</v>
      </c>
    </row>
    <row r="62" spans="1:13">
      <c r="A62" s="396"/>
      <c r="B62" s="397" t="s">
        <v>677</v>
      </c>
      <c r="C62" s="140" t="s">
        <v>678</v>
      </c>
      <c r="D62" s="135">
        <f t="shared" si="17"/>
        <v>0</v>
      </c>
      <c r="E62" s="135"/>
      <c r="F62" s="135"/>
      <c r="G62" s="135"/>
      <c r="H62" s="135"/>
      <c r="I62" s="135"/>
      <c r="J62" s="135"/>
      <c r="K62" s="135"/>
      <c r="L62" s="135"/>
      <c r="M62" s="135"/>
    </row>
    <row r="63" spans="1:13">
      <c r="A63" s="404" t="s">
        <v>879</v>
      </c>
      <c r="B63" s="405" t="s">
        <v>679</v>
      </c>
      <c r="C63" s="406" t="s">
        <v>680</v>
      </c>
      <c r="D63" s="407">
        <f>SUM(D55:D62)</f>
        <v>30929</v>
      </c>
      <c r="E63" s="407">
        <f t="shared" ref="E63:M63" si="20">SUM(E55:E62)</f>
        <v>10594</v>
      </c>
      <c r="F63" s="407">
        <f t="shared" si="20"/>
        <v>3935</v>
      </c>
      <c r="G63" s="407">
        <f t="shared" si="20"/>
        <v>0</v>
      </c>
      <c r="H63" s="407">
        <f t="shared" si="20"/>
        <v>0</v>
      </c>
      <c r="I63" s="407">
        <f t="shared" si="20"/>
        <v>16400</v>
      </c>
      <c r="J63" s="407">
        <f t="shared" si="20"/>
        <v>0</v>
      </c>
      <c r="K63" s="407">
        <f t="shared" si="20"/>
        <v>0</v>
      </c>
      <c r="L63" s="407">
        <f t="shared" si="20"/>
        <v>0</v>
      </c>
      <c r="M63" s="407">
        <f t="shared" si="20"/>
        <v>0</v>
      </c>
    </row>
    <row r="64" spans="1:13">
      <c r="A64" s="396"/>
      <c r="B64" s="397" t="s">
        <v>681</v>
      </c>
      <c r="C64" s="140" t="s">
        <v>682</v>
      </c>
      <c r="D64" s="135">
        <f t="shared" ref="D64:D69" si="21">SUM(E64:M64)</f>
        <v>0</v>
      </c>
      <c r="E64" s="135"/>
      <c r="F64" s="135"/>
      <c r="G64" s="135"/>
      <c r="H64" s="135"/>
      <c r="I64" s="135"/>
      <c r="J64" s="135"/>
      <c r="K64" s="135"/>
      <c r="L64" s="135"/>
      <c r="M64" s="135"/>
    </row>
    <row r="65" spans="1:13">
      <c r="A65" s="396"/>
      <c r="B65" s="397" t="s">
        <v>683</v>
      </c>
      <c r="C65" s="140" t="s">
        <v>684</v>
      </c>
      <c r="D65" s="135">
        <f t="shared" si="21"/>
        <v>100</v>
      </c>
      <c r="E65" s="135">
        <v>15</v>
      </c>
      <c r="F65" s="135">
        <v>5</v>
      </c>
      <c r="G65" s="135"/>
      <c r="H65" s="135"/>
      <c r="I65" s="135">
        <v>80</v>
      </c>
      <c r="J65" s="135"/>
      <c r="K65" s="135"/>
      <c r="L65" s="135"/>
      <c r="M65" s="135"/>
    </row>
    <row r="66" spans="1:13">
      <c r="A66" s="396"/>
      <c r="B66" s="397" t="s">
        <v>685</v>
      </c>
      <c r="C66" s="140" t="s">
        <v>686</v>
      </c>
      <c r="D66" s="135">
        <f t="shared" si="21"/>
        <v>300</v>
      </c>
      <c r="E66" s="135">
        <v>100</v>
      </c>
      <c r="F66" s="135"/>
      <c r="G66" s="135"/>
      <c r="H66" s="135"/>
      <c r="I66" s="135">
        <v>200</v>
      </c>
      <c r="J66" s="135"/>
      <c r="K66" s="135"/>
      <c r="L66" s="135"/>
      <c r="M66" s="135"/>
    </row>
    <row r="67" spans="1:13">
      <c r="A67" s="396"/>
      <c r="B67" s="397" t="s">
        <v>688</v>
      </c>
      <c r="C67" s="140" t="s">
        <v>689</v>
      </c>
      <c r="D67" s="135">
        <f t="shared" si="21"/>
        <v>150</v>
      </c>
      <c r="E67" s="135">
        <v>100</v>
      </c>
      <c r="F67" s="135"/>
      <c r="G67" s="135"/>
      <c r="H67" s="135"/>
      <c r="I67" s="135">
        <v>50</v>
      </c>
      <c r="J67" s="135"/>
      <c r="K67" s="135"/>
      <c r="L67" s="135"/>
      <c r="M67" s="135"/>
    </row>
    <row r="68" spans="1:13">
      <c r="A68" s="396"/>
      <c r="B68" s="397" t="s">
        <v>690</v>
      </c>
      <c r="C68" s="140" t="s">
        <v>691</v>
      </c>
      <c r="D68" s="135">
        <f t="shared" si="21"/>
        <v>0</v>
      </c>
      <c r="E68" s="135"/>
      <c r="F68" s="135"/>
      <c r="G68" s="135"/>
      <c r="H68" s="135"/>
      <c r="I68" s="135"/>
      <c r="J68" s="135"/>
      <c r="K68" s="135"/>
      <c r="L68" s="135"/>
      <c r="M68" s="135"/>
    </row>
    <row r="69" spans="1:13">
      <c r="A69" s="396"/>
      <c r="B69" s="397" t="s">
        <v>692</v>
      </c>
      <c r="C69" s="140" t="s">
        <v>693</v>
      </c>
      <c r="D69" s="135">
        <f t="shared" si="21"/>
        <v>1150</v>
      </c>
      <c r="E69" s="135">
        <v>400</v>
      </c>
      <c r="F69" s="135">
        <v>100</v>
      </c>
      <c r="G69" s="135"/>
      <c r="H69" s="135"/>
      <c r="I69" s="135">
        <v>650</v>
      </c>
      <c r="J69" s="135"/>
      <c r="K69" s="135"/>
      <c r="L69" s="135"/>
      <c r="M69" s="135"/>
    </row>
    <row r="70" spans="1:13">
      <c r="A70" s="398" t="s">
        <v>228</v>
      </c>
      <c r="B70" s="399" t="s">
        <v>695</v>
      </c>
      <c r="C70" s="136" t="s">
        <v>696</v>
      </c>
      <c r="D70" s="137">
        <f>SUM(D64:D69)</f>
        <v>1700</v>
      </c>
      <c r="E70" s="137">
        <f t="shared" ref="E70:M70" si="22">SUM(E64:E69)</f>
        <v>615</v>
      </c>
      <c r="F70" s="137">
        <f t="shared" si="22"/>
        <v>105</v>
      </c>
      <c r="G70" s="137">
        <f t="shared" si="22"/>
        <v>0</v>
      </c>
      <c r="H70" s="137">
        <f t="shared" si="22"/>
        <v>0</v>
      </c>
      <c r="I70" s="137">
        <f t="shared" si="22"/>
        <v>980</v>
      </c>
      <c r="J70" s="137">
        <f t="shared" si="22"/>
        <v>0</v>
      </c>
      <c r="K70" s="137">
        <f t="shared" si="22"/>
        <v>0</v>
      </c>
      <c r="L70" s="137">
        <f t="shared" si="22"/>
        <v>0</v>
      </c>
      <c r="M70" s="137">
        <f t="shared" si="22"/>
        <v>0</v>
      </c>
    </row>
    <row r="71" spans="1:13">
      <c r="A71" s="396"/>
      <c r="B71" s="397" t="s">
        <v>697</v>
      </c>
      <c r="C71" s="140" t="s">
        <v>698</v>
      </c>
      <c r="D71" s="135">
        <f t="shared" ref="D71:D76" si="23">SUM(E71:M71)</f>
        <v>6195</v>
      </c>
      <c r="E71" s="135"/>
      <c r="F71" s="135"/>
      <c r="G71" s="135"/>
      <c r="H71" s="135"/>
      <c r="I71" s="135"/>
      <c r="J71" s="135"/>
      <c r="K71" s="135">
        <v>6195</v>
      </c>
      <c r="L71" s="135"/>
      <c r="M71" s="135"/>
    </row>
    <row r="72" spans="1:13">
      <c r="A72" s="396"/>
      <c r="B72" s="397" t="s">
        <v>699</v>
      </c>
      <c r="C72" s="140" t="s">
        <v>700</v>
      </c>
      <c r="D72" s="135">
        <f t="shared" si="23"/>
        <v>390</v>
      </c>
      <c r="E72" s="135">
        <v>120</v>
      </c>
      <c r="F72" s="135">
        <v>70</v>
      </c>
      <c r="G72" s="135"/>
      <c r="H72" s="135"/>
      <c r="I72" s="135">
        <v>200</v>
      </c>
      <c r="J72" s="135"/>
      <c r="K72" s="135"/>
      <c r="L72" s="135"/>
      <c r="M72" s="135"/>
    </row>
    <row r="73" spans="1:13">
      <c r="A73" s="396"/>
      <c r="B73" s="397" t="s">
        <v>701</v>
      </c>
      <c r="C73" s="140" t="s">
        <v>702</v>
      </c>
      <c r="D73" s="135">
        <f t="shared" si="23"/>
        <v>0</v>
      </c>
      <c r="E73" s="135"/>
      <c r="F73" s="135"/>
      <c r="G73" s="135"/>
      <c r="H73" s="135"/>
      <c r="I73" s="135"/>
      <c r="J73" s="135"/>
      <c r="K73" s="135"/>
      <c r="L73" s="135"/>
      <c r="M73" s="135"/>
    </row>
    <row r="74" spans="1:13">
      <c r="A74" s="396"/>
      <c r="B74" s="397" t="s">
        <v>703</v>
      </c>
      <c r="C74" s="140" t="s">
        <v>704</v>
      </c>
      <c r="D74" s="135">
        <f t="shared" si="23"/>
        <v>800</v>
      </c>
      <c r="E74" s="135"/>
      <c r="F74" s="135"/>
      <c r="G74" s="135"/>
      <c r="H74" s="135"/>
      <c r="I74" s="135">
        <v>100</v>
      </c>
      <c r="J74" s="135">
        <v>700</v>
      </c>
      <c r="K74" s="135"/>
      <c r="L74" s="135"/>
      <c r="M74" s="135"/>
    </row>
    <row r="75" spans="1:13">
      <c r="A75" s="396"/>
      <c r="B75" s="397" t="s">
        <v>705</v>
      </c>
      <c r="C75" s="140" t="s">
        <v>706</v>
      </c>
      <c r="D75" s="135">
        <f t="shared" si="23"/>
        <v>150</v>
      </c>
      <c r="E75" s="135"/>
      <c r="F75" s="135"/>
      <c r="G75" s="135"/>
      <c r="H75" s="135"/>
      <c r="I75" s="135">
        <v>150</v>
      </c>
      <c r="J75" s="135"/>
      <c r="K75" s="135"/>
      <c r="L75" s="135"/>
      <c r="M75" s="135"/>
    </row>
    <row r="76" spans="1:13">
      <c r="A76" s="396"/>
      <c r="B76" s="397" t="s">
        <v>708</v>
      </c>
      <c r="C76" s="140" t="s">
        <v>709</v>
      </c>
      <c r="D76" s="135">
        <f t="shared" si="23"/>
        <v>1400</v>
      </c>
      <c r="E76" s="135">
        <v>450</v>
      </c>
      <c r="F76" s="135"/>
      <c r="G76" s="135"/>
      <c r="H76" s="135"/>
      <c r="I76" s="135">
        <v>950</v>
      </c>
      <c r="J76" s="135"/>
      <c r="K76" s="135"/>
      <c r="L76" s="135"/>
      <c r="M76" s="135"/>
    </row>
    <row r="77" spans="1:13">
      <c r="A77" s="398" t="s">
        <v>230</v>
      </c>
      <c r="B77" s="399" t="s">
        <v>711</v>
      </c>
      <c r="C77" s="136" t="s">
        <v>712</v>
      </c>
      <c r="D77" s="137">
        <f>SUM(D71:D76)</f>
        <v>8935</v>
      </c>
      <c r="E77" s="137">
        <f t="shared" ref="E77:M77" si="24">SUM(E71:E76)</f>
        <v>570</v>
      </c>
      <c r="F77" s="137">
        <f t="shared" si="24"/>
        <v>70</v>
      </c>
      <c r="G77" s="137">
        <f t="shared" si="24"/>
        <v>0</v>
      </c>
      <c r="H77" s="137">
        <f t="shared" si="24"/>
        <v>0</v>
      </c>
      <c r="I77" s="137">
        <f t="shared" si="24"/>
        <v>1400</v>
      </c>
      <c r="J77" s="137">
        <f t="shared" si="24"/>
        <v>700</v>
      </c>
      <c r="K77" s="137">
        <f t="shared" si="24"/>
        <v>6195</v>
      </c>
      <c r="L77" s="137">
        <f t="shared" si="24"/>
        <v>0</v>
      </c>
      <c r="M77" s="137">
        <f t="shared" si="24"/>
        <v>0</v>
      </c>
    </row>
    <row r="78" spans="1:13">
      <c r="A78" s="396"/>
      <c r="B78" s="397" t="s">
        <v>713</v>
      </c>
      <c r="C78" s="140" t="s">
        <v>233</v>
      </c>
      <c r="D78" s="135">
        <f t="shared" ref="D78:D79" si="25">SUM(E78:M78)</f>
        <v>0</v>
      </c>
      <c r="E78" s="135"/>
      <c r="F78" s="135"/>
      <c r="G78" s="135"/>
      <c r="H78" s="135"/>
      <c r="I78" s="135"/>
      <c r="J78" s="135"/>
      <c r="K78" s="135"/>
      <c r="L78" s="135"/>
      <c r="M78" s="135"/>
    </row>
    <row r="79" spans="1:13">
      <c r="A79" s="396"/>
      <c r="B79" s="397" t="s">
        <v>714</v>
      </c>
      <c r="C79" s="140" t="s">
        <v>715</v>
      </c>
      <c r="D79" s="135">
        <f t="shared" si="25"/>
        <v>0</v>
      </c>
      <c r="E79" s="135"/>
      <c r="F79" s="135"/>
      <c r="G79" s="135"/>
      <c r="H79" s="135"/>
      <c r="I79" s="135"/>
      <c r="J79" s="135"/>
      <c r="K79" s="135"/>
      <c r="L79" s="135"/>
      <c r="M79" s="135"/>
    </row>
    <row r="80" spans="1:13">
      <c r="A80" s="398" t="s">
        <v>232</v>
      </c>
      <c r="B80" s="399" t="s">
        <v>716</v>
      </c>
      <c r="C80" s="136" t="s">
        <v>717</v>
      </c>
      <c r="D80" s="137">
        <f>SUM(D78:D79)</f>
        <v>0</v>
      </c>
      <c r="E80" s="137">
        <f t="shared" ref="E80:M80" si="26">SUM(E78:E79)</f>
        <v>0</v>
      </c>
      <c r="F80" s="137">
        <f t="shared" si="26"/>
        <v>0</v>
      </c>
      <c r="G80" s="137">
        <f t="shared" si="26"/>
        <v>0</v>
      </c>
      <c r="H80" s="137">
        <f t="shared" si="26"/>
        <v>0</v>
      </c>
      <c r="I80" s="137">
        <f t="shared" si="26"/>
        <v>0</v>
      </c>
      <c r="J80" s="137">
        <f t="shared" si="26"/>
        <v>0</v>
      </c>
      <c r="K80" s="137">
        <f t="shared" si="26"/>
        <v>0</v>
      </c>
      <c r="L80" s="137">
        <f t="shared" si="26"/>
        <v>0</v>
      </c>
      <c r="M80" s="137">
        <f t="shared" si="26"/>
        <v>0</v>
      </c>
    </row>
    <row r="81" spans="1:13">
      <c r="A81" s="402" t="s">
        <v>234</v>
      </c>
      <c r="B81" s="403" t="s">
        <v>718</v>
      </c>
      <c r="C81" s="138" t="s">
        <v>719</v>
      </c>
      <c r="D81" s="139">
        <f>D70+D77+D80</f>
        <v>10635</v>
      </c>
      <c r="E81" s="139">
        <f t="shared" ref="E81:M81" si="27">E70+E77+E80</f>
        <v>1185</v>
      </c>
      <c r="F81" s="139">
        <f t="shared" si="27"/>
        <v>175</v>
      </c>
      <c r="G81" s="139">
        <f t="shared" si="27"/>
        <v>0</v>
      </c>
      <c r="H81" s="139">
        <f t="shared" si="27"/>
        <v>0</v>
      </c>
      <c r="I81" s="139">
        <f t="shared" si="27"/>
        <v>2380</v>
      </c>
      <c r="J81" s="139">
        <f t="shared" si="27"/>
        <v>700</v>
      </c>
      <c r="K81" s="139">
        <f t="shared" si="27"/>
        <v>6195</v>
      </c>
      <c r="L81" s="139">
        <f t="shared" si="27"/>
        <v>0</v>
      </c>
      <c r="M81" s="139">
        <f t="shared" si="27"/>
        <v>0</v>
      </c>
    </row>
    <row r="82" spans="1:13">
      <c r="A82" s="396"/>
      <c r="B82" s="397" t="s">
        <v>720</v>
      </c>
      <c r="C82" s="140" t="s">
        <v>721</v>
      </c>
      <c r="D82" s="135">
        <f t="shared" ref="D82:D87" si="28">SUM(E82:M82)</f>
        <v>0</v>
      </c>
      <c r="E82" s="135"/>
      <c r="F82" s="135"/>
      <c r="G82" s="135"/>
      <c r="H82" s="135"/>
      <c r="I82" s="135"/>
      <c r="J82" s="135"/>
      <c r="K82" s="135"/>
      <c r="L82" s="135"/>
      <c r="M82" s="135"/>
    </row>
    <row r="83" spans="1:13">
      <c r="A83" s="396"/>
      <c r="B83" s="397" t="s">
        <v>722</v>
      </c>
      <c r="C83" s="140" t="s">
        <v>723</v>
      </c>
      <c r="D83" s="135">
        <f t="shared" si="28"/>
        <v>0</v>
      </c>
      <c r="E83" s="135"/>
      <c r="F83" s="135"/>
      <c r="G83" s="135"/>
      <c r="H83" s="135"/>
      <c r="I83" s="135"/>
      <c r="J83" s="135"/>
      <c r="K83" s="135"/>
      <c r="L83" s="135"/>
      <c r="M83" s="135"/>
    </row>
    <row r="84" spans="1:13">
      <c r="A84" s="396"/>
      <c r="B84" s="397" t="s">
        <v>725</v>
      </c>
      <c r="C84" s="140" t="s">
        <v>726</v>
      </c>
      <c r="D84" s="135">
        <f t="shared" si="28"/>
        <v>0</v>
      </c>
      <c r="E84" s="135"/>
      <c r="F84" s="135"/>
      <c r="G84" s="135"/>
      <c r="H84" s="135"/>
      <c r="I84" s="135"/>
      <c r="J84" s="135"/>
      <c r="K84" s="135"/>
      <c r="L84" s="135"/>
      <c r="M84" s="135"/>
    </row>
    <row r="85" spans="1:13">
      <c r="A85" s="396"/>
      <c r="B85" s="397" t="s">
        <v>727</v>
      </c>
      <c r="C85" s="140" t="s">
        <v>728</v>
      </c>
      <c r="D85" s="135">
        <f t="shared" si="28"/>
        <v>0</v>
      </c>
      <c r="E85" s="135"/>
      <c r="F85" s="135"/>
      <c r="G85" s="135"/>
      <c r="H85" s="135"/>
      <c r="I85" s="135"/>
      <c r="J85" s="135"/>
      <c r="K85" s="135"/>
      <c r="L85" s="135"/>
      <c r="M85" s="135"/>
    </row>
    <row r="86" spans="1:13">
      <c r="A86" s="396"/>
      <c r="B86" s="397" t="s">
        <v>729</v>
      </c>
      <c r="C86" s="140" t="s">
        <v>730</v>
      </c>
      <c r="D86" s="135">
        <f t="shared" si="28"/>
        <v>200</v>
      </c>
      <c r="E86" s="135">
        <v>100</v>
      </c>
      <c r="F86" s="135"/>
      <c r="G86" s="135"/>
      <c r="H86" s="135"/>
      <c r="I86" s="135">
        <v>100</v>
      </c>
      <c r="J86" s="135"/>
      <c r="K86" s="135"/>
      <c r="L86" s="135"/>
      <c r="M86" s="135"/>
    </row>
    <row r="87" spans="1:13">
      <c r="A87" s="396"/>
      <c r="B87" s="397" t="s">
        <v>732</v>
      </c>
      <c r="C87" s="140" t="s">
        <v>733</v>
      </c>
      <c r="D87" s="135">
        <f t="shared" si="28"/>
        <v>0</v>
      </c>
      <c r="E87" s="135"/>
      <c r="F87" s="135"/>
      <c r="G87" s="135"/>
      <c r="H87" s="135"/>
      <c r="I87" s="135"/>
      <c r="J87" s="135"/>
      <c r="K87" s="135"/>
      <c r="L87" s="135"/>
      <c r="M87" s="135"/>
    </row>
    <row r="88" spans="1:13">
      <c r="A88" s="398" t="s">
        <v>236</v>
      </c>
      <c r="B88" s="399" t="s">
        <v>734</v>
      </c>
      <c r="C88" s="136" t="s">
        <v>237</v>
      </c>
      <c r="D88" s="137">
        <f>SUM(D82:D87)</f>
        <v>200</v>
      </c>
      <c r="E88" s="137">
        <f t="shared" ref="E88:M88" si="29">SUM(E82:E87)</f>
        <v>100</v>
      </c>
      <c r="F88" s="137">
        <f t="shared" si="29"/>
        <v>0</v>
      </c>
      <c r="G88" s="137">
        <f t="shared" si="29"/>
        <v>0</v>
      </c>
      <c r="H88" s="137">
        <f t="shared" si="29"/>
        <v>0</v>
      </c>
      <c r="I88" s="137">
        <f t="shared" si="29"/>
        <v>100</v>
      </c>
      <c r="J88" s="137">
        <f t="shared" si="29"/>
        <v>0</v>
      </c>
      <c r="K88" s="137">
        <f t="shared" si="29"/>
        <v>0</v>
      </c>
      <c r="L88" s="137">
        <f t="shared" si="29"/>
        <v>0</v>
      </c>
      <c r="M88" s="137">
        <f t="shared" si="29"/>
        <v>0</v>
      </c>
    </row>
    <row r="89" spans="1:13">
      <c r="A89" s="396"/>
      <c r="B89" s="397" t="s">
        <v>735</v>
      </c>
      <c r="C89" s="140" t="s">
        <v>736</v>
      </c>
      <c r="D89" s="135">
        <f t="shared" ref="D89:D90" si="30">SUM(E89:M89)</f>
        <v>700</v>
      </c>
      <c r="E89" s="135">
        <v>600</v>
      </c>
      <c r="F89" s="135"/>
      <c r="G89" s="135"/>
      <c r="H89" s="135"/>
      <c r="I89" s="135">
        <v>100</v>
      </c>
      <c r="J89" s="135"/>
      <c r="K89" s="135"/>
      <c r="L89" s="135"/>
      <c r="M89" s="135"/>
    </row>
    <row r="90" spans="1:13">
      <c r="A90" s="396"/>
      <c r="B90" s="397" t="s">
        <v>737</v>
      </c>
      <c r="C90" s="140" t="s">
        <v>239</v>
      </c>
      <c r="D90" s="135">
        <f t="shared" si="30"/>
        <v>1450</v>
      </c>
      <c r="E90" s="135">
        <v>950</v>
      </c>
      <c r="F90" s="135"/>
      <c r="G90" s="135"/>
      <c r="H90" s="135"/>
      <c r="I90" s="135">
        <v>500</v>
      </c>
      <c r="J90" s="135"/>
      <c r="K90" s="135"/>
      <c r="L90" s="135"/>
      <c r="M90" s="135"/>
    </row>
    <row r="91" spans="1:13">
      <c r="A91" s="398" t="s">
        <v>238</v>
      </c>
      <c r="B91" s="399" t="s">
        <v>738</v>
      </c>
      <c r="C91" s="136" t="s">
        <v>739</v>
      </c>
      <c r="D91" s="137">
        <f>SUM(D89:D90)</f>
        <v>2150</v>
      </c>
      <c r="E91" s="137">
        <f t="shared" ref="E91:M91" si="31">SUM(E89:E90)</f>
        <v>1550</v>
      </c>
      <c r="F91" s="137">
        <f t="shared" si="31"/>
        <v>0</v>
      </c>
      <c r="G91" s="137">
        <f t="shared" si="31"/>
        <v>0</v>
      </c>
      <c r="H91" s="137">
        <f t="shared" si="31"/>
        <v>0</v>
      </c>
      <c r="I91" s="137">
        <f t="shared" si="31"/>
        <v>600</v>
      </c>
      <c r="J91" s="137">
        <f t="shared" si="31"/>
        <v>0</v>
      </c>
      <c r="K91" s="137">
        <f t="shared" si="31"/>
        <v>0</v>
      </c>
      <c r="L91" s="137">
        <f t="shared" si="31"/>
        <v>0</v>
      </c>
      <c r="M91" s="137">
        <f t="shared" si="31"/>
        <v>0</v>
      </c>
    </row>
    <row r="92" spans="1:13">
      <c r="A92" s="402" t="s">
        <v>240</v>
      </c>
      <c r="B92" s="403" t="s">
        <v>740</v>
      </c>
      <c r="C92" s="138" t="s">
        <v>741</v>
      </c>
      <c r="D92" s="139">
        <f>D88+D91</f>
        <v>2350</v>
      </c>
      <c r="E92" s="139">
        <f t="shared" ref="E92:M92" si="32">E88+E91</f>
        <v>1650</v>
      </c>
      <c r="F92" s="139">
        <f t="shared" si="32"/>
        <v>0</v>
      </c>
      <c r="G92" s="139">
        <f t="shared" si="32"/>
        <v>0</v>
      </c>
      <c r="H92" s="139">
        <f t="shared" si="32"/>
        <v>0</v>
      </c>
      <c r="I92" s="139">
        <f t="shared" si="32"/>
        <v>700</v>
      </c>
      <c r="J92" s="139">
        <f t="shared" si="32"/>
        <v>0</v>
      </c>
      <c r="K92" s="139">
        <f t="shared" si="32"/>
        <v>0</v>
      </c>
      <c r="L92" s="139">
        <f t="shared" si="32"/>
        <v>0</v>
      </c>
      <c r="M92" s="139">
        <f t="shared" si="32"/>
        <v>0</v>
      </c>
    </row>
    <row r="93" spans="1:13">
      <c r="A93" s="396"/>
      <c r="B93" s="397" t="s">
        <v>742</v>
      </c>
      <c r="C93" s="140" t="s">
        <v>743</v>
      </c>
      <c r="D93" s="135">
        <f t="shared" ref="D93:D96" si="33">SUM(E93:M93)</f>
        <v>1250</v>
      </c>
      <c r="E93" s="135">
        <v>300</v>
      </c>
      <c r="F93" s="135">
        <v>150</v>
      </c>
      <c r="G93" s="135"/>
      <c r="H93" s="135"/>
      <c r="I93" s="135">
        <v>800</v>
      </c>
      <c r="J93" s="135"/>
      <c r="K93" s="135"/>
      <c r="L93" s="135"/>
      <c r="M93" s="135"/>
    </row>
    <row r="94" spans="1:13">
      <c r="A94" s="396"/>
      <c r="B94" s="397" t="s">
        <v>745</v>
      </c>
      <c r="C94" s="140" t="s">
        <v>746</v>
      </c>
      <c r="D94" s="135">
        <f t="shared" si="33"/>
        <v>3750</v>
      </c>
      <c r="E94" s="135">
        <v>500</v>
      </c>
      <c r="F94" s="135">
        <v>250</v>
      </c>
      <c r="G94" s="135"/>
      <c r="H94" s="135"/>
      <c r="I94" s="135">
        <v>3000</v>
      </c>
      <c r="J94" s="135"/>
      <c r="K94" s="135"/>
      <c r="L94" s="135"/>
      <c r="M94" s="135"/>
    </row>
    <row r="95" spans="1:13">
      <c r="A95" s="396"/>
      <c r="B95" s="397" t="s">
        <v>748</v>
      </c>
      <c r="C95" s="140" t="s">
        <v>749</v>
      </c>
      <c r="D95" s="135">
        <f t="shared" si="33"/>
        <v>0</v>
      </c>
      <c r="E95" s="135"/>
      <c r="F95" s="135"/>
      <c r="G95" s="135"/>
      <c r="H95" s="135"/>
      <c r="I95" s="135"/>
      <c r="J95" s="135"/>
      <c r="K95" s="135"/>
      <c r="L95" s="135"/>
      <c r="M95" s="135"/>
    </row>
    <row r="96" spans="1:13">
      <c r="A96" s="396"/>
      <c r="B96" s="397" t="s">
        <v>750</v>
      </c>
      <c r="C96" s="140" t="s">
        <v>751</v>
      </c>
      <c r="D96" s="135">
        <f t="shared" si="33"/>
        <v>950</v>
      </c>
      <c r="E96" s="135">
        <v>200</v>
      </c>
      <c r="F96" s="135">
        <v>250</v>
      </c>
      <c r="G96" s="135"/>
      <c r="H96" s="135"/>
      <c r="I96" s="135">
        <v>500</v>
      </c>
      <c r="J96" s="135"/>
      <c r="K96" s="135"/>
      <c r="L96" s="135"/>
      <c r="M96" s="135"/>
    </row>
    <row r="97" spans="1:13">
      <c r="A97" s="398" t="s">
        <v>242</v>
      </c>
      <c r="B97" s="399" t="s">
        <v>752</v>
      </c>
      <c r="C97" s="136" t="s">
        <v>753</v>
      </c>
      <c r="D97" s="137">
        <f>SUM(D93:D96)</f>
        <v>5950</v>
      </c>
      <c r="E97" s="137">
        <f t="shared" ref="E97:M97" si="34">SUM(E93:E96)</f>
        <v>1000</v>
      </c>
      <c r="F97" s="137">
        <f t="shared" si="34"/>
        <v>650</v>
      </c>
      <c r="G97" s="137">
        <f t="shared" si="34"/>
        <v>0</v>
      </c>
      <c r="H97" s="137">
        <f t="shared" si="34"/>
        <v>0</v>
      </c>
      <c r="I97" s="137">
        <f t="shared" si="34"/>
        <v>4300</v>
      </c>
      <c r="J97" s="137">
        <f t="shared" si="34"/>
        <v>0</v>
      </c>
      <c r="K97" s="137">
        <f t="shared" si="34"/>
        <v>0</v>
      </c>
      <c r="L97" s="137">
        <f t="shared" si="34"/>
        <v>0</v>
      </c>
      <c r="M97" s="137">
        <f t="shared" si="34"/>
        <v>0</v>
      </c>
    </row>
    <row r="98" spans="1:13">
      <c r="A98" s="400" t="s">
        <v>244</v>
      </c>
      <c r="B98" s="401" t="s">
        <v>754</v>
      </c>
      <c r="C98" s="136" t="s">
        <v>245</v>
      </c>
      <c r="D98" s="137">
        <f>SUM(E98:M98)</f>
        <v>10450</v>
      </c>
      <c r="E98" s="137"/>
      <c r="F98" s="137"/>
      <c r="G98" s="137"/>
      <c r="H98" s="137"/>
      <c r="I98" s="137"/>
      <c r="J98" s="137">
        <v>10450</v>
      </c>
      <c r="K98" s="137"/>
      <c r="L98" s="137"/>
      <c r="M98" s="137"/>
    </row>
    <row r="99" spans="1:13">
      <c r="A99" s="396"/>
      <c r="B99" s="397" t="s">
        <v>755</v>
      </c>
      <c r="C99" s="140" t="s">
        <v>756</v>
      </c>
      <c r="D99" s="135">
        <f t="shared" ref="D99:D100" si="35">SUM(E99:M99)</f>
        <v>0</v>
      </c>
      <c r="E99" s="135"/>
      <c r="F99" s="135"/>
      <c r="G99" s="135"/>
      <c r="H99" s="135"/>
      <c r="I99" s="135"/>
      <c r="J99" s="135"/>
      <c r="K99" s="135"/>
      <c r="L99" s="135"/>
      <c r="M99" s="135"/>
    </row>
    <row r="100" spans="1:13">
      <c r="A100" s="396"/>
      <c r="B100" s="397" t="s">
        <v>757</v>
      </c>
      <c r="C100" s="140" t="s">
        <v>758</v>
      </c>
      <c r="D100" s="135">
        <f t="shared" si="35"/>
        <v>240</v>
      </c>
      <c r="E100" s="135">
        <v>240</v>
      </c>
      <c r="F100" s="135"/>
      <c r="G100" s="135"/>
      <c r="H100" s="135"/>
      <c r="I100" s="135"/>
      <c r="J100" s="135"/>
      <c r="K100" s="135"/>
      <c r="L100" s="135"/>
      <c r="M100" s="135"/>
    </row>
    <row r="101" spans="1:13">
      <c r="A101" s="400" t="s">
        <v>246</v>
      </c>
      <c r="B101" s="401">
        <v>53331</v>
      </c>
      <c r="C101" s="136" t="s">
        <v>759</v>
      </c>
      <c r="D101" s="137">
        <f>SUM(D99:D100)</f>
        <v>240</v>
      </c>
      <c r="E101" s="137">
        <f t="shared" ref="E101:M101" si="36">SUM(E99:E100)</f>
        <v>240</v>
      </c>
      <c r="F101" s="137">
        <f t="shared" si="36"/>
        <v>0</v>
      </c>
      <c r="G101" s="137">
        <f t="shared" si="36"/>
        <v>0</v>
      </c>
      <c r="H101" s="137">
        <f t="shared" si="36"/>
        <v>0</v>
      </c>
      <c r="I101" s="137">
        <f t="shared" si="36"/>
        <v>0</v>
      </c>
      <c r="J101" s="137">
        <f t="shared" si="36"/>
        <v>0</v>
      </c>
      <c r="K101" s="137">
        <f t="shared" si="36"/>
        <v>0</v>
      </c>
      <c r="L101" s="137">
        <f t="shared" si="36"/>
        <v>0</v>
      </c>
      <c r="M101" s="137">
        <f t="shared" si="36"/>
        <v>0</v>
      </c>
    </row>
    <row r="102" spans="1:13">
      <c r="A102" s="400" t="s">
        <v>248</v>
      </c>
      <c r="B102" s="401" t="s">
        <v>760</v>
      </c>
      <c r="C102" s="136" t="s">
        <v>249</v>
      </c>
      <c r="D102" s="137">
        <f>SUM(E102:M102)</f>
        <v>2050</v>
      </c>
      <c r="E102" s="137">
        <v>350</v>
      </c>
      <c r="F102" s="137"/>
      <c r="G102" s="137"/>
      <c r="H102" s="137"/>
      <c r="I102" s="137">
        <v>1000</v>
      </c>
      <c r="J102" s="137">
        <v>700</v>
      </c>
      <c r="K102" s="137"/>
      <c r="L102" s="137"/>
      <c r="M102" s="137"/>
    </row>
    <row r="103" spans="1:13">
      <c r="A103" s="396"/>
      <c r="B103" s="397" t="s">
        <v>762</v>
      </c>
      <c r="C103" s="140" t="s">
        <v>763</v>
      </c>
      <c r="D103" s="135">
        <f t="shared" ref="D103:D104" si="37">SUM(E103:M103)</f>
        <v>0</v>
      </c>
      <c r="E103" s="135"/>
      <c r="F103" s="135"/>
      <c r="G103" s="135"/>
      <c r="H103" s="135"/>
      <c r="I103" s="135"/>
      <c r="J103" s="135"/>
      <c r="K103" s="135"/>
      <c r="L103" s="135"/>
      <c r="M103" s="135"/>
    </row>
    <row r="104" spans="1:13">
      <c r="A104" s="396"/>
      <c r="B104" s="397" t="s">
        <v>764</v>
      </c>
      <c r="C104" s="140" t="s">
        <v>765</v>
      </c>
      <c r="D104" s="135">
        <f t="shared" si="37"/>
        <v>0</v>
      </c>
      <c r="E104" s="135"/>
      <c r="F104" s="135"/>
      <c r="G104" s="135"/>
      <c r="H104" s="135"/>
      <c r="I104" s="135"/>
      <c r="J104" s="135"/>
      <c r="K104" s="135"/>
      <c r="L104" s="135"/>
      <c r="M104" s="135"/>
    </row>
    <row r="105" spans="1:13">
      <c r="A105" s="398" t="s">
        <v>250</v>
      </c>
      <c r="B105" s="399" t="s">
        <v>766</v>
      </c>
      <c r="C105" s="136" t="s">
        <v>767</v>
      </c>
      <c r="D105" s="137">
        <f>SUM(D103:D104)</f>
        <v>0</v>
      </c>
      <c r="E105" s="137">
        <f t="shared" ref="E105:M105" si="38">SUM(E103:E104)</f>
        <v>0</v>
      </c>
      <c r="F105" s="137">
        <f t="shared" si="38"/>
        <v>0</v>
      </c>
      <c r="G105" s="137">
        <f t="shared" si="38"/>
        <v>0</v>
      </c>
      <c r="H105" s="137">
        <f t="shared" si="38"/>
        <v>0</v>
      </c>
      <c r="I105" s="137">
        <f t="shared" si="38"/>
        <v>0</v>
      </c>
      <c r="J105" s="137">
        <f t="shared" si="38"/>
        <v>0</v>
      </c>
      <c r="K105" s="137">
        <f t="shared" si="38"/>
        <v>0</v>
      </c>
      <c r="L105" s="137">
        <f t="shared" si="38"/>
        <v>0</v>
      </c>
      <c r="M105" s="137">
        <f t="shared" si="38"/>
        <v>0</v>
      </c>
    </row>
    <row r="106" spans="1:13">
      <c r="A106" s="396"/>
      <c r="B106" s="397" t="s">
        <v>768</v>
      </c>
      <c r="C106" s="140" t="s">
        <v>769</v>
      </c>
      <c r="D106" s="135">
        <f t="shared" ref="D106:D108" si="39">SUM(E106:M106)</f>
        <v>6810</v>
      </c>
      <c r="E106" s="135">
        <v>3810</v>
      </c>
      <c r="F106" s="135"/>
      <c r="G106" s="135"/>
      <c r="H106" s="135"/>
      <c r="I106" s="135">
        <v>3000</v>
      </c>
      <c r="J106" s="135"/>
      <c r="K106" s="135"/>
      <c r="L106" s="135"/>
      <c r="M106" s="135"/>
    </row>
    <row r="107" spans="1:13">
      <c r="A107" s="396"/>
      <c r="B107" s="397" t="s">
        <v>770</v>
      </c>
      <c r="C107" s="140" t="s">
        <v>771</v>
      </c>
      <c r="D107" s="135">
        <f t="shared" si="39"/>
        <v>0</v>
      </c>
      <c r="E107" s="135"/>
      <c r="F107" s="135"/>
      <c r="G107" s="135"/>
      <c r="H107" s="135"/>
      <c r="I107" s="135"/>
      <c r="J107" s="135"/>
      <c r="K107" s="135"/>
      <c r="L107" s="135"/>
      <c r="M107" s="135"/>
    </row>
    <row r="108" spans="1:13">
      <c r="A108" s="396"/>
      <c r="B108" s="397" t="s">
        <v>772</v>
      </c>
      <c r="C108" s="140" t="s">
        <v>773</v>
      </c>
      <c r="D108" s="135">
        <f t="shared" si="39"/>
        <v>0</v>
      </c>
      <c r="E108" s="135"/>
      <c r="F108" s="135"/>
      <c r="G108" s="135"/>
      <c r="H108" s="135"/>
      <c r="I108" s="135"/>
      <c r="J108" s="135"/>
      <c r="K108" s="135"/>
      <c r="L108" s="135"/>
      <c r="M108" s="135"/>
    </row>
    <row r="109" spans="1:13">
      <c r="A109" s="398" t="s">
        <v>252</v>
      </c>
      <c r="B109" s="399" t="s">
        <v>774</v>
      </c>
      <c r="C109" s="136" t="s">
        <v>775</v>
      </c>
      <c r="D109" s="137">
        <f>SUM(D106:D108)</f>
        <v>6810</v>
      </c>
      <c r="E109" s="137">
        <f t="shared" ref="E109:M109" si="40">SUM(E106:E108)</f>
        <v>3810</v>
      </c>
      <c r="F109" s="137">
        <f t="shared" si="40"/>
        <v>0</v>
      </c>
      <c r="G109" s="137">
        <f t="shared" si="40"/>
        <v>0</v>
      </c>
      <c r="H109" s="137">
        <f t="shared" si="40"/>
        <v>0</v>
      </c>
      <c r="I109" s="137">
        <f t="shared" si="40"/>
        <v>3000</v>
      </c>
      <c r="J109" s="137">
        <f t="shared" si="40"/>
        <v>0</v>
      </c>
      <c r="K109" s="137">
        <f t="shared" si="40"/>
        <v>0</v>
      </c>
      <c r="L109" s="137">
        <f t="shared" si="40"/>
        <v>0</v>
      </c>
      <c r="M109" s="137">
        <f t="shared" si="40"/>
        <v>0</v>
      </c>
    </row>
    <row r="110" spans="1:13">
      <c r="A110" s="396"/>
      <c r="B110" s="397" t="s">
        <v>776</v>
      </c>
      <c r="C110" s="140" t="s">
        <v>777</v>
      </c>
      <c r="D110" s="135">
        <f t="shared" ref="D110:D113" si="41">SUM(E110:M110)</f>
        <v>0</v>
      </c>
      <c r="E110" s="135"/>
      <c r="F110" s="135"/>
      <c r="G110" s="135"/>
      <c r="H110" s="135"/>
      <c r="I110" s="135"/>
      <c r="J110" s="135"/>
      <c r="K110" s="135"/>
      <c r="L110" s="135"/>
      <c r="M110" s="135"/>
    </row>
    <row r="111" spans="1:13">
      <c r="A111" s="396"/>
      <c r="B111" s="397" t="s">
        <v>778</v>
      </c>
      <c r="C111" s="140" t="s">
        <v>779</v>
      </c>
      <c r="D111" s="135">
        <f t="shared" si="41"/>
        <v>300</v>
      </c>
      <c r="E111" s="135">
        <v>300</v>
      </c>
      <c r="F111" s="135"/>
      <c r="G111" s="135"/>
      <c r="H111" s="135"/>
      <c r="I111" s="135"/>
      <c r="J111" s="135"/>
      <c r="K111" s="135"/>
      <c r="L111" s="135"/>
      <c r="M111" s="135"/>
    </row>
    <row r="112" spans="1:13">
      <c r="A112" s="396"/>
      <c r="B112" s="397" t="s">
        <v>780</v>
      </c>
      <c r="C112" s="140" t="s">
        <v>781</v>
      </c>
      <c r="D112" s="135">
        <f t="shared" si="41"/>
        <v>50</v>
      </c>
      <c r="E112" s="135">
        <v>50</v>
      </c>
      <c r="F112" s="135"/>
      <c r="G112" s="135"/>
      <c r="H112" s="135"/>
      <c r="I112" s="135"/>
      <c r="J112" s="135"/>
      <c r="K112" s="135"/>
      <c r="L112" s="135"/>
      <c r="M112" s="135"/>
    </row>
    <row r="113" spans="1:13">
      <c r="A113" s="396"/>
      <c r="B113" s="397" t="s">
        <v>782</v>
      </c>
      <c r="C113" s="140" t="s">
        <v>783</v>
      </c>
      <c r="D113" s="135">
        <f t="shared" si="41"/>
        <v>3250</v>
      </c>
      <c r="E113" s="135">
        <v>950</v>
      </c>
      <c r="F113" s="135">
        <v>1050</v>
      </c>
      <c r="G113" s="135"/>
      <c r="H113" s="135"/>
      <c r="I113" s="135">
        <v>1000</v>
      </c>
      <c r="J113" s="135">
        <v>250</v>
      </c>
      <c r="K113" s="135"/>
      <c r="L113" s="135"/>
      <c r="M113" s="135"/>
    </row>
    <row r="114" spans="1:13">
      <c r="A114" s="398" t="s">
        <v>254</v>
      </c>
      <c r="B114" s="399" t="s">
        <v>784</v>
      </c>
      <c r="C114" s="136" t="s">
        <v>785</v>
      </c>
      <c r="D114" s="137">
        <f>SUM(D110:D113)</f>
        <v>3600</v>
      </c>
      <c r="E114" s="137">
        <f t="shared" ref="E114:M114" si="42">SUM(E110:E113)</f>
        <v>1300</v>
      </c>
      <c r="F114" s="137">
        <f t="shared" si="42"/>
        <v>1050</v>
      </c>
      <c r="G114" s="137">
        <f t="shared" si="42"/>
        <v>0</v>
      </c>
      <c r="H114" s="137">
        <f t="shared" si="42"/>
        <v>0</v>
      </c>
      <c r="I114" s="137">
        <f t="shared" si="42"/>
        <v>1000</v>
      </c>
      <c r="J114" s="137">
        <f t="shared" si="42"/>
        <v>250</v>
      </c>
      <c r="K114" s="137">
        <f t="shared" si="42"/>
        <v>0</v>
      </c>
      <c r="L114" s="137">
        <f t="shared" si="42"/>
        <v>0</v>
      </c>
      <c r="M114" s="137">
        <f t="shared" si="42"/>
        <v>0</v>
      </c>
    </row>
    <row r="115" spans="1:13">
      <c r="A115" s="402" t="s">
        <v>256</v>
      </c>
      <c r="B115" s="403" t="s">
        <v>786</v>
      </c>
      <c r="C115" s="138" t="s">
        <v>787</v>
      </c>
      <c r="D115" s="139">
        <f>D97+D98+D101+D102+D105+D109+D114</f>
        <v>29100</v>
      </c>
      <c r="E115" s="139">
        <f t="shared" ref="E115:M115" si="43">E97+E98+E101+E102+E105+E109+E114</f>
        <v>6700</v>
      </c>
      <c r="F115" s="139">
        <f t="shared" si="43"/>
        <v>1700</v>
      </c>
      <c r="G115" s="139">
        <f t="shared" si="43"/>
        <v>0</v>
      </c>
      <c r="H115" s="139">
        <f t="shared" si="43"/>
        <v>0</v>
      </c>
      <c r="I115" s="139">
        <f t="shared" si="43"/>
        <v>9300</v>
      </c>
      <c r="J115" s="139">
        <f t="shared" si="43"/>
        <v>11400</v>
      </c>
      <c r="K115" s="139">
        <f t="shared" si="43"/>
        <v>0</v>
      </c>
      <c r="L115" s="139">
        <f t="shared" si="43"/>
        <v>0</v>
      </c>
      <c r="M115" s="139">
        <f t="shared" si="43"/>
        <v>0</v>
      </c>
    </row>
    <row r="116" spans="1:13">
      <c r="A116" s="396"/>
      <c r="B116" s="397" t="s">
        <v>788</v>
      </c>
      <c r="C116" s="140" t="s">
        <v>789</v>
      </c>
      <c r="D116" s="135">
        <f t="shared" ref="D116:D117" si="44">SUM(E116:M116)</f>
        <v>750</v>
      </c>
      <c r="E116" s="135">
        <v>550</v>
      </c>
      <c r="F116" s="135"/>
      <c r="G116" s="135"/>
      <c r="H116" s="135"/>
      <c r="I116" s="135">
        <v>200</v>
      </c>
      <c r="J116" s="135"/>
      <c r="K116" s="135"/>
      <c r="L116" s="135"/>
      <c r="M116" s="135"/>
    </row>
    <row r="117" spans="1:13">
      <c r="A117" s="396"/>
      <c r="B117" s="397" t="s">
        <v>790</v>
      </c>
      <c r="C117" s="140" t="s">
        <v>791</v>
      </c>
      <c r="D117" s="135">
        <f t="shared" si="44"/>
        <v>0</v>
      </c>
      <c r="E117" s="135"/>
      <c r="F117" s="135"/>
      <c r="G117" s="135"/>
      <c r="H117" s="135"/>
      <c r="I117" s="135"/>
      <c r="J117" s="135"/>
      <c r="K117" s="135"/>
      <c r="L117" s="135"/>
      <c r="M117" s="135"/>
    </row>
    <row r="118" spans="1:13">
      <c r="A118" s="398" t="s">
        <v>258</v>
      </c>
      <c r="B118" s="399" t="s">
        <v>792</v>
      </c>
      <c r="C118" s="136" t="s">
        <v>793</v>
      </c>
      <c r="D118" s="137">
        <f>SUM(D116:D117)</f>
        <v>750</v>
      </c>
      <c r="E118" s="137">
        <f t="shared" ref="E118:M118" si="45">SUM(E116:E117)</f>
        <v>550</v>
      </c>
      <c r="F118" s="137">
        <f t="shared" si="45"/>
        <v>0</v>
      </c>
      <c r="G118" s="137">
        <f t="shared" si="45"/>
        <v>0</v>
      </c>
      <c r="H118" s="137">
        <f t="shared" si="45"/>
        <v>0</v>
      </c>
      <c r="I118" s="137">
        <f t="shared" si="45"/>
        <v>200</v>
      </c>
      <c r="J118" s="137">
        <f t="shared" si="45"/>
        <v>0</v>
      </c>
      <c r="K118" s="137">
        <f t="shared" si="45"/>
        <v>0</v>
      </c>
      <c r="L118" s="137">
        <f t="shared" si="45"/>
        <v>0</v>
      </c>
      <c r="M118" s="137">
        <f t="shared" si="45"/>
        <v>0</v>
      </c>
    </row>
    <row r="119" spans="1:13">
      <c r="A119" s="400" t="s">
        <v>260</v>
      </c>
      <c r="B119" s="401" t="s">
        <v>794</v>
      </c>
      <c r="C119" s="136" t="s">
        <v>261</v>
      </c>
      <c r="D119" s="137">
        <f>SUM(E119:M119)</f>
        <v>300</v>
      </c>
      <c r="E119" s="137">
        <v>300</v>
      </c>
      <c r="F119" s="137"/>
      <c r="G119" s="137"/>
      <c r="H119" s="137"/>
      <c r="I119" s="137"/>
      <c r="J119" s="137"/>
      <c r="K119" s="137"/>
      <c r="L119" s="137"/>
      <c r="M119" s="137"/>
    </row>
    <row r="120" spans="1:13">
      <c r="A120" s="402" t="s">
        <v>262</v>
      </c>
      <c r="B120" s="403" t="s">
        <v>795</v>
      </c>
      <c r="C120" s="138" t="s">
        <v>796</v>
      </c>
      <c r="D120" s="139">
        <f>D118+D119</f>
        <v>1050</v>
      </c>
      <c r="E120" s="139">
        <f t="shared" ref="E120:M120" si="46">E118+E119</f>
        <v>850</v>
      </c>
      <c r="F120" s="139">
        <f t="shared" si="46"/>
        <v>0</v>
      </c>
      <c r="G120" s="139">
        <f t="shared" si="46"/>
        <v>0</v>
      </c>
      <c r="H120" s="139">
        <f t="shared" si="46"/>
        <v>0</v>
      </c>
      <c r="I120" s="139">
        <f t="shared" si="46"/>
        <v>200</v>
      </c>
      <c r="J120" s="139">
        <f t="shared" si="46"/>
        <v>0</v>
      </c>
      <c r="K120" s="139">
        <f t="shared" si="46"/>
        <v>0</v>
      </c>
      <c r="L120" s="139">
        <f t="shared" si="46"/>
        <v>0</v>
      </c>
      <c r="M120" s="139">
        <f t="shared" si="46"/>
        <v>0</v>
      </c>
    </row>
    <row r="121" spans="1:13">
      <c r="A121" s="396"/>
      <c r="B121" s="397" t="s">
        <v>797</v>
      </c>
      <c r="C121" s="140" t="s">
        <v>798</v>
      </c>
      <c r="D121" s="135">
        <f t="shared" ref="D121:D122" si="47">SUM(E121:M121)</f>
        <v>0</v>
      </c>
      <c r="E121" s="135"/>
      <c r="F121" s="135"/>
      <c r="G121" s="135"/>
      <c r="H121" s="135"/>
      <c r="I121" s="135"/>
      <c r="J121" s="135"/>
      <c r="K121" s="135"/>
      <c r="L121" s="135"/>
      <c r="M121" s="135"/>
    </row>
    <row r="122" spans="1:13">
      <c r="A122" s="396"/>
      <c r="B122" s="397" t="s">
        <v>799</v>
      </c>
      <c r="C122" s="140" t="s">
        <v>800</v>
      </c>
      <c r="D122" s="135">
        <f t="shared" si="47"/>
        <v>11647</v>
      </c>
      <c r="E122" s="135">
        <f>ROUND((E81+E92+E115+E120)*0.27,0)</f>
        <v>2804</v>
      </c>
      <c r="F122" s="135">
        <f t="shared" ref="F122:M122" si="48">ROUND((F81+F92+F115+F120)*0.27,0)</f>
        <v>506</v>
      </c>
      <c r="G122" s="135">
        <f t="shared" si="48"/>
        <v>0</v>
      </c>
      <c r="H122" s="135">
        <f t="shared" si="48"/>
        <v>0</v>
      </c>
      <c r="I122" s="135">
        <f t="shared" si="48"/>
        <v>3397</v>
      </c>
      <c r="J122" s="135">
        <f t="shared" si="48"/>
        <v>3267</v>
      </c>
      <c r="K122" s="135">
        <f t="shared" si="48"/>
        <v>1673</v>
      </c>
      <c r="L122" s="135">
        <f t="shared" si="48"/>
        <v>0</v>
      </c>
      <c r="M122" s="135">
        <f t="shared" si="48"/>
        <v>0</v>
      </c>
    </row>
    <row r="123" spans="1:13">
      <c r="A123" s="398" t="s">
        <v>264</v>
      </c>
      <c r="B123" s="399" t="s">
        <v>801</v>
      </c>
      <c r="C123" s="136" t="s">
        <v>802</v>
      </c>
      <c r="D123" s="137">
        <f>SUM(D121:D122)</f>
        <v>11647</v>
      </c>
      <c r="E123" s="137">
        <f t="shared" ref="E123:M123" si="49">SUM(E121:E122)</f>
        <v>2804</v>
      </c>
      <c r="F123" s="137">
        <f t="shared" si="49"/>
        <v>506</v>
      </c>
      <c r="G123" s="137">
        <f t="shared" si="49"/>
        <v>0</v>
      </c>
      <c r="H123" s="137">
        <f t="shared" si="49"/>
        <v>0</v>
      </c>
      <c r="I123" s="137">
        <f t="shared" si="49"/>
        <v>3397</v>
      </c>
      <c r="J123" s="137">
        <f t="shared" si="49"/>
        <v>3267</v>
      </c>
      <c r="K123" s="137">
        <f t="shared" si="49"/>
        <v>1673</v>
      </c>
      <c r="L123" s="137">
        <f t="shared" si="49"/>
        <v>0</v>
      </c>
      <c r="M123" s="137">
        <f t="shared" si="49"/>
        <v>0</v>
      </c>
    </row>
    <row r="124" spans="1:13">
      <c r="A124" s="396"/>
      <c r="B124" s="397" t="s">
        <v>803</v>
      </c>
      <c r="C124" s="140" t="s">
        <v>804</v>
      </c>
      <c r="D124" s="135">
        <f t="shared" ref="D124:D126" si="50">SUM(E124:M124)</f>
        <v>0</v>
      </c>
      <c r="E124" s="135"/>
      <c r="F124" s="135"/>
      <c r="G124" s="135"/>
      <c r="H124" s="135"/>
      <c r="I124" s="135"/>
      <c r="J124" s="135"/>
      <c r="K124" s="135"/>
      <c r="L124" s="135"/>
      <c r="M124" s="135"/>
    </row>
    <row r="125" spans="1:13">
      <c r="A125" s="396"/>
      <c r="B125" s="397" t="s">
        <v>805</v>
      </c>
      <c r="C125" s="140" t="s">
        <v>806</v>
      </c>
      <c r="D125" s="135">
        <f t="shared" si="50"/>
        <v>0</v>
      </c>
      <c r="E125" s="135"/>
      <c r="F125" s="135"/>
      <c r="G125" s="135"/>
      <c r="H125" s="135"/>
      <c r="I125" s="135"/>
      <c r="J125" s="135"/>
      <c r="K125" s="135"/>
      <c r="L125" s="135"/>
      <c r="M125" s="135"/>
    </row>
    <row r="126" spans="1:13">
      <c r="A126" s="396"/>
      <c r="B126" s="397" t="s">
        <v>807</v>
      </c>
      <c r="C126" s="140" t="s">
        <v>808</v>
      </c>
      <c r="D126" s="135">
        <f t="shared" si="50"/>
        <v>0</v>
      </c>
      <c r="E126" s="135"/>
      <c r="F126" s="135"/>
      <c r="G126" s="135"/>
      <c r="H126" s="135"/>
      <c r="I126" s="135"/>
      <c r="J126" s="135"/>
      <c r="K126" s="135"/>
      <c r="L126" s="135"/>
      <c r="M126" s="135"/>
    </row>
    <row r="127" spans="1:13">
      <c r="A127" s="398" t="s">
        <v>266</v>
      </c>
      <c r="B127" s="399" t="s">
        <v>809</v>
      </c>
      <c r="C127" s="136" t="s">
        <v>810</v>
      </c>
      <c r="D127" s="137">
        <f>SUM(D124:D126)</f>
        <v>0</v>
      </c>
      <c r="E127" s="137">
        <f t="shared" ref="E127:M127" si="51">SUM(E124:E126)</f>
        <v>0</v>
      </c>
      <c r="F127" s="137">
        <f t="shared" si="51"/>
        <v>0</v>
      </c>
      <c r="G127" s="137">
        <f t="shared" si="51"/>
        <v>0</v>
      </c>
      <c r="H127" s="137">
        <f t="shared" si="51"/>
        <v>0</v>
      </c>
      <c r="I127" s="137">
        <f t="shared" si="51"/>
        <v>0</v>
      </c>
      <c r="J127" s="137">
        <f t="shared" si="51"/>
        <v>0</v>
      </c>
      <c r="K127" s="137">
        <f t="shared" si="51"/>
        <v>0</v>
      </c>
      <c r="L127" s="137">
        <f t="shared" si="51"/>
        <v>0</v>
      </c>
      <c r="M127" s="137">
        <f t="shared" si="51"/>
        <v>0</v>
      </c>
    </row>
    <row r="128" spans="1:13">
      <c r="A128" s="396"/>
      <c r="B128" s="397" t="s">
        <v>811</v>
      </c>
      <c r="C128" s="140" t="s">
        <v>812</v>
      </c>
      <c r="D128" s="135">
        <f t="shared" ref="D128:D131" si="52">SUM(E128:M128)</f>
        <v>0</v>
      </c>
      <c r="E128" s="135"/>
      <c r="F128" s="135"/>
      <c r="G128" s="135"/>
      <c r="H128" s="135"/>
      <c r="I128" s="135"/>
      <c r="J128" s="135"/>
      <c r="K128" s="135"/>
      <c r="L128" s="135"/>
      <c r="M128" s="135"/>
    </row>
    <row r="129" spans="1:13">
      <c r="A129" s="396"/>
      <c r="B129" s="397" t="s">
        <v>813</v>
      </c>
      <c r="C129" s="140" t="s">
        <v>814</v>
      </c>
      <c r="D129" s="135">
        <f t="shared" si="52"/>
        <v>0</v>
      </c>
      <c r="E129" s="135"/>
      <c r="F129" s="135"/>
      <c r="G129" s="135"/>
      <c r="H129" s="135"/>
      <c r="I129" s="135"/>
      <c r="J129" s="135"/>
      <c r="K129" s="135"/>
      <c r="L129" s="135"/>
      <c r="M129" s="135"/>
    </row>
    <row r="130" spans="1:13">
      <c r="A130" s="396"/>
      <c r="B130" s="397" t="s">
        <v>815</v>
      </c>
      <c r="C130" s="140" t="s">
        <v>816</v>
      </c>
      <c r="D130" s="135">
        <f t="shared" si="52"/>
        <v>0</v>
      </c>
      <c r="E130" s="135"/>
      <c r="F130" s="135"/>
      <c r="G130" s="135"/>
      <c r="H130" s="135"/>
      <c r="I130" s="135"/>
      <c r="J130" s="135"/>
      <c r="K130" s="135"/>
      <c r="L130" s="135"/>
      <c r="M130" s="135"/>
    </row>
    <row r="131" spans="1:13">
      <c r="A131" s="396"/>
      <c r="B131" s="397" t="s">
        <v>817</v>
      </c>
      <c r="C131" s="140" t="s">
        <v>818</v>
      </c>
      <c r="D131" s="135">
        <f t="shared" si="52"/>
        <v>40</v>
      </c>
      <c r="E131" s="135">
        <v>40</v>
      </c>
      <c r="F131" s="135"/>
      <c r="G131" s="135"/>
      <c r="H131" s="135"/>
      <c r="I131" s="135"/>
      <c r="J131" s="135"/>
      <c r="K131" s="135"/>
      <c r="L131" s="135"/>
      <c r="M131" s="135"/>
    </row>
    <row r="132" spans="1:13">
      <c r="A132" s="398" t="s">
        <v>268</v>
      </c>
      <c r="B132" s="399" t="s">
        <v>819</v>
      </c>
      <c r="C132" s="136" t="s">
        <v>269</v>
      </c>
      <c r="D132" s="137">
        <f>SUM(D128:D131)</f>
        <v>40</v>
      </c>
      <c r="E132" s="137">
        <f t="shared" ref="E132:M132" si="53">SUM(E128:E131)</f>
        <v>40</v>
      </c>
      <c r="F132" s="137">
        <f t="shared" si="53"/>
        <v>0</v>
      </c>
      <c r="G132" s="137">
        <f t="shared" si="53"/>
        <v>0</v>
      </c>
      <c r="H132" s="137">
        <f t="shared" si="53"/>
        <v>0</v>
      </c>
      <c r="I132" s="137">
        <f t="shared" si="53"/>
        <v>0</v>
      </c>
      <c r="J132" s="137">
        <f t="shared" si="53"/>
        <v>0</v>
      </c>
      <c r="K132" s="137">
        <f t="shared" si="53"/>
        <v>0</v>
      </c>
      <c r="L132" s="137">
        <f t="shared" si="53"/>
        <v>0</v>
      </c>
      <c r="M132" s="137">
        <f t="shared" si="53"/>
        <v>0</v>
      </c>
    </row>
    <row r="133" spans="1:13">
      <c r="A133" s="396"/>
      <c r="B133" s="397" t="s">
        <v>820</v>
      </c>
      <c r="C133" s="140" t="s">
        <v>821</v>
      </c>
      <c r="D133" s="135">
        <f t="shared" ref="D133:D134" si="54">SUM(E133:M133)</f>
        <v>0</v>
      </c>
      <c r="E133" s="135"/>
      <c r="F133" s="135"/>
      <c r="G133" s="135"/>
      <c r="H133" s="135"/>
      <c r="I133" s="135"/>
      <c r="J133" s="135"/>
      <c r="K133" s="135"/>
      <c r="L133" s="135"/>
      <c r="M133" s="135"/>
    </row>
    <row r="134" spans="1:13">
      <c r="A134" s="396"/>
      <c r="B134" s="397" t="s">
        <v>822</v>
      </c>
      <c r="C134" s="140" t="s">
        <v>823</v>
      </c>
      <c r="D134" s="135">
        <f t="shared" si="54"/>
        <v>0</v>
      </c>
      <c r="E134" s="135"/>
      <c r="F134" s="135"/>
      <c r="G134" s="135"/>
      <c r="H134" s="135"/>
      <c r="I134" s="135"/>
      <c r="J134" s="135"/>
      <c r="K134" s="135"/>
      <c r="L134" s="135"/>
      <c r="M134" s="135"/>
    </row>
    <row r="135" spans="1:13">
      <c r="A135" s="398" t="s">
        <v>270</v>
      </c>
      <c r="B135" s="399" t="s">
        <v>824</v>
      </c>
      <c r="C135" s="136" t="s">
        <v>271</v>
      </c>
      <c r="D135" s="137">
        <f>SUM(D133:D134)</f>
        <v>0</v>
      </c>
      <c r="E135" s="137">
        <f t="shared" ref="E135:M135" si="55">SUM(E133:E134)</f>
        <v>0</v>
      </c>
      <c r="F135" s="137">
        <f t="shared" si="55"/>
        <v>0</v>
      </c>
      <c r="G135" s="137">
        <f t="shared" si="55"/>
        <v>0</v>
      </c>
      <c r="H135" s="137">
        <f t="shared" si="55"/>
        <v>0</v>
      </c>
      <c r="I135" s="137">
        <f t="shared" si="55"/>
        <v>0</v>
      </c>
      <c r="J135" s="137">
        <f t="shared" si="55"/>
        <v>0</v>
      </c>
      <c r="K135" s="137">
        <f t="shared" si="55"/>
        <v>0</v>
      </c>
      <c r="L135" s="137">
        <f t="shared" si="55"/>
        <v>0</v>
      </c>
      <c r="M135" s="137">
        <f t="shared" si="55"/>
        <v>0</v>
      </c>
    </row>
    <row r="136" spans="1:13">
      <c r="A136" s="396"/>
      <c r="B136" s="397" t="s">
        <v>825</v>
      </c>
      <c r="C136" s="140" t="s">
        <v>826</v>
      </c>
      <c r="D136" s="135">
        <f t="shared" ref="D136:D139" si="56">SUM(E136:M136)</f>
        <v>0</v>
      </c>
      <c r="E136" s="135"/>
      <c r="F136" s="135"/>
      <c r="G136" s="135"/>
      <c r="H136" s="135"/>
      <c r="I136" s="135"/>
      <c r="J136" s="135"/>
      <c r="K136" s="135"/>
      <c r="L136" s="135"/>
      <c r="M136" s="135"/>
    </row>
    <row r="137" spans="1:13">
      <c r="A137" s="396"/>
      <c r="B137" s="397" t="s">
        <v>827</v>
      </c>
      <c r="C137" s="140" t="s">
        <v>828</v>
      </c>
      <c r="D137" s="135">
        <f t="shared" si="56"/>
        <v>0</v>
      </c>
      <c r="E137" s="135"/>
      <c r="F137" s="135"/>
      <c r="G137" s="135"/>
      <c r="H137" s="135"/>
      <c r="I137" s="135"/>
      <c r="J137" s="135"/>
      <c r="K137" s="135"/>
      <c r="L137" s="135"/>
      <c r="M137" s="135"/>
    </row>
    <row r="138" spans="1:13">
      <c r="A138" s="396"/>
      <c r="B138" s="397" t="s">
        <v>829</v>
      </c>
      <c r="C138" s="140" t="s">
        <v>830</v>
      </c>
      <c r="D138" s="135">
        <f t="shared" si="56"/>
        <v>0</v>
      </c>
      <c r="E138" s="135"/>
      <c r="F138" s="135"/>
      <c r="G138" s="135"/>
      <c r="H138" s="135"/>
      <c r="I138" s="135"/>
      <c r="J138" s="135"/>
      <c r="K138" s="135"/>
      <c r="L138" s="135"/>
      <c r="M138" s="135"/>
    </row>
    <row r="139" spans="1:13">
      <c r="A139" s="396"/>
      <c r="B139" s="397" t="s">
        <v>831</v>
      </c>
      <c r="C139" s="140" t="s">
        <v>832</v>
      </c>
      <c r="D139" s="135">
        <f t="shared" si="56"/>
        <v>0</v>
      </c>
      <c r="E139" s="135"/>
      <c r="F139" s="135"/>
      <c r="G139" s="135"/>
      <c r="H139" s="135"/>
      <c r="I139" s="135"/>
      <c r="J139" s="135"/>
      <c r="K139" s="135"/>
      <c r="L139" s="135"/>
      <c r="M139" s="135"/>
    </row>
    <row r="140" spans="1:13">
      <c r="A140" s="398" t="s">
        <v>272</v>
      </c>
      <c r="B140" s="399" t="s">
        <v>833</v>
      </c>
      <c r="C140" s="136" t="s">
        <v>273</v>
      </c>
      <c r="D140" s="137">
        <f>SUM(D136:D139)</f>
        <v>0</v>
      </c>
      <c r="E140" s="137">
        <f t="shared" ref="E140:M140" si="57">SUM(E136:E139)</f>
        <v>0</v>
      </c>
      <c r="F140" s="137">
        <f t="shared" si="57"/>
        <v>0</v>
      </c>
      <c r="G140" s="137">
        <f t="shared" si="57"/>
        <v>0</v>
      </c>
      <c r="H140" s="137">
        <f t="shared" si="57"/>
        <v>0</v>
      </c>
      <c r="I140" s="137">
        <f t="shared" si="57"/>
        <v>0</v>
      </c>
      <c r="J140" s="137">
        <f t="shared" si="57"/>
        <v>0</v>
      </c>
      <c r="K140" s="137">
        <f t="shared" si="57"/>
        <v>0</v>
      </c>
      <c r="L140" s="137">
        <f t="shared" si="57"/>
        <v>0</v>
      </c>
      <c r="M140" s="137">
        <f t="shared" si="57"/>
        <v>0</v>
      </c>
    </row>
    <row r="141" spans="1:13">
      <c r="A141" s="402" t="s">
        <v>274</v>
      </c>
      <c r="B141" s="403" t="s">
        <v>834</v>
      </c>
      <c r="C141" s="138" t="s">
        <v>275</v>
      </c>
      <c r="D141" s="139">
        <f>D123+D127+D132+D135+D140</f>
        <v>11687</v>
      </c>
      <c r="E141" s="139">
        <f t="shared" ref="E141:M141" si="58">E123+E127+E132+E135+E140</f>
        <v>2844</v>
      </c>
      <c r="F141" s="139">
        <f t="shared" si="58"/>
        <v>506</v>
      </c>
      <c r="G141" s="139">
        <f t="shared" si="58"/>
        <v>0</v>
      </c>
      <c r="H141" s="139">
        <f t="shared" si="58"/>
        <v>0</v>
      </c>
      <c r="I141" s="139">
        <f t="shared" si="58"/>
        <v>3397</v>
      </c>
      <c r="J141" s="139">
        <f t="shared" si="58"/>
        <v>3267</v>
      </c>
      <c r="K141" s="139">
        <f t="shared" si="58"/>
        <v>1673</v>
      </c>
      <c r="L141" s="139">
        <f t="shared" si="58"/>
        <v>0</v>
      </c>
      <c r="M141" s="139">
        <f t="shared" si="58"/>
        <v>0</v>
      </c>
    </row>
    <row r="142" spans="1:13">
      <c r="A142" s="404" t="s">
        <v>276</v>
      </c>
      <c r="B142" s="405" t="s">
        <v>835</v>
      </c>
      <c r="C142" s="406" t="s">
        <v>277</v>
      </c>
      <c r="D142" s="407">
        <f>D81+D92+D115+D120+D141</f>
        <v>54822</v>
      </c>
      <c r="E142" s="407">
        <f t="shared" ref="E142:M142" si="59">E81+E92+E115+E120+E141</f>
        <v>13229</v>
      </c>
      <c r="F142" s="407">
        <f t="shared" si="59"/>
        <v>2381</v>
      </c>
      <c r="G142" s="407">
        <f t="shared" si="59"/>
        <v>0</v>
      </c>
      <c r="H142" s="407">
        <f t="shared" si="59"/>
        <v>0</v>
      </c>
      <c r="I142" s="407">
        <f t="shared" si="59"/>
        <v>15977</v>
      </c>
      <c r="J142" s="407">
        <f t="shared" si="59"/>
        <v>15367</v>
      </c>
      <c r="K142" s="407">
        <f t="shared" si="59"/>
        <v>7868</v>
      </c>
      <c r="L142" s="407">
        <f t="shared" si="59"/>
        <v>0</v>
      </c>
      <c r="M142" s="407">
        <f t="shared" si="59"/>
        <v>0</v>
      </c>
    </row>
    <row r="143" spans="1:13">
      <c r="A143" s="408"/>
      <c r="B143" s="409"/>
      <c r="C143" s="410" t="s">
        <v>836</v>
      </c>
      <c r="D143" s="411">
        <f>D54+D63+D142</f>
        <v>192637</v>
      </c>
      <c r="E143" s="411">
        <f t="shared" ref="E143:M143" si="60">E54+E63+E142</f>
        <v>64198</v>
      </c>
      <c r="F143" s="411">
        <f t="shared" si="60"/>
        <v>20069</v>
      </c>
      <c r="G143" s="411">
        <f t="shared" si="60"/>
        <v>0</v>
      </c>
      <c r="H143" s="411">
        <f t="shared" si="60"/>
        <v>0</v>
      </c>
      <c r="I143" s="411">
        <f t="shared" si="60"/>
        <v>85135</v>
      </c>
      <c r="J143" s="411">
        <f t="shared" si="60"/>
        <v>15367</v>
      </c>
      <c r="K143" s="411">
        <f t="shared" si="60"/>
        <v>7868</v>
      </c>
      <c r="L143" s="411">
        <f t="shared" si="60"/>
        <v>0</v>
      </c>
      <c r="M143" s="411">
        <f t="shared" si="60"/>
        <v>0</v>
      </c>
    </row>
    <row r="144" spans="1:13">
      <c r="A144" s="396"/>
      <c r="B144" s="397" t="s">
        <v>837</v>
      </c>
      <c r="C144" s="140" t="s">
        <v>838</v>
      </c>
      <c r="D144" s="135">
        <f t="shared" ref="D144:D147" si="61">SUM(E144:M144)</f>
        <v>550</v>
      </c>
      <c r="E144" s="135">
        <v>300</v>
      </c>
      <c r="F144" s="135"/>
      <c r="G144" s="135"/>
      <c r="H144" s="135"/>
      <c r="I144" s="135">
        <v>250</v>
      </c>
      <c r="J144" s="135"/>
      <c r="K144" s="135"/>
      <c r="L144" s="135"/>
      <c r="M144" s="135"/>
    </row>
    <row r="145" spans="1:13">
      <c r="A145" s="396"/>
      <c r="B145" s="397" t="s">
        <v>839</v>
      </c>
      <c r="C145" s="140" t="s">
        <v>840</v>
      </c>
      <c r="D145" s="135">
        <f t="shared" si="61"/>
        <v>0</v>
      </c>
      <c r="E145" s="135"/>
      <c r="F145" s="135"/>
      <c r="G145" s="135"/>
      <c r="H145" s="135"/>
      <c r="I145" s="135"/>
      <c r="J145" s="135"/>
      <c r="K145" s="135"/>
      <c r="L145" s="135"/>
      <c r="M145" s="135"/>
    </row>
    <row r="146" spans="1:13">
      <c r="A146" s="396"/>
      <c r="B146" s="397" t="s">
        <v>841</v>
      </c>
      <c r="C146" s="140" t="s">
        <v>842</v>
      </c>
      <c r="D146" s="135">
        <f t="shared" si="61"/>
        <v>0</v>
      </c>
      <c r="E146" s="135"/>
      <c r="F146" s="135"/>
      <c r="G146" s="135"/>
      <c r="H146" s="135"/>
      <c r="I146" s="135"/>
      <c r="J146" s="135"/>
      <c r="K146" s="135"/>
      <c r="L146" s="135"/>
      <c r="M146" s="135"/>
    </row>
    <row r="147" spans="1:13">
      <c r="A147" s="412" t="s">
        <v>332</v>
      </c>
      <c r="B147" s="413" t="s">
        <v>843</v>
      </c>
      <c r="C147" s="140" t="s">
        <v>844</v>
      </c>
      <c r="D147" s="135">
        <f t="shared" si="61"/>
        <v>149</v>
      </c>
      <c r="E147" s="135">
        <f>ROUND((E145+E144)*0.27,0)</f>
        <v>81</v>
      </c>
      <c r="F147" s="135">
        <f t="shared" ref="F147:M147" si="62">ROUND((F145+F144)*0.27,0)</f>
        <v>0</v>
      </c>
      <c r="G147" s="135">
        <f t="shared" si="62"/>
        <v>0</v>
      </c>
      <c r="H147" s="135">
        <f t="shared" si="62"/>
        <v>0</v>
      </c>
      <c r="I147" s="135">
        <f t="shared" si="62"/>
        <v>68</v>
      </c>
      <c r="J147" s="135">
        <f t="shared" si="62"/>
        <v>0</v>
      </c>
      <c r="K147" s="135">
        <f t="shared" si="62"/>
        <v>0</v>
      </c>
      <c r="L147" s="135">
        <f t="shared" si="62"/>
        <v>0</v>
      </c>
      <c r="M147" s="135">
        <f t="shared" si="62"/>
        <v>0</v>
      </c>
    </row>
    <row r="148" spans="1:13">
      <c r="A148" s="404" t="s">
        <v>334</v>
      </c>
      <c r="B148" s="405" t="s">
        <v>845</v>
      </c>
      <c r="C148" s="406" t="s">
        <v>846</v>
      </c>
      <c r="D148" s="407">
        <f>SUM(D144:D147)</f>
        <v>699</v>
      </c>
      <c r="E148" s="407">
        <f t="shared" ref="E148:M148" si="63">SUM(E144:E147)</f>
        <v>381</v>
      </c>
      <c r="F148" s="407">
        <f t="shared" si="63"/>
        <v>0</v>
      </c>
      <c r="G148" s="407">
        <f t="shared" si="63"/>
        <v>0</v>
      </c>
      <c r="H148" s="407">
        <f t="shared" si="63"/>
        <v>0</v>
      </c>
      <c r="I148" s="407">
        <f t="shared" si="63"/>
        <v>318</v>
      </c>
      <c r="J148" s="407">
        <f t="shared" si="63"/>
        <v>0</v>
      </c>
      <c r="K148" s="407">
        <f t="shared" si="63"/>
        <v>0</v>
      </c>
      <c r="L148" s="407">
        <f t="shared" si="63"/>
        <v>0</v>
      </c>
      <c r="M148" s="407">
        <f t="shared" si="63"/>
        <v>0</v>
      </c>
    </row>
    <row r="149" spans="1:13">
      <c r="A149" s="396"/>
      <c r="B149" s="397" t="s">
        <v>847</v>
      </c>
      <c r="C149" s="140" t="s">
        <v>848</v>
      </c>
      <c r="D149" s="135">
        <f t="shared" ref="D149:D152" si="64">SUM(E149:M149)</f>
        <v>0</v>
      </c>
      <c r="E149" s="135"/>
      <c r="F149" s="135"/>
      <c r="G149" s="135"/>
      <c r="H149" s="135"/>
      <c r="I149" s="135"/>
      <c r="J149" s="135"/>
      <c r="K149" s="135"/>
      <c r="L149" s="135"/>
      <c r="M149" s="135"/>
    </row>
    <row r="150" spans="1:13">
      <c r="A150" s="396"/>
      <c r="B150" s="397" t="s">
        <v>849</v>
      </c>
      <c r="C150" s="140" t="s">
        <v>850</v>
      </c>
      <c r="D150" s="135">
        <f t="shared" si="64"/>
        <v>0</v>
      </c>
      <c r="E150" s="135"/>
      <c r="F150" s="135"/>
      <c r="G150" s="135"/>
      <c r="H150" s="135"/>
      <c r="I150" s="135"/>
      <c r="J150" s="135"/>
      <c r="K150" s="135"/>
      <c r="L150" s="135"/>
      <c r="M150" s="135"/>
    </row>
    <row r="151" spans="1:13">
      <c r="A151" s="396"/>
      <c r="B151" s="397" t="s">
        <v>851</v>
      </c>
      <c r="C151" s="140" t="s">
        <v>852</v>
      </c>
      <c r="D151" s="135">
        <f t="shared" si="64"/>
        <v>0</v>
      </c>
      <c r="E151" s="135"/>
      <c r="F151" s="135"/>
      <c r="G151" s="135"/>
      <c r="H151" s="135"/>
      <c r="I151" s="135"/>
      <c r="J151" s="135"/>
      <c r="K151" s="135"/>
      <c r="L151" s="135"/>
      <c r="M151" s="135"/>
    </row>
    <row r="152" spans="1:13">
      <c r="A152" s="412" t="s">
        <v>341</v>
      </c>
      <c r="B152" s="413" t="s">
        <v>853</v>
      </c>
      <c r="C152" s="140" t="s">
        <v>854</v>
      </c>
      <c r="D152" s="135">
        <f t="shared" si="64"/>
        <v>0</v>
      </c>
      <c r="E152" s="135"/>
      <c r="F152" s="135"/>
      <c r="G152" s="135"/>
      <c r="H152" s="135"/>
      <c r="I152" s="135"/>
      <c r="J152" s="135"/>
      <c r="K152" s="135"/>
      <c r="L152" s="135"/>
      <c r="M152" s="135"/>
    </row>
    <row r="153" spans="1:13">
      <c r="A153" s="404" t="s">
        <v>343</v>
      </c>
      <c r="B153" s="405" t="s">
        <v>855</v>
      </c>
      <c r="C153" s="406" t="s">
        <v>856</v>
      </c>
      <c r="D153" s="407">
        <f>SUM(D149:D152)</f>
        <v>0</v>
      </c>
      <c r="E153" s="407">
        <f t="shared" ref="E153:M153" si="65">SUM(E149:E152)</f>
        <v>0</v>
      </c>
      <c r="F153" s="407">
        <f t="shared" si="65"/>
        <v>0</v>
      </c>
      <c r="G153" s="407">
        <f t="shared" si="65"/>
        <v>0</v>
      </c>
      <c r="H153" s="407">
        <f t="shared" si="65"/>
        <v>0</v>
      </c>
      <c r="I153" s="407">
        <f t="shared" si="65"/>
        <v>0</v>
      </c>
      <c r="J153" s="407">
        <f t="shared" si="65"/>
        <v>0</v>
      </c>
      <c r="K153" s="407">
        <f t="shared" si="65"/>
        <v>0</v>
      </c>
      <c r="L153" s="407">
        <f t="shared" si="65"/>
        <v>0</v>
      </c>
      <c r="M153" s="407">
        <f t="shared" si="65"/>
        <v>0</v>
      </c>
    </row>
    <row r="154" spans="1:13">
      <c r="A154" s="408"/>
      <c r="B154" s="409"/>
      <c r="C154" s="410" t="s">
        <v>857</v>
      </c>
      <c r="D154" s="411">
        <f>D148+D153</f>
        <v>699</v>
      </c>
      <c r="E154" s="411">
        <f t="shared" ref="E154:M154" si="66">E148+E153</f>
        <v>381</v>
      </c>
      <c r="F154" s="411">
        <f t="shared" si="66"/>
        <v>0</v>
      </c>
      <c r="G154" s="411">
        <f t="shared" si="66"/>
        <v>0</v>
      </c>
      <c r="H154" s="411">
        <f t="shared" si="66"/>
        <v>0</v>
      </c>
      <c r="I154" s="411">
        <f t="shared" si="66"/>
        <v>318</v>
      </c>
      <c r="J154" s="411">
        <f t="shared" si="66"/>
        <v>0</v>
      </c>
      <c r="K154" s="411">
        <f t="shared" si="66"/>
        <v>0</v>
      </c>
      <c r="L154" s="411">
        <f t="shared" si="66"/>
        <v>0</v>
      </c>
      <c r="M154" s="411">
        <f t="shared" si="66"/>
        <v>0</v>
      </c>
    </row>
    <row r="155" spans="1:13">
      <c r="A155" s="414"/>
      <c r="B155" s="415"/>
      <c r="C155" s="416" t="s">
        <v>858</v>
      </c>
      <c r="D155" s="417">
        <f>D143+D154</f>
        <v>193336</v>
      </c>
      <c r="E155" s="417">
        <f t="shared" ref="E155:M155" si="67">E143+E154</f>
        <v>64579</v>
      </c>
      <c r="F155" s="417">
        <f t="shared" si="67"/>
        <v>20069</v>
      </c>
      <c r="G155" s="417">
        <f t="shared" si="67"/>
        <v>0</v>
      </c>
      <c r="H155" s="417">
        <f t="shared" si="67"/>
        <v>0</v>
      </c>
      <c r="I155" s="417">
        <f t="shared" si="67"/>
        <v>85453</v>
      </c>
      <c r="J155" s="417">
        <f t="shared" si="67"/>
        <v>15367</v>
      </c>
      <c r="K155" s="417">
        <f t="shared" si="67"/>
        <v>7868</v>
      </c>
      <c r="L155" s="417">
        <f t="shared" si="67"/>
        <v>0</v>
      </c>
      <c r="M155" s="417">
        <f t="shared" si="67"/>
        <v>0</v>
      </c>
    </row>
    <row r="158" spans="1:13" ht="15">
      <c r="D158" s="423" t="s">
        <v>1379</v>
      </c>
      <c r="E158" s="424"/>
      <c r="F158" s="424"/>
      <c r="G158" s="424"/>
      <c r="H158" s="425"/>
      <c r="I158" s="438" t="s">
        <v>1395</v>
      </c>
      <c r="J158" s="425" t="s">
        <v>1396</v>
      </c>
      <c r="K158" s="427"/>
    </row>
    <row r="159" spans="1:13" ht="15">
      <c r="D159" s="428" t="s">
        <v>1380</v>
      </c>
      <c r="E159" s="424" t="s">
        <v>478</v>
      </c>
      <c r="F159" s="424"/>
      <c r="G159" s="424"/>
      <c r="H159" s="425"/>
      <c r="I159" s="426">
        <v>4882</v>
      </c>
      <c r="J159" s="425">
        <v>4393</v>
      </c>
      <c r="K159" s="427">
        <f>I159+J159</f>
        <v>9275</v>
      </c>
    </row>
    <row r="160" spans="1:13" ht="15">
      <c r="D160" s="428" t="s">
        <v>1381</v>
      </c>
      <c r="E160" s="424" t="s">
        <v>480</v>
      </c>
      <c r="F160" s="424"/>
      <c r="G160" s="424"/>
      <c r="H160" s="425"/>
      <c r="I160" s="426"/>
      <c r="J160" s="425"/>
      <c r="K160" s="427"/>
    </row>
    <row r="161" spans="4:11" ht="15">
      <c r="D161" s="428" t="s">
        <v>1382</v>
      </c>
      <c r="E161" s="424" t="s">
        <v>482</v>
      </c>
      <c r="F161" s="424"/>
      <c r="G161" s="424"/>
      <c r="H161" s="425"/>
      <c r="I161" s="426"/>
      <c r="J161" s="425"/>
      <c r="K161" s="427"/>
    </row>
    <row r="162" spans="4:11" ht="15">
      <c r="D162" s="428" t="s">
        <v>1383</v>
      </c>
      <c r="E162" s="424" t="s">
        <v>484</v>
      </c>
      <c r="F162" s="424"/>
      <c r="G162" s="424"/>
      <c r="H162" s="425"/>
      <c r="I162" s="426"/>
      <c r="J162" s="425"/>
      <c r="K162" s="427"/>
    </row>
    <row r="163" spans="4:11" ht="15">
      <c r="D163" s="429" t="s">
        <v>1384</v>
      </c>
      <c r="E163" s="424" t="s">
        <v>486</v>
      </c>
      <c r="F163" s="424"/>
      <c r="G163" s="424"/>
      <c r="H163" s="425"/>
      <c r="I163" s="426"/>
      <c r="J163" s="425"/>
      <c r="K163" s="427"/>
    </row>
    <row r="164" spans="4:11" ht="15">
      <c r="D164" s="428" t="s">
        <v>1385</v>
      </c>
      <c r="E164" s="424" t="s">
        <v>488</v>
      </c>
      <c r="F164" s="424"/>
      <c r="G164" s="424"/>
      <c r="H164" s="425"/>
      <c r="I164" s="426"/>
      <c r="J164" s="425"/>
      <c r="K164" s="427"/>
    </row>
    <row r="165" spans="4:11" ht="15">
      <c r="D165" s="428" t="s">
        <v>1386</v>
      </c>
      <c r="E165" s="424" t="s">
        <v>490</v>
      </c>
      <c r="F165" s="424"/>
      <c r="G165" s="424"/>
      <c r="H165" s="425"/>
      <c r="I165" s="426"/>
      <c r="J165" s="425"/>
      <c r="K165" s="427"/>
    </row>
    <row r="166" spans="4:11" ht="15">
      <c r="D166" s="428" t="s">
        <v>1387</v>
      </c>
      <c r="E166" s="424" t="s">
        <v>492</v>
      </c>
      <c r="F166" s="424"/>
      <c r="G166" s="424"/>
      <c r="H166" s="425"/>
      <c r="I166" s="430">
        <f>I159*0.27</f>
        <v>1318.14</v>
      </c>
      <c r="J166" s="425">
        <f>J159*0.27</f>
        <v>1186.1100000000001</v>
      </c>
      <c r="K166" s="427">
        <f>I166+J166</f>
        <v>2504.25</v>
      </c>
    </row>
    <row r="167" spans="4:11" ht="15">
      <c r="D167" s="428" t="s">
        <v>1388</v>
      </c>
      <c r="E167" s="424" t="s">
        <v>494</v>
      </c>
      <c r="F167" s="424"/>
      <c r="G167" s="424"/>
      <c r="H167" s="425"/>
      <c r="I167" s="426"/>
      <c r="J167" s="425"/>
      <c r="K167" s="427"/>
    </row>
    <row r="168" spans="4:11" ht="15">
      <c r="D168" s="431" t="s">
        <v>1389</v>
      </c>
      <c r="E168" s="432" t="s">
        <v>496</v>
      </c>
      <c r="F168" s="432"/>
      <c r="G168" s="432"/>
      <c r="H168" s="425"/>
      <c r="I168" s="426"/>
      <c r="J168" s="425"/>
      <c r="K168" s="433"/>
    </row>
    <row r="169" spans="4:11" ht="15">
      <c r="D169" s="428" t="s">
        <v>1390</v>
      </c>
      <c r="E169" s="424" t="s">
        <v>498</v>
      </c>
      <c r="F169" s="424"/>
      <c r="G169" s="424"/>
      <c r="H169" s="425"/>
      <c r="I169" s="426"/>
      <c r="J169" s="425"/>
      <c r="K169" s="427"/>
    </row>
    <row r="170" spans="4:11" ht="15">
      <c r="D170" s="428"/>
      <c r="E170" s="424"/>
      <c r="F170" s="424"/>
      <c r="G170" s="424"/>
      <c r="H170" s="425"/>
      <c r="I170" s="426"/>
      <c r="J170" s="425"/>
      <c r="K170" s="427"/>
    </row>
    <row r="171" spans="4:11" ht="15">
      <c r="D171" s="434" t="s">
        <v>1391</v>
      </c>
      <c r="E171" s="435">
        <v>12</v>
      </c>
      <c r="F171" s="435"/>
      <c r="G171" s="435"/>
      <c r="H171" s="425"/>
      <c r="I171" s="430">
        <f>I159+I160+I161+I162+I163+I164+I165+I166+I167+I168+I169</f>
        <v>6200.14</v>
      </c>
      <c r="J171" s="430">
        <f t="shared" ref="J171:K171" si="68">J159+J160+J161+J162+J163+J164+J165+J166+J167+J168+J169</f>
        <v>5579.1100000000006</v>
      </c>
      <c r="K171" s="430">
        <f t="shared" si="68"/>
        <v>11779.25</v>
      </c>
    </row>
    <row r="172" spans="4:11" ht="15">
      <c r="D172" s="428" t="s">
        <v>1392</v>
      </c>
      <c r="E172" s="424" t="s">
        <v>502</v>
      </c>
      <c r="F172" s="424"/>
      <c r="G172" s="424"/>
      <c r="H172" s="425"/>
      <c r="I172" s="426"/>
      <c r="J172" s="425"/>
      <c r="K172" s="427"/>
    </row>
    <row r="173" spans="4:11" ht="15">
      <c r="D173" s="429" t="s">
        <v>1393</v>
      </c>
      <c r="E173" s="424" t="s">
        <v>504</v>
      </c>
      <c r="F173" s="424"/>
      <c r="G173" s="424"/>
      <c r="H173" s="425"/>
      <c r="I173" s="426"/>
      <c r="J173" s="425"/>
      <c r="K173" s="427">
        <f>F173+H173+I173+J173</f>
        <v>0</v>
      </c>
    </row>
    <row r="174" spans="4:11" ht="15">
      <c r="D174" s="436" t="s">
        <v>1394</v>
      </c>
      <c r="E174" s="437">
        <v>15</v>
      </c>
      <c r="F174" s="437"/>
      <c r="G174" s="437"/>
      <c r="H174" s="425"/>
      <c r="I174" s="430">
        <f>I171+I172+I173</f>
        <v>6200.14</v>
      </c>
      <c r="J174" s="430">
        <f t="shared" ref="J174:K174" si="69">J171+J172+J173</f>
        <v>5579.1100000000006</v>
      </c>
      <c r="K174" s="430">
        <f t="shared" si="69"/>
        <v>11779.25</v>
      </c>
    </row>
  </sheetData>
  <printOptions horizontalCentered="1"/>
  <pageMargins left="0.78740157480314965" right="0.78740157480314965" top="0.78740157480314965" bottom="0.78740157480314965" header="0.11811023622047245" footer="0.11811023622047245"/>
  <pageSetup paperSize="9" scale="91" fitToHeight="0" orientation="portrait" useFirstPageNumber="1" copies="2" r:id="rId1"/>
  <headerFooter alignWithMargins="0">
    <oddHeader>&amp;C&amp;"Arial,Félkövér"&amp;12Volf György Könyvtár
2014. évi költségvetés tervezése</oddHeader>
    <oddFooter>&amp;Coldal: &amp;P/&amp;N
exportálva: 2014-01-04 10:35 (210 MP)</oddFooter>
  </headerFooter>
  <rowBreaks count="2" manualBreakCount="2">
    <brk id="54" max="16383" man="1"/>
    <brk id="115" max="16383" man="1"/>
  </rowBreaks>
  <colBreaks count="3" manualBreakCount="3">
    <brk id="4" max="1048575" man="1"/>
    <brk id="5" max="1048575" man="1"/>
    <brk id="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view="pageLayout" zoomScaleNormal="100" zoomScaleSheetLayoutView="100" workbookViewId="0">
      <selection activeCell="D10" sqref="D10"/>
    </sheetView>
  </sheetViews>
  <sheetFormatPr defaultRowHeight="15"/>
  <cols>
    <col min="1" max="1" width="5.7109375" style="3" customWidth="1"/>
    <col min="2" max="2" width="67.7109375" style="2" bestFit="1" customWidth="1"/>
    <col min="3" max="4" width="11.42578125" style="2" customWidth="1"/>
    <col min="5" max="5" width="67.85546875" customWidth="1"/>
  </cols>
  <sheetData>
    <row r="1" spans="1:4">
      <c r="D1" s="37" t="s">
        <v>0</v>
      </c>
    </row>
    <row r="2" spans="1:4" ht="30">
      <c r="A2" s="4" t="s">
        <v>60</v>
      </c>
      <c r="B2" s="5" t="s">
        <v>138</v>
      </c>
      <c r="C2" s="4" t="s">
        <v>437</v>
      </c>
      <c r="D2" s="550" t="s">
        <v>1827</v>
      </c>
    </row>
    <row r="3" spans="1:4">
      <c r="A3" s="6" t="s">
        <v>1</v>
      </c>
      <c r="B3" s="38" t="s">
        <v>101</v>
      </c>
      <c r="C3" s="39">
        <f>SUM(C4:C8)</f>
        <v>4307511</v>
      </c>
      <c r="D3" s="39">
        <f>SUM(D4:D8)</f>
        <v>4406920</v>
      </c>
    </row>
    <row r="4" spans="1:4">
      <c r="A4" s="8" t="s">
        <v>3</v>
      </c>
      <c r="B4" s="40" t="s">
        <v>102</v>
      </c>
      <c r="C4" s="41">
        <f>'2B Önk kiad'!C5+'3A PH'!C37+'4A. VG bev kiad'!C37+'5A Walla'!C37+'5B Nyitnikék'!C37+'5C Bóbita'!C37+'5D MMMH'!C37+'5E Könyvtár'!C37+'5F Segítő Kéz'!C37</f>
        <v>1241954</v>
      </c>
      <c r="D4" s="41">
        <f>'2B Önk kiad'!D5+'3A PH'!D37+'4A. VG bev kiad'!D37+'5A Walla'!D37+'5B Nyitnikék'!D37+'5C Bóbita'!D37+'5D MMMH'!D37+'5E Könyvtár'!D37+'5F Segítő Kéz'!D37</f>
        <v>1272957</v>
      </c>
    </row>
    <row r="5" spans="1:4">
      <c r="A5" s="8" t="s">
        <v>4</v>
      </c>
      <c r="B5" s="40" t="s">
        <v>103</v>
      </c>
      <c r="C5" s="41">
        <f>'2B Önk kiad'!C6+'3A PH'!C38+'4A. VG bev kiad'!C38+'5A Walla'!C38+'5B Nyitnikék'!C38+'5C Bóbita'!C38+'5D MMMH'!C38+'5E Könyvtár'!C38+'5F Segítő Kéz'!C38</f>
        <v>349979</v>
      </c>
      <c r="D5" s="41">
        <f>'2B Önk kiad'!D6+'3A PH'!D38+'4A. VG bev kiad'!D38+'5A Walla'!D38+'5B Nyitnikék'!D38+'5C Bóbita'!D38+'5D MMMH'!D38+'5E Könyvtár'!D38+'5F Segítő Kéz'!D38</f>
        <v>358656</v>
      </c>
    </row>
    <row r="6" spans="1:4">
      <c r="A6" s="8" t="s">
        <v>5</v>
      </c>
      <c r="B6" s="40" t="s">
        <v>104</v>
      </c>
      <c r="C6" s="41">
        <f>'2B Önk kiad'!C7+'3A PH'!C39+'4A. VG bev kiad'!C39+'5A Walla'!C39+'5B Nyitnikék'!C39+'5C Bóbita'!C39+'5D MMMH'!C39+'5E Könyvtár'!C39+'5F Segítő Kéz'!C39</f>
        <v>1981474</v>
      </c>
      <c r="D6" s="41">
        <f>'2B Önk kiad'!D7+'3A PH'!D39+'4A. VG bev kiad'!D39+'5A Walla'!D39+'5B Nyitnikék'!D39+'5C Bóbita'!D39+'5D MMMH'!D39+'5E Könyvtár'!D39+'5F Segítő Kéz'!D39</f>
        <v>2067040</v>
      </c>
    </row>
    <row r="7" spans="1:4">
      <c r="A7" s="8" t="s">
        <v>6</v>
      </c>
      <c r="B7" s="40" t="s">
        <v>105</v>
      </c>
      <c r="C7" s="41">
        <f>'2B Önk kiad'!C8+'3A PH'!C40+'4A. VG bev kiad'!C40+'5A Walla'!C40+'5B Nyitnikék'!C40+'5C Bóbita'!C40+'5D MMMH'!C40+'5E Könyvtár'!C40+'5F Segítő Kéz'!C40</f>
        <v>75453</v>
      </c>
      <c r="D7" s="41">
        <f>'2B Önk kiad'!D8+'3A PH'!D40+'4A. VG bev kiad'!D40+'5A Walla'!D40+'5B Nyitnikék'!D40+'5C Bóbita'!D40+'5D MMMH'!D40+'5E Könyvtár'!D40+'5F Segítő Kéz'!D40</f>
        <v>75984</v>
      </c>
    </row>
    <row r="8" spans="1:4">
      <c r="A8" s="8" t="s">
        <v>106</v>
      </c>
      <c r="B8" s="40" t="s">
        <v>107</v>
      </c>
      <c r="C8" s="41">
        <f>SUM(C9:C12)</f>
        <v>658651</v>
      </c>
      <c r="D8" s="41">
        <f>SUM(D9:D12)</f>
        <v>632283</v>
      </c>
    </row>
    <row r="9" spans="1:4" s="2" customFormat="1" ht="20.25" customHeight="1">
      <c r="A9" s="54"/>
      <c r="B9" s="11" t="s">
        <v>1531</v>
      </c>
      <c r="C9" s="56">
        <f>'2B Önk kiad'!C10</f>
        <v>0</v>
      </c>
      <c r="D9" s="56">
        <f>'2B Önk kiad'!D10</f>
        <v>0</v>
      </c>
    </row>
    <row r="10" spans="1:4" s="2" customFormat="1">
      <c r="A10" s="54"/>
      <c r="B10" s="55" t="s">
        <v>127</v>
      </c>
      <c r="C10" s="56">
        <f>'2B Önk kiad'!C11</f>
        <v>48737</v>
      </c>
      <c r="D10" s="56">
        <f>'2B Önk kiad'!D11+'3A PH'!D41+'4A. VG bev kiad'!D41+'5A Walla'!D41+'5B Nyitnikék'!D41+'5C Bóbita'!D41+'5D MMMH'!D41+'5E Könyvtár'!D41+'5F Segítő Kéz'!D41</f>
        <v>53576</v>
      </c>
    </row>
    <row r="11" spans="1:4">
      <c r="A11" s="54"/>
      <c r="B11" s="55" t="s">
        <v>128</v>
      </c>
      <c r="C11" s="57">
        <f>'2B Önk kiad'!C12</f>
        <v>95849</v>
      </c>
      <c r="D11" s="57">
        <f>'2B Önk kiad'!D12</f>
        <v>97389</v>
      </c>
    </row>
    <row r="12" spans="1:4">
      <c r="A12" s="54"/>
      <c r="B12" s="55" t="s">
        <v>129</v>
      </c>
      <c r="C12" s="56">
        <f>'2B Önk kiad'!C13</f>
        <v>514065</v>
      </c>
      <c r="D12" s="56">
        <f>'2B Önk kiad'!D13</f>
        <v>481318</v>
      </c>
    </row>
    <row r="13" spans="1:4">
      <c r="A13" s="6" t="s">
        <v>13</v>
      </c>
      <c r="B13" s="38" t="s">
        <v>108</v>
      </c>
      <c r="C13" s="39">
        <f>SUM(C14:C16)</f>
        <v>255971</v>
      </c>
      <c r="D13" s="39">
        <f>SUM(D14:D16)</f>
        <v>326172</v>
      </c>
    </row>
    <row r="14" spans="1:4" ht="19.5" customHeight="1">
      <c r="A14" s="8" t="s">
        <v>3</v>
      </c>
      <c r="B14" s="40" t="s">
        <v>130</v>
      </c>
      <c r="C14" s="41">
        <f>'7. beruházás'!C56</f>
        <v>174473</v>
      </c>
      <c r="D14" s="41">
        <f>'7. beruházás'!D56</f>
        <v>243975</v>
      </c>
    </row>
    <row r="15" spans="1:4" ht="19.5" customHeight="1">
      <c r="A15" s="8" t="s">
        <v>4</v>
      </c>
      <c r="B15" s="40" t="s">
        <v>110</v>
      </c>
      <c r="C15" s="41">
        <f>'2B Önk kiad'!C19+'3A PH'!C44+'4A. VG bev kiad'!C44+'5A Walla'!C44+'5B Nyitnikék'!C44+'5C Bóbita'!C44+'5D MMMH'!C44+'5E Könyvtár'!C44+'5F Segítő Kéz'!C44</f>
        <v>81498</v>
      </c>
      <c r="D15" s="41">
        <f>'2B Önk kiad'!D19+'3A PH'!D44+'4A. VG bev kiad'!D44+'5A Walla'!D44+'5B Nyitnikék'!D44+'5C Bóbita'!D44+'5D MMMH'!D44+'5E Könyvtár'!D44+'5F Segítő Kéz'!D44</f>
        <v>82197</v>
      </c>
    </row>
    <row r="16" spans="1:4" ht="19.5" customHeight="1">
      <c r="A16" s="8" t="s">
        <v>5</v>
      </c>
      <c r="B16" s="40" t="s">
        <v>111</v>
      </c>
      <c r="C16" s="41">
        <f>SUM(C17:C21)</f>
        <v>0</v>
      </c>
      <c r="D16" s="41">
        <f>SUM(D17:D21)</f>
        <v>0</v>
      </c>
    </row>
    <row r="17" spans="1:4">
      <c r="A17" s="54"/>
      <c r="B17" s="11" t="s">
        <v>1532</v>
      </c>
      <c r="C17" s="56">
        <f>'2B Önk kiad'!C21</f>
        <v>0</v>
      </c>
      <c r="D17" s="56">
        <f>'2B Önk kiad'!D21</f>
        <v>0</v>
      </c>
    </row>
    <row r="18" spans="1:4">
      <c r="A18" s="54"/>
      <c r="B18" s="11" t="s">
        <v>1533</v>
      </c>
      <c r="C18" s="56">
        <f>'2B Önk kiad'!C22</f>
        <v>0</v>
      </c>
      <c r="D18" s="56">
        <f>'2B Önk kiad'!D22</f>
        <v>0</v>
      </c>
    </row>
    <row r="19" spans="1:4" ht="19.5" customHeight="1">
      <c r="A19" s="54"/>
      <c r="B19" s="55" t="s">
        <v>131</v>
      </c>
      <c r="C19" s="56">
        <f>'2B Önk kiad'!C23</f>
        <v>0</v>
      </c>
      <c r="D19" s="56">
        <f>'2B Önk kiad'!D23</f>
        <v>0</v>
      </c>
    </row>
    <row r="20" spans="1:4" ht="19.5" customHeight="1">
      <c r="A20" s="54"/>
      <c r="B20" s="55" t="s">
        <v>132</v>
      </c>
      <c r="C20" s="56">
        <f>'2B Önk kiad'!C24</f>
        <v>0</v>
      </c>
      <c r="D20" s="56">
        <f>'2B Önk kiad'!D24</f>
        <v>0</v>
      </c>
    </row>
    <row r="21" spans="1:4" ht="19.5" customHeight="1">
      <c r="A21" s="54"/>
      <c r="B21" s="55" t="s">
        <v>133</v>
      </c>
      <c r="C21" s="56">
        <f>'2B Önk kiad'!C25</f>
        <v>0</v>
      </c>
      <c r="D21" s="56">
        <f>'2B Önk kiad'!D25</f>
        <v>0</v>
      </c>
    </row>
    <row r="22" spans="1:4">
      <c r="A22" s="5"/>
      <c r="B22" s="29" t="s">
        <v>122</v>
      </c>
      <c r="C22" s="19">
        <f>C3+C13</f>
        <v>4563482</v>
      </c>
      <c r="D22" s="19">
        <f>D3+D13</f>
        <v>4733092</v>
      </c>
    </row>
    <row r="23" spans="1:4">
      <c r="A23" s="6" t="s">
        <v>44</v>
      </c>
      <c r="B23" s="38" t="s">
        <v>123</v>
      </c>
      <c r="C23" s="39">
        <f>C24+C29</f>
        <v>11457</v>
      </c>
      <c r="D23" s="39">
        <f>D24+D29</f>
        <v>148941</v>
      </c>
    </row>
    <row r="24" spans="1:4">
      <c r="A24" s="8" t="s">
        <v>3</v>
      </c>
      <c r="B24" s="40" t="s">
        <v>124</v>
      </c>
      <c r="C24" s="44">
        <f>SUM(C25:C28)</f>
        <v>11457</v>
      </c>
      <c r="D24" s="44">
        <f>SUM(D25:D28)</f>
        <v>148941</v>
      </c>
    </row>
    <row r="25" spans="1:4">
      <c r="A25" s="54"/>
      <c r="B25" s="60" t="s">
        <v>139</v>
      </c>
      <c r="C25" s="59">
        <f>'2B Önk kiad'!C29</f>
        <v>11457</v>
      </c>
      <c r="D25" s="59">
        <f>'2B Önk kiad'!D29</f>
        <v>148941</v>
      </c>
    </row>
    <row r="26" spans="1:4">
      <c r="A26" s="54"/>
      <c r="B26" s="60" t="s">
        <v>1518</v>
      </c>
      <c r="C26" s="59">
        <f>'2B Önk kiad'!C32</f>
        <v>0</v>
      </c>
      <c r="D26" s="59">
        <f>'2B Önk kiad'!D32</f>
        <v>0</v>
      </c>
    </row>
    <row r="27" spans="1:4">
      <c r="A27" s="54"/>
      <c r="B27" s="60" t="s">
        <v>1520</v>
      </c>
      <c r="C27" s="59">
        <f>'2B Önk kiad'!C34</f>
        <v>0</v>
      </c>
      <c r="D27" s="59">
        <f>'2B Önk kiad'!D34</f>
        <v>0</v>
      </c>
    </row>
    <row r="28" spans="1:4">
      <c r="A28" s="54"/>
      <c r="B28" s="60" t="s">
        <v>140</v>
      </c>
      <c r="C28" s="59">
        <f>'2B Önk kiad'!C35</f>
        <v>0</v>
      </c>
      <c r="D28" s="59">
        <f>'2B Önk kiad'!D35</f>
        <v>0</v>
      </c>
    </row>
    <row r="29" spans="1:4">
      <c r="A29" s="8" t="s">
        <v>4</v>
      </c>
      <c r="B29" s="40" t="s">
        <v>134</v>
      </c>
      <c r="C29" s="44">
        <f>SUM(C30:C31)</f>
        <v>0</v>
      </c>
      <c r="D29" s="44">
        <f>SUM(D30:D31)</f>
        <v>0</v>
      </c>
    </row>
    <row r="30" spans="1:4">
      <c r="A30" s="54"/>
      <c r="B30" s="58" t="s">
        <v>137</v>
      </c>
      <c r="C30" s="59">
        <f>'2B Önk kiad'!C37</f>
        <v>0</v>
      </c>
      <c r="D30" s="59">
        <f>'2B Önk kiad'!D37</f>
        <v>0</v>
      </c>
    </row>
    <row r="31" spans="1:4">
      <c r="A31" s="54"/>
      <c r="B31" s="58" t="s">
        <v>135</v>
      </c>
      <c r="C31" s="59">
        <f>'2B Önk kiad'!C38</f>
        <v>0</v>
      </c>
      <c r="D31" s="59">
        <f>'2B Önk kiad'!D38</f>
        <v>0</v>
      </c>
    </row>
    <row r="32" spans="1:4">
      <c r="A32" s="31"/>
      <c r="B32" s="32" t="s">
        <v>112</v>
      </c>
      <c r="C32" s="34">
        <f>C22+C23</f>
        <v>4574939</v>
      </c>
      <c r="D32" s="34">
        <f>D22+D23</f>
        <v>4882033</v>
      </c>
    </row>
  </sheetData>
  <printOptions horizontalCentered="1"/>
  <pageMargins left="0.70866141732283472" right="0.70866141732283472" top="1.1979166666666667" bottom="0.74803149606299213" header="0.31496062992125984" footer="0.31496062992125984"/>
  <pageSetup paperSize="9" scale="90" orientation="portrait" r:id="rId1"/>
  <headerFooter>
    <oddHeader>&amp;L1/B. melléklet a 20/2014. (VI.30.) önkormányzati rendelethez&amp;C&amp;"-,Félkövér"&amp;16
Az Önkormányzat 2014. évi összevont kiadásai jogcímenként</oddHead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JI204"/>
  <sheetViews>
    <sheetView zoomScale="140" zoomScaleNormal="140" workbookViewId="0">
      <pane ySplit="3" topLeftCell="A102" activePane="bottomLeft" state="frozen"/>
      <selection pane="bottomLeft" activeCell="Q47" sqref="Q47"/>
    </sheetView>
  </sheetViews>
  <sheetFormatPr defaultColWidth="11.5703125" defaultRowHeight="14.1" customHeight="1"/>
  <cols>
    <col min="1" max="1" width="5.5703125" style="318" customWidth="1"/>
    <col min="2" max="2" width="7.7109375" style="318" customWidth="1"/>
    <col min="3" max="3" width="29.5703125" style="319" customWidth="1"/>
    <col min="4" max="26" width="6.140625" style="320" customWidth="1"/>
    <col min="27" max="16384" width="11.5703125" style="319"/>
  </cols>
  <sheetData>
    <row r="1" spans="1:26" s="315" customFormat="1" ht="12.75" customHeight="1">
      <c r="A1" s="696" t="s">
        <v>1353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  <c r="O1" s="697"/>
      <c r="P1" s="697"/>
      <c r="Q1" s="697"/>
      <c r="R1" s="697"/>
      <c r="S1" s="697"/>
      <c r="T1" s="697"/>
      <c r="U1" s="697"/>
      <c r="V1" s="697"/>
      <c r="W1" s="697"/>
      <c r="X1" s="697"/>
      <c r="Y1" s="697"/>
      <c r="Z1" s="698"/>
    </row>
    <row r="2" spans="1:26" s="315" customFormat="1" ht="27.75" customHeight="1">
      <c r="A2" s="699" t="s">
        <v>887</v>
      </c>
      <c r="B2" s="702" t="s">
        <v>888</v>
      </c>
      <c r="C2" s="699" t="s">
        <v>889</v>
      </c>
      <c r="D2" s="695" t="s">
        <v>890</v>
      </c>
      <c r="E2" s="695" t="s">
        <v>891</v>
      </c>
      <c r="F2" s="695" t="s">
        <v>892</v>
      </c>
      <c r="G2" s="705" t="s">
        <v>1354</v>
      </c>
      <c r="H2" s="706"/>
      <c r="I2" s="705" t="s">
        <v>1765</v>
      </c>
      <c r="J2" s="706"/>
      <c r="K2" s="695" t="s">
        <v>222</v>
      </c>
      <c r="L2" s="695"/>
      <c r="M2" s="695" t="s">
        <v>224</v>
      </c>
      <c r="N2" s="695"/>
      <c r="O2" s="705" t="s">
        <v>1368</v>
      </c>
      <c r="P2" s="706"/>
      <c r="Q2" s="704" t="s">
        <v>1355</v>
      </c>
      <c r="R2" s="704"/>
      <c r="S2" s="704" t="s">
        <v>1356</v>
      </c>
      <c r="T2" s="704"/>
      <c r="U2" s="708" t="s">
        <v>1770</v>
      </c>
      <c r="V2" s="709"/>
      <c r="W2" s="708" t="s">
        <v>1793</v>
      </c>
      <c r="X2" s="709"/>
      <c r="Y2" s="703" t="s">
        <v>1360</v>
      </c>
      <c r="Z2" s="703"/>
    </row>
    <row r="3" spans="1:26" s="317" customFormat="1" ht="14.1" customHeight="1">
      <c r="A3" s="699"/>
      <c r="B3" s="702"/>
      <c r="C3" s="699"/>
      <c r="D3" s="695"/>
      <c r="E3" s="695"/>
      <c r="F3" s="695"/>
      <c r="G3" s="392" t="s">
        <v>897</v>
      </c>
      <c r="H3" s="392" t="s">
        <v>898</v>
      </c>
      <c r="I3" s="454" t="s">
        <v>897</v>
      </c>
      <c r="J3" s="454" t="s">
        <v>898</v>
      </c>
      <c r="K3" s="392" t="s">
        <v>897</v>
      </c>
      <c r="L3" s="392" t="s">
        <v>898</v>
      </c>
      <c r="M3" s="392" t="s">
        <v>897</v>
      </c>
      <c r="N3" s="392" t="s">
        <v>898</v>
      </c>
      <c r="O3" s="392" t="s">
        <v>897</v>
      </c>
      <c r="P3" s="392" t="s">
        <v>898</v>
      </c>
      <c r="Q3" s="418" t="s">
        <v>897</v>
      </c>
      <c r="R3" s="418" t="s">
        <v>898</v>
      </c>
      <c r="S3" s="418" t="s">
        <v>897</v>
      </c>
      <c r="T3" s="418" t="s">
        <v>898</v>
      </c>
      <c r="U3" s="455" t="s">
        <v>897</v>
      </c>
      <c r="V3" s="455" t="s">
        <v>898</v>
      </c>
      <c r="W3" s="532" t="s">
        <v>897</v>
      </c>
      <c r="X3" s="532" t="s">
        <v>898</v>
      </c>
      <c r="Y3" s="421" t="s">
        <v>897</v>
      </c>
      <c r="Z3" s="421" t="s">
        <v>898</v>
      </c>
    </row>
    <row r="4" spans="1:26" ht="5.65" customHeight="1"/>
    <row r="5" spans="1:26" ht="14.1" customHeight="1">
      <c r="A5" s="700" t="s">
        <v>899</v>
      </c>
      <c r="B5" s="700"/>
      <c r="C5" s="700"/>
      <c r="D5" s="700"/>
      <c r="E5" s="700"/>
      <c r="F5" s="700"/>
      <c r="G5" s="700"/>
      <c r="H5" s="700"/>
      <c r="I5" s="700"/>
      <c r="J5" s="700"/>
      <c r="K5" s="700"/>
      <c r="L5" s="700"/>
      <c r="M5" s="700"/>
      <c r="N5" s="700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</row>
    <row r="6" spans="1:26" s="317" customFormat="1" ht="12.75" customHeight="1">
      <c r="A6" s="322" t="s">
        <v>860</v>
      </c>
      <c r="B6" s="322" t="s">
        <v>565</v>
      </c>
      <c r="C6" s="323" t="s">
        <v>566</v>
      </c>
      <c r="D6" s="324">
        <f>SUM(D7:D12)</f>
        <v>0</v>
      </c>
      <c r="E6" s="324">
        <f>SUM(E7:E12)</f>
        <v>284129</v>
      </c>
      <c r="F6" s="324">
        <f>SUM(F7:F12)</f>
        <v>0</v>
      </c>
      <c r="G6" s="326">
        <f t="shared" ref="G6:M6" si="0">SUM(G7:G12)</f>
        <v>236942</v>
      </c>
      <c r="H6" s="326"/>
      <c r="I6" s="326">
        <f t="shared" si="0"/>
        <v>12477</v>
      </c>
      <c r="J6" s="326"/>
      <c r="K6" s="326">
        <f t="shared" si="0"/>
        <v>15576</v>
      </c>
      <c r="L6" s="326"/>
      <c r="M6" s="326">
        <f t="shared" si="0"/>
        <v>0</v>
      </c>
      <c r="N6" s="326"/>
      <c r="O6" s="326">
        <f t="shared" ref="O6" si="1">SUM(O7:O12)</f>
        <v>0</v>
      </c>
      <c r="P6" s="326"/>
      <c r="Q6" s="326">
        <f t="shared" ref="Q6" si="2">SUM(Q7:Q12)</f>
        <v>12192</v>
      </c>
      <c r="R6" s="326"/>
      <c r="S6" s="326">
        <f t="shared" ref="S6" si="3">SUM(S7:S12)</f>
        <v>3124</v>
      </c>
      <c r="T6" s="326"/>
      <c r="U6" s="326"/>
      <c r="V6" s="326"/>
      <c r="W6" s="326">
        <f t="shared" ref="W6" si="4">SUM(W7:W12)</f>
        <v>3818</v>
      </c>
      <c r="X6" s="326"/>
      <c r="Y6" s="326">
        <f t="shared" ref="Y6" si="5">SUM(Y7:Y12)</f>
        <v>0</v>
      </c>
      <c r="Z6" s="326"/>
    </row>
    <row r="7" spans="1:26" s="334" customFormat="1" ht="11.45" customHeight="1">
      <c r="A7" s="327"/>
      <c r="B7" s="327" t="s">
        <v>553</v>
      </c>
      <c r="C7" s="328" t="s">
        <v>554</v>
      </c>
      <c r="D7" s="329"/>
      <c r="E7" s="329">
        <f>G7+K7+M7+Q7+S7+I7</f>
        <v>225368</v>
      </c>
      <c r="F7" s="330">
        <f t="shared" ref="F7:F14" si="6">H7+L7+N7</f>
        <v>0</v>
      </c>
      <c r="G7" s="332">
        <v>186287</v>
      </c>
      <c r="H7" s="333"/>
      <c r="I7" s="332">
        <v>12477</v>
      </c>
      <c r="J7" s="333"/>
      <c r="K7" s="332">
        <v>14285</v>
      </c>
      <c r="L7" s="333"/>
      <c r="M7" s="332">
        <v>0</v>
      </c>
      <c r="N7" s="333"/>
      <c r="O7" s="332">
        <v>0</v>
      </c>
      <c r="P7" s="333"/>
      <c r="Q7" s="332">
        <v>9435</v>
      </c>
      <c r="R7" s="333"/>
      <c r="S7" s="332">
        <v>2884</v>
      </c>
      <c r="T7" s="333"/>
      <c r="U7" s="333"/>
      <c r="V7" s="333"/>
      <c r="W7" s="332"/>
      <c r="X7" s="333"/>
      <c r="Y7" s="332">
        <v>0</v>
      </c>
      <c r="Z7" s="333"/>
    </row>
    <row r="8" spans="1:26" s="334" customFormat="1" ht="11.45" customHeight="1">
      <c r="A8" s="327"/>
      <c r="B8" s="327" t="s">
        <v>555</v>
      </c>
      <c r="C8" s="328" t="s">
        <v>556</v>
      </c>
      <c r="D8" s="329"/>
      <c r="E8" s="329">
        <f>G8+K8+M8+Q8+S8+W8</f>
        <v>43113</v>
      </c>
      <c r="F8" s="330">
        <f t="shared" si="6"/>
        <v>0</v>
      </c>
      <c r="G8" s="332">
        <v>37060</v>
      </c>
      <c r="H8" s="333"/>
      <c r="I8" s="332"/>
      <c r="J8" s="333"/>
      <c r="K8" s="332">
        <v>0</v>
      </c>
      <c r="L8" s="333"/>
      <c r="M8" s="332">
        <v>0</v>
      </c>
      <c r="N8" s="333"/>
      <c r="O8" s="332">
        <v>0</v>
      </c>
      <c r="P8" s="333"/>
      <c r="Q8" s="332">
        <v>2235</v>
      </c>
      <c r="R8" s="333"/>
      <c r="S8" s="332">
        <v>0</v>
      </c>
      <c r="T8" s="333"/>
      <c r="U8" s="333"/>
      <c r="V8" s="333"/>
      <c r="W8" s="332">
        <v>3818</v>
      </c>
      <c r="X8" s="333"/>
      <c r="Y8" s="332">
        <v>0</v>
      </c>
      <c r="Z8" s="333"/>
    </row>
    <row r="9" spans="1:26" s="334" customFormat="1" ht="11.45" customHeight="1">
      <c r="A9" s="327"/>
      <c r="B9" s="327" t="s">
        <v>557</v>
      </c>
      <c r="C9" s="328" t="s">
        <v>558</v>
      </c>
      <c r="D9" s="329"/>
      <c r="E9" s="329">
        <f t="shared" ref="E9:E12" si="7">G9+K9+M9+Q9+S9</f>
        <v>6145</v>
      </c>
      <c r="F9" s="330">
        <f t="shared" si="6"/>
        <v>0</v>
      </c>
      <c r="G9" s="332">
        <v>6145</v>
      </c>
      <c r="H9" s="333"/>
      <c r="I9" s="332"/>
      <c r="J9" s="333"/>
      <c r="K9" s="332">
        <v>0</v>
      </c>
      <c r="L9" s="333"/>
      <c r="M9" s="332">
        <v>0</v>
      </c>
      <c r="N9" s="333"/>
      <c r="O9" s="332">
        <v>0</v>
      </c>
      <c r="P9" s="333"/>
      <c r="Q9" s="332">
        <v>0</v>
      </c>
      <c r="R9" s="333"/>
      <c r="S9" s="332">
        <v>0</v>
      </c>
      <c r="T9" s="333"/>
      <c r="U9" s="333"/>
      <c r="V9" s="333"/>
      <c r="W9" s="332"/>
      <c r="X9" s="333"/>
      <c r="Y9" s="332">
        <v>0</v>
      </c>
      <c r="Z9" s="333"/>
    </row>
    <row r="10" spans="1:26" s="334" customFormat="1" ht="11.45" customHeight="1">
      <c r="A10" s="327"/>
      <c r="B10" s="327" t="s">
        <v>559</v>
      </c>
      <c r="C10" s="328" t="s">
        <v>560</v>
      </c>
      <c r="D10" s="329"/>
      <c r="E10" s="329">
        <f t="shared" si="7"/>
        <v>8452</v>
      </c>
      <c r="F10" s="330">
        <f t="shared" si="6"/>
        <v>0</v>
      </c>
      <c r="G10" s="332">
        <f>6337+1113</f>
        <v>7450</v>
      </c>
      <c r="H10" s="333"/>
      <c r="I10" s="332"/>
      <c r="J10" s="333"/>
      <c r="K10" s="332">
        <f>240</f>
        <v>240</v>
      </c>
      <c r="L10" s="333"/>
      <c r="M10" s="332">
        <v>0</v>
      </c>
      <c r="N10" s="333"/>
      <c r="O10" s="332">
        <v>0</v>
      </c>
      <c r="P10" s="333"/>
      <c r="Q10" s="332">
        <v>522</v>
      </c>
      <c r="R10" s="333"/>
      <c r="S10" s="332">
        <v>240</v>
      </c>
      <c r="T10" s="333"/>
      <c r="U10" s="333"/>
      <c r="V10" s="333"/>
      <c r="W10" s="332"/>
      <c r="X10" s="333"/>
      <c r="Y10" s="332">
        <v>0</v>
      </c>
      <c r="Z10" s="333"/>
    </row>
    <row r="11" spans="1:26" s="334" customFormat="1" ht="11.45" customHeight="1">
      <c r="A11" s="327"/>
      <c r="B11" s="327" t="s">
        <v>561</v>
      </c>
      <c r="C11" s="328" t="s">
        <v>900</v>
      </c>
      <c r="D11" s="329"/>
      <c r="E11" s="329">
        <f t="shared" si="7"/>
        <v>1051</v>
      </c>
      <c r="F11" s="330">
        <f t="shared" si="6"/>
        <v>0</v>
      </c>
      <c r="G11" s="332"/>
      <c r="H11" s="333"/>
      <c r="I11" s="332"/>
      <c r="J11" s="333"/>
      <c r="K11" s="332">
        <v>1051</v>
      </c>
      <c r="L11" s="333"/>
      <c r="M11" s="332">
        <v>0</v>
      </c>
      <c r="N11" s="333"/>
      <c r="O11" s="332">
        <v>0</v>
      </c>
      <c r="P11" s="333"/>
      <c r="Q11" s="332">
        <v>0</v>
      </c>
      <c r="R11" s="333"/>
      <c r="S11" s="332">
        <v>0</v>
      </c>
      <c r="T11" s="333"/>
      <c r="U11" s="333"/>
      <c r="V11" s="333"/>
      <c r="W11" s="332"/>
      <c r="X11" s="333"/>
      <c r="Y11" s="332">
        <v>0</v>
      </c>
      <c r="Z11" s="333"/>
    </row>
    <row r="12" spans="1:26" s="334" customFormat="1" ht="11.45" customHeight="1">
      <c r="A12" s="327"/>
      <c r="B12" s="327" t="s">
        <v>563</v>
      </c>
      <c r="C12" s="328" t="s">
        <v>564</v>
      </c>
      <c r="D12" s="329"/>
      <c r="E12" s="329">
        <f t="shared" si="7"/>
        <v>0</v>
      </c>
      <c r="F12" s="330">
        <f t="shared" si="6"/>
        <v>0</v>
      </c>
      <c r="G12" s="332">
        <v>0</v>
      </c>
      <c r="H12" s="333"/>
      <c r="I12" s="332"/>
      <c r="J12" s="333"/>
      <c r="K12" s="332">
        <v>0</v>
      </c>
      <c r="L12" s="333"/>
      <c r="M12" s="332">
        <v>0</v>
      </c>
      <c r="N12" s="333"/>
      <c r="O12" s="332">
        <v>0</v>
      </c>
      <c r="P12" s="333"/>
      <c r="Q12" s="332">
        <v>0</v>
      </c>
      <c r="R12" s="333"/>
      <c r="S12" s="332">
        <v>0</v>
      </c>
      <c r="T12" s="333"/>
      <c r="U12" s="333"/>
      <c r="V12" s="333"/>
      <c r="W12" s="332"/>
      <c r="X12" s="333"/>
      <c r="Y12" s="332">
        <v>0</v>
      </c>
      <c r="Z12" s="333"/>
    </row>
    <row r="13" spans="1:26" s="317" customFormat="1" ht="12.75" customHeight="1">
      <c r="A13" s="322" t="s">
        <v>861</v>
      </c>
      <c r="B13" s="322" t="s">
        <v>567</v>
      </c>
      <c r="C13" s="323" t="s">
        <v>568</v>
      </c>
      <c r="D13" s="324">
        <v>0</v>
      </c>
      <c r="E13" s="324">
        <f>G13+K13+M13+Q13+S13</f>
        <v>4300</v>
      </c>
      <c r="F13" s="324">
        <f t="shared" si="6"/>
        <v>0</v>
      </c>
      <c r="G13" s="326">
        <v>4300</v>
      </c>
      <c r="H13" s="326"/>
      <c r="I13" s="326"/>
      <c r="J13" s="326"/>
      <c r="K13" s="326">
        <v>0</v>
      </c>
      <c r="L13" s="326"/>
      <c r="M13" s="326">
        <v>0</v>
      </c>
      <c r="N13" s="326"/>
      <c r="O13" s="326">
        <v>0</v>
      </c>
      <c r="P13" s="326"/>
      <c r="Q13" s="326">
        <v>0</v>
      </c>
      <c r="R13" s="326"/>
      <c r="S13" s="326">
        <v>0</v>
      </c>
      <c r="T13" s="326"/>
      <c r="U13" s="326"/>
      <c r="V13" s="326"/>
      <c r="W13" s="326"/>
      <c r="X13" s="326"/>
      <c r="Y13" s="326">
        <v>0</v>
      </c>
      <c r="Z13" s="326"/>
    </row>
    <row r="14" spans="1:26" s="317" customFormat="1" ht="12.75" customHeight="1">
      <c r="A14" s="322" t="s">
        <v>862</v>
      </c>
      <c r="B14" s="322" t="s">
        <v>569</v>
      </c>
      <c r="C14" s="323" t="s">
        <v>570</v>
      </c>
      <c r="D14" s="324">
        <v>0</v>
      </c>
      <c r="E14" s="324">
        <f>G14+K14+M14+Q14+S14</f>
        <v>0</v>
      </c>
      <c r="F14" s="324">
        <f t="shared" si="6"/>
        <v>0</v>
      </c>
      <c r="G14" s="326">
        <v>0</v>
      </c>
      <c r="H14" s="326"/>
      <c r="I14" s="326"/>
      <c r="J14" s="326"/>
      <c r="K14" s="326">
        <v>0</v>
      </c>
      <c r="L14" s="326"/>
      <c r="M14" s="326">
        <v>0</v>
      </c>
      <c r="N14" s="326"/>
      <c r="O14" s="326">
        <v>0</v>
      </c>
      <c r="P14" s="326"/>
      <c r="Q14" s="326">
        <v>0</v>
      </c>
      <c r="R14" s="326"/>
      <c r="S14" s="326">
        <v>0</v>
      </c>
      <c r="T14" s="326"/>
      <c r="U14" s="326"/>
      <c r="V14" s="326"/>
      <c r="W14" s="326"/>
      <c r="X14" s="326"/>
      <c r="Y14" s="326">
        <v>0</v>
      </c>
      <c r="Z14" s="326"/>
    </row>
    <row r="15" spans="1:26" s="317" customFormat="1" ht="12.75" customHeight="1">
      <c r="A15" s="322" t="s">
        <v>863</v>
      </c>
      <c r="B15" s="322" t="s">
        <v>575</v>
      </c>
      <c r="C15" s="323" t="s">
        <v>576</v>
      </c>
      <c r="D15" s="324">
        <f>SUM(D16:D17)</f>
        <v>0</v>
      </c>
      <c r="E15" s="324">
        <f>SUM(E16:E17)</f>
        <v>2000</v>
      </c>
      <c r="F15" s="324">
        <f>SUM(F16:F17)</f>
        <v>0</v>
      </c>
      <c r="G15" s="326">
        <f t="shared" ref="G15:M15" si="8">SUM(G16:G17)</f>
        <v>1000</v>
      </c>
      <c r="H15" s="326"/>
      <c r="I15" s="326"/>
      <c r="J15" s="326"/>
      <c r="K15" s="326">
        <f t="shared" si="8"/>
        <v>500</v>
      </c>
      <c r="L15" s="326"/>
      <c r="M15" s="326">
        <f t="shared" si="8"/>
        <v>0</v>
      </c>
      <c r="N15" s="326"/>
      <c r="O15" s="326">
        <f t="shared" ref="O15" si="9">SUM(O16:O17)</f>
        <v>0</v>
      </c>
      <c r="P15" s="326"/>
      <c r="Q15" s="326">
        <f t="shared" ref="Q15" si="10">SUM(Q16:Q17)</f>
        <v>500</v>
      </c>
      <c r="R15" s="326"/>
      <c r="S15" s="326">
        <f t="shared" ref="S15" si="11">SUM(S16:S17)</f>
        <v>0</v>
      </c>
      <c r="T15" s="326"/>
      <c r="U15" s="326"/>
      <c r="V15" s="326"/>
      <c r="W15" s="326"/>
      <c r="X15" s="326"/>
      <c r="Y15" s="326">
        <f t="shared" ref="Y15" si="12">SUM(Y16:Y17)</f>
        <v>0</v>
      </c>
      <c r="Z15" s="326"/>
    </row>
    <row r="16" spans="1:26" s="334" customFormat="1" ht="11.45" customHeight="1">
      <c r="A16" s="327"/>
      <c r="B16" s="327" t="s">
        <v>571</v>
      </c>
      <c r="C16" s="328" t="s">
        <v>572</v>
      </c>
      <c r="D16" s="329"/>
      <c r="E16" s="329">
        <f t="shared" ref="E16:E17" si="13">G16+K16+M16+Q16+S16</f>
        <v>1600</v>
      </c>
      <c r="F16" s="330">
        <f t="shared" ref="F16:F19" si="14">H16+L16+N16</f>
        <v>0</v>
      </c>
      <c r="G16" s="332">
        <v>1000</v>
      </c>
      <c r="H16" s="333"/>
      <c r="I16" s="333"/>
      <c r="J16" s="333"/>
      <c r="K16" s="332">
        <v>500</v>
      </c>
      <c r="L16" s="333"/>
      <c r="M16" s="332">
        <v>0</v>
      </c>
      <c r="N16" s="333"/>
      <c r="O16" s="332">
        <v>0</v>
      </c>
      <c r="P16" s="333"/>
      <c r="Q16" s="332">
        <v>100</v>
      </c>
      <c r="R16" s="333"/>
      <c r="S16" s="332">
        <v>0</v>
      </c>
      <c r="T16" s="333"/>
      <c r="U16" s="333"/>
      <c r="V16" s="333"/>
      <c r="W16" s="333"/>
      <c r="X16" s="333"/>
      <c r="Y16" s="332">
        <v>0</v>
      </c>
      <c r="Z16" s="333"/>
    </row>
    <row r="17" spans="1:26" s="334" customFormat="1" ht="11.45" customHeight="1">
      <c r="A17" s="327"/>
      <c r="B17" s="327" t="s">
        <v>573</v>
      </c>
      <c r="C17" s="328" t="s">
        <v>574</v>
      </c>
      <c r="D17" s="329"/>
      <c r="E17" s="329">
        <f t="shared" si="13"/>
        <v>400</v>
      </c>
      <c r="F17" s="330">
        <f t="shared" si="14"/>
        <v>0</v>
      </c>
      <c r="G17" s="332">
        <v>0</v>
      </c>
      <c r="H17" s="333"/>
      <c r="I17" s="333"/>
      <c r="J17" s="333"/>
      <c r="K17" s="332">
        <v>0</v>
      </c>
      <c r="L17" s="333"/>
      <c r="M17" s="332">
        <v>0</v>
      </c>
      <c r="N17" s="333"/>
      <c r="O17" s="332">
        <v>0</v>
      </c>
      <c r="P17" s="333"/>
      <c r="Q17" s="332">
        <v>400</v>
      </c>
      <c r="R17" s="333"/>
      <c r="S17" s="332">
        <v>0</v>
      </c>
      <c r="T17" s="333"/>
      <c r="U17" s="333"/>
      <c r="V17" s="333"/>
      <c r="W17" s="333"/>
      <c r="X17" s="333"/>
      <c r="Y17" s="332">
        <v>0</v>
      </c>
      <c r="Z17" s="333"/>
    </row>
    <row r="18" spans="1:26" s="317" customFormat="1" ht="12.75" customHeight="1">
      <c r="A18" s="322" t="s">
        <v>864</v>
      </c>
      <c r="B18" s="322" t="s">
        <v>577</v>
      </c>
      <c r="C18" s="323" t="s">
        <v>578</v>
      </c>
      <c r="D18" s="324">
        <v>0</v>
      </c>
      <c r="E18" s="324">
        <f>G18+K18+M18+Q18+S18</f>
        <v>8776</v>
      </c>
      <c r="F18" s="324">
        <f t="shared" si="14"/>
        <v>0</v>
      </c>
      <c r="G18" s="326">
        <v>8000</v>
      </c>
      <c r="H18" s="326"/>
      <c r="I18" s="326"/>
      <c r="J18" s="326"/>
      <c r="K18" s="326">
        <v>0</v>
      </c>
      <c r="L18" s="326"/>
      <c r="M18" s="326">
        <v>0</v>
      </c>
      <c r="N18" s="326"/>
      <c r="O18" s="326">
        <v>0</v>
      </c>
      <c r="P18" s="326"/>
      <c r="Q18" s="326">
        <v>0</v>
      </c>
      <c r="R18" s="326"/>
      <c r="S18" s="326">
        <v>776</v>
      </c>
      <c r="T18" s="326"/>
      <c r="U18" s="326"/>
      <c r="V18" s="326"/>
      <c r="W18" s="326"/>
      <c r="X18" s="326"/>
      <c r="Y18" s="326">
        <v>0</v>
      </c>
      <c r="Z18" s="326"/>
    </row>
    <row r="19" spans="1:26" s="317" customFormat="1" ht="12.75" customHeight="1">
      <c r="A19" s="322" t="s">
        <v>865</v>
      </c>
      <c r="B19" s="322" t="s">
        <v>579</v>
      </c>
      <c r="C19" s="323" t="s">
        <v>580</v>
      </c>
      <c r="D19" s="324">
        <v>0</v>
      </c>
      <c r="E19" s="324">
        <f>G19+K19+M19+Q19+S19</f>
        <v>1314</v>
      </c>
      <c r="F19" s="324">
        <f t="shared" si="14"/>
        <v>0</v>
      </c>
      <c r="G19" s="326">
        <v>0</v>
      </c>
      <c r="H19" s="326"/>
      <c r="I19" s="326"/>
      <c r="J19" s="326"/>
      <c r="K19" s="326">
        <v>1314</v>
      </c>
      <c r="L19" s="326"/>
      <c r="M19" s="326">
        <v>0</v>
      </c>
      <c r="N19" s="326"/>
      <c r="O19" s="326">
        <v>0</v>
      </c>
      <c r="P19" s="326"/>
      <c r="Q19" s="326">
        <v>0</v>
      </c>
      <c r="R19" s="326"/>
      <c r="S19" s="326">
        <v>0</v>
      </c>
      <c r="T19" s="326"/>
      <c r="U19" s="326"/>
      <c r="V19" s="326"/>
      <c r="W19" s="326"/>
      <c r="X19" s="326"/>
      <c r="Y19" s="326">
        <v>0</v>
      </c>
      <c r="Z19" s="326"/>
    </row>
    <row r="20" spans="1:26" s="317" customFormat="1" ht="12.75" customHeight="1">
      <c r="A20" s="322" t="s">
        <v>866</v>
      </c>
      <c r="B20" s="322" t="s">
        <v>596</v>
      </c>
      <c r="C20" s="323" t="s">
        <v>597</v>
      </c>
      <c r="D20" s="324">
        <f>SUM(D21:D27)</f>
        <v>0</v>
      </c>
      <c r="E20" s="324">
        <f>SUM(E21:E27)</f>
        <v>13568</v>
      </c>
      <c r="F20" s="324">
        <f>SUM(F21:F27)</f>
        <v>0</v>
      </c>
      <c r="G20" s="326">
        <f t="shared" ref="G20:M20" si="15">SUM(G21:G27)</f>
        <v>11800</v>
      </c>
      <c r="H20" s="326"/>
      <c r="I20" s="326"/>
      <c r="J20" s="326"/>
      <c r="K20" s="326">
        <f t="shared" si="15"/>
        <v>672</v>
      </c>
      <c r="L20" s="326"/>
      <c r="M20" s="326">
        <f t="shared" si="15"/>
        <v>0</v>
      </c>
      <c r="N20" s="326"/>
      <c r="O20" s="326">
        <f t="shared" ref="O20" si="16">SUM(O21:O27)</f>
        <v>0</v>
      </c>
      <c r="P20" s="326"/>
      <c r="Q20" s="326">
        <f t="shared" ref="Q20" si="17">SUM(Q21:Q27)</f>
        <v>1000</v>
      </c>
      <c r="R20" s="326"/>
      <c r="S20" s="326">
        <f t="shared" ref="S20" si="18">SUM(S21:S27)</f>
        <v>96</v>
      </c>
      <c r="T20" s="326"/>
      <c r="U20" s="326"/>
      <c r="V20" s="326"/>
      <c r="W20" s="326"/>
      <c r="X20" s="326"/>
      <c r="Y20" s="326">
        <f t="shared" ref="Y20" si="19">SUM(Y21:Y27)</f>
        <v>0</v>
      </c>
      <c r="Z20" s="326"/>
    </row>
    <row r="21" spans="1:26" s="334" customFormat="1" ht="11.45" customHeight="1">
      <c r="A21" s="327"/>
      <c r="B21" s="327" t="s">
        <v>582</v>
      </c>
      <c r="C21" s="328" t="s">
        <v>583</v>
      </c>
      <c r="D21" s="329"/>
      <c r="E21" s="329">
        <f t="shared" ref="E21:E27" si="20">G21+K21+M21+Q21+S21</f>
        <v>0</v>
      </c>
      <c r="F21" s="330">
        <f t="shared" ref="F21:F30" si="21">H21+L21+N21</f>
        <v>0</v>
      </c>
      <c r="G21" s="332">
        <v>0</v>
      </c>
      <c r="H21" s="333"/>
      <c r="I21" s="333"/>
      <c r="J21" s="333"/>
      <c r="K21" s="332">
        <v>0</v>
      </c>
      <c r="L21" s="333"/>
      <c r="M21" s="332">
        <v>0</v>
      </c>
      <c r="N21" s="333"/>
      <c r="O21" s="332">
        <v>0</v>
      </c>
      <c r="P21" s="333"/>
      <c r="Q21" s="332">
        <v>0</v>
      </c>
      <c r="R21" s="333"/>
      <c r="S21" s="332">
        <v>0</v>
      </c>
      <c r="T21" s="333"/>
      <c r="U21" s="333"/>
      <c r="V21" s="333"/>
      <c r="W21" s="333"/>
      <c r="X21" s="333"/>
      <c r="Y21" s="332">
        <v>0</v>
      </c>
      <c r="Z21" s="333"/>
    </row>
    <row r="22" spans="1:26" s="334" customFormat="1" ht="11.45" customHeight="1">
      <c r="A22" s="327"/>
      <c r="B22" s="327" t="s">
        <v>584</v>
      </c>
      <c r="C22" s="328" t="s">
        <v>585</v>
      </c>
      <c r="D22" s="329"/>
      <c r="E22" s="329">
        <f t="shared" si="20"/>
        <v>0</v>
      </c>
      <c r="F22" s="330">
        <f t="shared" si="21"/>
        <v>0</v>
      </c>
      <c r="G22" s="332">
        <v>0</v>
      </c>
      <c r="H22" s="333"/>
      <c r="I22" s="333"/>
      <c r="J22" s="333"/>
      <c r="K22" s="332">
        <v>0</v>
      </c>
      <c r="L22" s="333"/>
      <c r="M22" s="332">
        <v>0</v>
      </c>
      <c r="N22" s="333"/>
      <c r="O22" s="332">
        <v>0</v>
      </c>
      <c r="P22" s="333"/>
      <c r="Q22" s="332">
        <v>0</v>
      </c>
      <c r="R22" s="333"/>
      <c r="S22" s="332">
        <v>0</v>
      </c>
      <c r="T22" s="333"/>
      <c r="U22" s="333"/>
      <c r="V22" s="333"/>
      <c r="W22" s="333"/>
      <c r="X22" s="333"/>
      <c r="Y22" s="332">
        <v>0</v>
      </c>
      <c r="Z22" s="333"/>
    </row>
    <row r="23" spans="1:26" s="334" customFormat="1" ht="11.45" customHeight="1">
      <c r="A23" s="327"/>
      <c r="B23" s="327" t="s">
        <v>586</v>
      </c>
      <c r="C23" s="328" t="s">
        <v>587</v>
      </c>
      <c r="D23" s="329"/>
      <c r="E23" s="329">
        <f t="shared" si="20"/>
        <v>768</v>
      </c>
      <c r="F23" s="330">
        <f t="shared" si="21"/>
        <v>0</v>
      </c>
      <c r="G23" s="332">
        <v>0</v>
      </c>
      <c r="H23" s="333"/>
      <c r="I23" s="333"/>
      <c r="J23" s="333"/>
      <c r="K23" s="332">
        <v>672</v>
      </c>
      <c r="L23" s="333"/>
      <c r="M23" s="332">
        <v>0</v>
      </c>
      <c r="N23" s="333"/>
      <c r="O23" s="332">
        <v>0</v>
      </c>
      <c r="P23" s="333"/>
      <c r="Q23" s="332">
        <v>0</v>
      </c>
      <c r="R23" s="333"/>
      <c r="S23" s="332">
        <v>96</v>
      </c>
      <c r="T23" s="333"/>
      <c r="U23" s="333"/>
      <c r="V23" s="333"/>
      <c r="W23" s="333"/>
      <c r="X23" s="333"/>
      <c r="Y23" s="332">
        <v>0</v>
      </c>
      <c r="Z23" s="333"/>
    </row>
    <row r="24" spans="1:26" s="334" customFormat="1" ht="11.45" customHeight="1">
      <c r="A24" s="327"/>
      <c r="B24" s="327" t="s">
        <v>588</v>
      </c>
      <c r="C24" s="328" t="s">
        <v>589</v>
      </c>
      <c r="D24" s="329"/>
      <c r="E24" s="329">
        <f t="shared" si="20"/>
        <v>0</v>
      </c>
      <c r="F24" s="330">
        <f t="shared" si="21"/>
        <v>0</v>
      </c>
      <c r="G24" s="332">
        <v>0</v>
      </c>
      <c r="H24" s="333"/>
      <c r="I24" s="333"/>
      <c r="J24" s="333"/>
      <c r="K24" s="332">
        <v>0</v>
      </c>
      <c r="L24" s="333"/>
      <c r="M24" s="332">
        <v>0</v>
      </c>
      <c r="N24" s="333"/>
      <c r="O24" s="332">
        <v>0</v>
      </c>
      <c r="P24" s="333"/>
      <c r="Q24" s="332">
        <v>0</v>
      </c>
      <c r="R24" s="333"/>
      <c r="S24" s="332">
        <v>0</v>
      </c>
      <c r="T24" s="333"/>
      <c r="U24" s="333"/>
      <c r="V24" s="333"/>
      <c r="W24" s="333"/>
      <c r="X24" s="333"/>
      <c r="Y24" s="332">
        <v>0</v>
      </c>
      <c r="Z24" s="333"/>
    </row>
    <row r="25" spans="1:26" s="334" customFormat="1" ht="11.45" customHeight="1">
      <c r="A25" s="327"/>
      <c r="B25" s="327" t="s">
        <v>590</v>
      </c>
      <c r="C25" s="328" t="s">
        <v>880</v>
      </c>
      <c r="D25" s="329"/>
      <c r="E25" s="329">
        <f t="shared" si="20"/>
        <v>0</v>
      </c>
      <c r="F25" s="330">
        <f t="shared" si="21"/>
        <v>0</v>
      </c>
      <c r="G25" s="332">
        <v>0</v>
      </c>
      <c r="H25" s="333"/>
      <c r="I25" s="333"/>
      <c r="J25" s="333"/>
      <c r="K25" s="332">
        <v>0</v>
      </c>
      <c r="L25" s="333"/>
      <c r="M25" s="332">
        <v>0</v>
      </c>
      <c r="N25" s="333"/>
      <c r="O25" s="332">
        <v>0</v>
      </c>
      <c r="P25" s="333"/>
      <c r="Q25" s="332">
        <v>0</v>
      </c>
      <c r="R25" s="333"/>
      <c r="S25" s="332">
        <v>0</v>
      </c>
      <c r="T25" s="333"/>
      <c r="U25" s="333"/>
      <c r="V25" s="333"/>
      <c r="W25" s="333"/>
      <c r="X25" s="333"/>
      <c r="Y25" s="332">
        <v>0</v>
      </c>
      <c r="Z25" s="333"/>
    </row>
    <row r="26" spans="1:26" s="334" customFormat="1" ht="11.45" customHeight="1">
      <c r="A26" s="327"/>
      <c r="B26" s="327" t="s">
        <v>592</v>
      </c>
      <c r="C26" s="328" t="s">
        <v>901</v>
      </c>
      <c r="D26" s="329"/>
      <c r="E26" s="329">
        <f t="shared" si="20"/>
        <v>0</v>
      </c>
      <c r="F26" s="330">
        <f t="shared" si="21"/>
        <v>0</v>
      </c>
      <c r="G26" s="332">
        <v>0</v>
      </c>
      <c r="H26" s="333"/>
      <c r="I26" s="333"/>
      <c r="J26" s="333"/>
      <c r="K26" s="332">
        <v>0</v>
      </c>
      <c r="L26" s="333"/>
      <c r="M26" s="332">
        <v>0</v>
      </c>
      <c r="N26" s="333"/>
      <c r="O26" s="332">
        <v>0</v>
      </c>
      <c r="P26" s="333"/>
      <c r="Q26" s="332">
        <v>0</v>
      </c>
      <c r="R26" s="333"/>
      <c r="S26" s="332">
        <v>0</v>
      </c>
      <c r="T26" s="333"/>
      <c r="U26" s="333"/>
      <c r="V26" s="333"/>
      <c r="W26" s="333"/>
      <c r="X26" s="333"/>
      <c r="Y26" s="332">
        <v>0</v>
      </c>
      <c r="Z26" s="333"/>
    </row>
    <row r="27" spans="1:26" s="334" customFormat="1" ht="11.45" customHeight="1">
      <c r="A27" s="327"/>
      <c r="B27" s="327" t="s">
        <v>594</v>
      </c>
      <c r="C27" s="328" t="s">
        <v>595</v>
      </c>
      <c r="D27" s="329"/>
      <c r="E27" s="329">
        <f t="shared" si="20"/>
        <v>12800</v>
      </c>
      <c r="F27" s="330">
        <f t="shared" si="21"/>
        <v>0</v>
      </c>
      <c r="G27" s="332">
        <f>59*200</f>
        <v>11800</v>
      </c>
      <c r="H27" s="333"/>
      <c r="I27" s="333"/>
      <c r="J27" s="333"/>
      <c r="K27" s="332">
        <v>0</v>
      </c>
      <c r="L27" s="333"/>
      <c r="M27" s="332">
        <v>0</v>
      </c>
      <c r="N27" s="333"/>
      <c r="O27" s="332">
        <v>0</v>
      </c>
      <c r="P27" s="333"/>
      <c r="Q27" s="332">
        <v>1000</v>
      </c>
      <c r="R27" s="333"/>
      <c r="S27" s="332">
        <v>0</v>
      </c>
      <c r="T27" s="333"/>
      <c r="U27" s="333"/>
      <c r="V27" s="333"/>
      <c r="W27" s="333"/>
      <c r="X27" s="333"/>
      <c r="Y27" s="332">
        <v>0</v>
      </c>
      <c r="Z27" s="333"/>
    </row>
    <row r="28" spans="1:26" s="317" customFormat="1" ht="12.75" customHeight="1">
      <c r="A28" s="322" t="s">
        <v>867</v>
      </c>
      <c r="B28" s="322" t="s">
        <v>598</v>
      </c>
      <c r="C28" s="323" t="s">
        <v>599</v>
      </c>
      <c r="D28" s="324">
        <v>0</v>
      </c>
      <c r="E28" s="324">
        <f>G28+K28+M28+Q28+S28</f>
        <v>0</v>
      </c>
      <c r="F28" s="324">
        <f t="shared" si="21"/>
        <v>0</v>
      </c>
      <c r="G28" s="326">
        <v>0</v>
      </c>
      <c r="H28" s="326"/>
      <c r="I28" s="326"/>
      <c r="J28" s="326"/>
      <c r="K28" s="326">
        <v>0</v>
      </c>
      <c r="L28" s="326"/>
      <c r="M28" s="326">
        <v>0</v>
      </c>
      <c r="N28" s="326"/>
      <c r="O28" s="326">
        <v>0</v>
      </c>
      <c r="P28" s="326"/>
      <c r="Q28" s="326">
        <v>0</v>
      </c>
      <c r="R28" s="326"/>
      <c r="S28" s="326">
        <v>0</v>
      </c>
      <c r="T28" s="326"/>
      <c r="U28" s="326"/>
      <c r="V28" s="326"/>
      <c r="W28" s="326"/>
      <c r="X28" s="326"/>
      <c r="Y28" s="326">
        <v>0</v>
      </c>
      <c r="Z28" s="326"/>
    </row>
    <row r="29" spans="1:26" s="317" customFormat="1" ht="12.75" customHeight="1">
      <c r="A29" s="322" t="s">
        <v>868</v>
      </c>
      <c r="B29" s="322" t="s">
        <v>600</v>
      </c>
      <c r="C29" s="323" t="s">
        <v>601</v>
      </c>
      <c r="D29" s="324">
        <v>0</v>
      </c>
      <c r="E29" s="324">
        <f>G29+K29+M29+Q29+S29</f>
        <v>16400</v>
      </c>
      <c r="F29" s="324">
        <f t="shared" si="21"/>
        <v>0</v>
      </c>
      <c r="G29" s="326">
        <f>10000+6000</f>
        <v>16000</v>
      </c>
      <c r="H29" s="326"/>
      <c r="I29" s="326"/>
      <c r="J29" s="326"/>
      <c r="K29" s="326">
        <v>400</v>
      </c>
      <c r="L29" s="326"/>
      <c r="M29" s="326">
        <v>0</v>
      </c>
      <c r="N29" s="326"/>
      <c r="O29" s="326">
        <v>0</v>
      </c>
      <c r="P29" s="326"/>
      <c r="Q29" s="326">
        <v>0</v>
      </c>
      <c r="R29" s="326"/>
      <c r="S29" s="326">
        <v>0</v>
      </c>
      <c r="T29" s="326"/>
      <c r="U29" s="326"/>
      <c r="V29" s="326"/>
      <c r="W29" s="326"/>
      <c r="X29" s="326"/>
      <c r="Y29" s="326">
        <v>0</v>
      </c>
      <c r="Z29" s="326"/>
    </row>
    <row r="30" spans="1:26" s="317" customFormat="1" ht="12.75" customHeight="1">
      <c r="A30" s="322" t="s">
        <v>869</v>
      </c>
      <c r="B30" s="322" t="s">
        <v>603</v>
      </c>
      <c r="C30" s="323" t="s">
        <v>604</v>
      </c>
      <c r="D30" s="324">
        <v>0</v>
      </c>
      <c r="E30" s="324">
        <f>G30+K30+M30+Q30+S30</f>
        <v>4000</v>
      </c>
      <c r="F30" s="324">
        <f t="shared" si="21"/>
        <v>0</v>
      </c>
      <c r="G30" s="326">
        <v>4000</v>
      </c>
      <c r="H30" s="326"/>
      <c r="I30" s="326"/>
      <c r="J30" s="326"/>
      <c r="K30" s="326">
        <v>0</v>
      </c>
      <c r="L30" s="326"/>
      <c r="M30" s="326">
        <v>0</v>
      </c>
      <c r="N30" s="326"/>
      <c r="O30" s="326">
        <v>0</v>
      </c>
      <c r="P30" s="326"/>
      <c r="Q30" s="326">
        <v>0</v>
      </c>
      <c r="R30" s="326"/>
      <c r="S30" s="326">
        <v>0</v>
      </c>
      <c r="T30" s="326"/>
      <c r="U30" s="326"/>
      <c r="V30" s="326"/>
      <c r="W30" s="326"/>
      <c r="X30" s="326"/>
      <c r="Y30" s="326">
        <v>0</v>
      </c>
      <c r="Z30" s="326"/>
    </row>
    <row r="31" spans="1:26" s="317" customFormat="1" ht="12.75" customHeight="1">
      <c r="A31" s="322" t="s">
        <v>870</v>
      </c>
      <c r="B31" s="322" t="s">
        <v>609</v>
      </c>
      <c r="C31" s="323" t="s">
        <v>610</v>
      </c>
      <c r="D31" s="324">
        <f>SUM(D32:D33)</f>
        <v>0</v>
      </c>
      <c r="E31" s="324">
        <f>SUM(E32:E33)</f>
        <v>1440</v>
      </c>
      <c r="F31" s="324">
        <f>SUM(F32:F33)</f>
        <v>0</v>
      </c>
      <c r="G31" s="326">
        <f t="shared" ref="G31:M31" si="22">SUM(G32:G33)</f>
        <v>1440</v>
      </c>
      <c r="H31" s="326"/>
      <c r="I31" s="326"/>
      <c r="J31" s="326"/>
      <c r="K31" s="326">
        <f t="shared" si="22"/>
        <v>0</v>
      </c>
      <c r="L31" s="326"/>
      <c r="M31" s="326">
        <f t="shared" si="22"/>
        <v>0</v>
      </c>
      <c r="N31" s="326"/>
      <c r="O31" s="326">
        <f t="shared" ref="O31" si="23">SUM(O32:O33)</f>
        <v>0</v>
      </c>
      <c r="P31" s="326"/>
      <c r="Q31" s="326">
        <f t="shared" ref="Q31" si="24">SUM(Q32:Q33)</f>
        <v>0</v>
      </c>
      <c r="R31" s="326"/>
      <c r="S31" s="326">
        <f t="shared" ref="S31" si="25">SUM(S32:S33)</f>
        <v>0</v>
      </c>
      <c r="T31" s="326"/>
      <c r="U31" s="326"/>
      <c r="V31" s="326"/>
      <c r="W31" s="326"/>
      <c r="X31" s="326"/>
      <c r="Y31" s="326">
        <f t="shared" ref="Y31" si="26">SUM(Y32:Y33)</f>
        <v>0</v>
      </c>
      <c r="Z31" s="326"/>
    </row>
    <row r="32" spans="1:26" s="334" customFormat="1" ht="11.45" customHeight="1">
      <c r="A32" s="327"/>
      <c r="B32" s="327" t="s">
        <v>605</v>
      </c>
      <c r="C32" s="328" t="s">
        <v>606</v>
      </c>
      <c r="D32" s="329"/>
      <c r="E32" s="329">
        <f t="shared" ref="E32:E33" si="27">G32+K32+M32+Q32+S32</f>
        <v>1440</v>
      </c>
      <c r="F32" s="330">
        <f t="shared" ref="F32:F34" si="28">H32+L32+N32</f>
        <v>0</v>
      </c>
      <c r="G32" s="332">
        <v>1440</v>
      </c>
      <c r="H32" s="333"/>
      <c r="I32" s="333"/>
      <c r="J32" s="333"/>
      <c r="K32" s="332">
        <v>0</v>
      </c>
      <c r="L32" s="333"/>
      <c r="M32" s="332">
        <v>0</v>
      </c>
      <c r="N32" s="333"/>
      <c r="O32" s="332">
        <v>0</v>
      </c>
      <c r="P32" s="333"/>
      <c r="Q32" s="332">
        <v>0</v>
      </c>
      <c r="R32" s="333"/>
      <c r="S32" s="332">
        <v>0</v>
      </c>
      <c r="T32" s="333"/>
      <c r="U32" s="333"/>
      <c r="V32" s="333"/>
      <c r="W32" s="333"/>
      <c r="X32" s="333"/>
      <c r="Y32" s="332">
        <v>0</v>
      </c>
      <c r="Z32" s="333"/>
    </row>
    <row r="33" spans="1:26" s="334" customFormat="1" ht="11.45" customHeight="1">
      <c r="A33" s="327"/>
      <c r="B33" s="327" t="s">
        <v>607</v>
      </c>
      <c r="C33" s="328" t="s">
        <v>608</v>
      </c>
      <c r="D33" s="329"/>
      <c r="E33" s="329">
        <f t="shared" si="27"/>
        <v>0</v>
      </c>
      <c r="F33" s="330">
        <f t="shared" si="28"/>
        <v>0</v>
      </c>
      <c r="G33" s="332">
        <v>0</v>
      </c>
      <c r="H33" s="333"/>
      <c r="I33" s="333"/>
      <c r="J33" s="333"/>
      <c r="K33" s="332">
        <v>0</v>
      </c>
      <c r="L33" s="333"/>
      <c r="M33" s="332">
        <v>0</v>
      </c>
      <c r="N33" s="333"/>
      <c r="O33" s="332">
        <v>0</v>
      </c>
      <c r="P33" s="333"/>
      <c r="Q33" s="332">
        <v>0</v>
      </c>
      <c r="R33" s="333"/>
      <c r="S33" s="332">
        <v>0</v>
      </c>
      <c r="T33" s="333"/>
      <c r="U33" s="333"/>
      <c r="V33" s="333"/>
      <c r="W33" s="333"/>
      <c r="X33" s="333"/>
      <c r="Y33" s="332">
        <v>0</v>
      </c>
      <c r="Z33" s="333"/>
    </row>
    <row r="34" spans="1:26" s="317" customFormat="1" ht="12.75" customHeight="1">
      <c r="A34" s="322" t="s">
        <v>871</v>
      </c>
      <c r="B34" s="322" t="s">
        <v>611</v>
      </c>
      <c r="C34" s="323" t="s">
        <v>612</v>
      </c>
      <c r="D34" s="324">
        <v>0</v>
      </c>
      <c r="E34" s="324">
        <f>G34+K34+M34+Q34+S34</f>
        <v>1200</v>
      </c>
      <c r="F34" s="324">
        <f t="shared" si="28"/>
        <v>0</v>
      </c>
      <c r="G34" s="326">
        <v>1200</v>
      </c>
      <c r="H34" s="326"/>
      <c r="I34" s="326"/>
      <c r="J34" s="326"/>
      <c r="K34" s="326">
        <v>0</v>
      </c>
      <c r="L34" s="326"/>
      <c r="M34" s="326">
        <v>0</v>
      </c>
      <c r="N34" s="326"/>
      <c r="O34" s="326">
        <v>0</v>
      </c>
      <c r="P34" s="326"/>
      <c r="Q34" s="326">
        <v>0</v>
      </c>
      <c r="R34" s="326"/>
      <c r="S34" s="326">
        <v>0</v>
      </c>
      <c r="T34" s="326"/>
      <c r="U34" s="326"/>
      <c r="V34" s="326"/>
      <c r="W34" s="326"/>
      <c r="X34" s="326"/>
      <c r="Y34" s="326">
        <v>0</v>
      </c>
      <c r="Z34" s="326"/>
    </row>
    <row r="35" spans="1:26" s="317" customFormat="1" ht="12.75" customHeight="1">
      <c r="A35" s="322" t="s">
        <v>872</v>
      </c>
      <c r="B35" s="322" t="s">
        <v>625</v>
      </c>
      <c r="C35" s="323" t="s">
        <v>902</v>
      </c>
      <c r="D35" s="324">
        <f>SUM(D36:D41)</f>
        <v>0</v>
      </c>
      <c r="E35" s="324">
        <f>SUM(E36:E41)</f>
        <v>3765</v>
      </c>
      <c r="F35" s="324">
        <f>SUM(F36:F41)</f>
        <v>0</v>
      </c>
      <c r="G35" s="326">
        <f t="shared" ref="G35:M35" si="29">SUM(G36:G41)</f>
        <v>490</v>
      </c>
      <c r="H35" s="326"/>
      <c r="I35" s="326"/>
      <c r="J35" s="326"/>
      <c r="K35" s="326">
        <f t="shared" si="29"/>
        <v>2692</v>
      </c>
      <c r="L35" s="326"/>
      <c r="M35" s="326">
        <f t="shared" si="29"/>
        <v>0</v>
      </c>
      <c r="N35" s="326"/>
      <c r="O35" s="326">
        <f t="shared" ref="O35" si="30">SUM(O36:O41)</f>
        <v>0</v>
      </c>
      <c r="P35" s="326"/>
      <c r="Q35" s="326">
        <f t="shared" ref="Q35" si="31">SUM(Q36:Q41)</f>
        <v>583</v>
      </c>
      <c r="R35" s="326"/>
      <c r="S35" s="326">
        <f t="shared" ref="S35" si="32">SUM(S36:S41)</f>
        <v>0</v>
      </c>
      <c r="T35" s="326"/>
      <c r="U35" s="326"/>
      <c r="V35" s="326"/>
      <c r="W35" s="326"/>
      <c r="X35" s="326"/>
      <c r="Y35" s="326">
        <f t="shared" ref="Y35" si="33">SUM(Y36:Y41)</f>
        <v>0</v>
      </c>
      <c r="Z35" s="326"/>
    </row>
    <row r="36" spans="1:26" s="334" customFormat="1" ht="11.45" customHeight="1">
      <c r="A36" s="327"/>
      <c r="B36" s="327" t="s">
        <v>613</v>
      </c>
      <c r="C36" s="328" t="s">
        <v>614</v>
      </c>
      <c r="D36" s="329"/>
      <c r="E36" s="329">
        <f t="shared" ref="E36:E41" si="34">G36+K36+M36+Q36+S36</f>
        <v>0</v>
      </c>
      <c r="F36" s="330">
        <f t="shared" ref="F36:F41" si="35">H36+L36+N36</f>
        <v>0</v>
      </c>
      <c r="G36" s="332">
        <v>0</v>
      </c>
      <c r="H36" s="333"/>
      <c r="I36" s="333"/>
      <c r="J36" s="333"/>
      <c r="K36" s="332">
        <v>0</v>
      </c>
      <c r="L36" s="333"/>
      <c r="M36" s="332">
        <v>0</v>
      </c>
      <c r="N36" s="333"/>
      <c r="O36" s="332">
        <v>0</v>
      </c>
      <c r="P36" s="333"/>
      <c r="Q36" s="332">
        <v>0</v>
      </c>
      <c r="R36" s="333"/>
      <c r="S36" s="332">
        <v>0</v>
      </c>
      <c r="T36" s="333"/>
      <c r="U36" s="333"/>
      <c r="V36" s="333"/>
      <c r="W36" s="333"/>
      <c r="X36" s="333"/>
      <c r="Y36" s="332">
        <v>0</v>
      </c>
      <c r="Z36" s="333"/>
    </row>
    <row r="37" spans="1:26" s="334" customFormat="1" ht="11.45" customHeight="1">
      <c r="A37" s="327"/>
      <c r="B37" s="327" t="s">
        <v>615</v>
      </c>
      <c r="C37" s="328" t="s">
        <v>616</v>
      </c>
      <c r="D37" s="329"/>
      <c r="E37" s="329">
        <f t="shared" si="34"/>
        <v>0</v>
      </c>
      <c r="F37" s="330">
        <f t="shared" si="35"/>
        <v>0</v>
      </c>
      <c r="G37" s="332">
        <v>0</v>
      </c>
      <c r="H37" s="333"/>
      <c r="I37" s="333"/>
      <c r="J37" s="333"/>
      <c r="K37" s="332">
        <v>0</v>
      </c>
      <c r="L37" s="333"/>
      <c r="M37" s="332">
        <v>0</v>
      </c>
      <c r="N37" s="333"/>
      <c r="O37" s="332">
        <v>0</v>
      </c>
      <c r="P37" s="333"/>
      <c r="Q37" s="332">
        <v>0</v>
      </c>
      <c r="R37" s="333"/>
      <c r="S37" s="332">
        <v>0</v>
      </c>
      <c r="T37" s="333"/>
      <c r="U37" s="333"/>
      <c r="V37" s="333"/>
      <c r="W37" s="333"/>
      <c r="X37" s="333"/>
      <c r="Y37" s="332">
        <v>0</v>
      </c>
      <c r="Z37" s="333"/>
    </row>
    <row r="38" spans="1:26" s="334" customFormat="1" ht="11.45" customHeight="1">
      <c r="A38" s="327"/>
      <c r="B38" s="327" t="s">
        <v>617</v>
      </c>
      <c r="C38" s="328" t="s">
        <v>618</v>
      </c>
      <c r="D38" s="329"/>
      <c r="E38" s="329">
        <f t="shared" si="34"/>
        <v>0</v>
      </c>
      <c r="F38" s="330">
        <f t="shared" si="35"/>
        <v>0</v>
      </c>
      <c r="G38" s="332">
        <v>0</v>
      </c>
      <c r="H38" s="333"/>
      <c r="I38" s="333"/>
      <c r="J38" s="333"/>
      <c r="K38" s="332">
        <v>0</v>
      </c>
      <c r="L38" s="333"/>
      <c r="M38" s="332">
        <v>0</v>
      </c>
      <c r="N38" s="333"/>
      <c r="O38" s="332">
        <v>0</v>
      </c>
      <c r="P38" s="333"/>
      <c r="Q38" s="332">
        <v>0</v>
      </c>
      <c r="R38" s="333"/>
      <c r="S38" s="332">
        <v>0</v>
      </c>
      <c r="T38" s="333"/>
      <c r="U38" s="333"/>
      <c r="V38" s="333"/>
      <c r="W38" s="333"/>
      <c r="X38" s="333"/>
      <c r="Y38" s="332">
        <v>0</v>
      </c>
      <c r="Z38" s="333"/>
    </row>
    <row r="39" spans="1:26" s="334" customFormat="1" ht="11.45" customHeight="1">
      <c r="A39" s="327"/>
      <c r="B39" s="327" t="s">
        <v>619</v>
      </c>
      <c r="C39" s="328" t="s">
        <v>620</v>
      </c>
      <c r="D39" s="329"/>
      <c r="E39" s="329">
        <f t="shared" si="34"/>
        <v>0</v>
      </c>
      <c r="F39" s="330">
        <f t="shared" si="35"/>
        <v>0</v>
      </c>
      <c r="G39" s="332">
        <v>0</v>
      </c>
      <c r="H39" s="333"/>
      <c r="I39" s="333"/>
      <c r="J39" s="333"/>
      <c r="K39" s="332">
        <v>0</v>
      </c>
      <c r="L39" s="333"/>
      <c r="M39" s="332">
        <v>0</v>
      </c>
      <c r="N39" s="333"/>
      <c r="O39" s="332">
        <v>0</v>
      </c>
      <c r="P39" s="333"/>
      <c r="Q39" s="332">
        <v>0</v>
      </c>
      <c r="R39" s="333"/>
      <c r="S39" s="332">
        <v>0</v>
      </c>
      <c r="T39" s="333"/>
      <c r="U39" s="333"/>
      <c r="V39" s="333"/>
      <c r="W39" s="333"/>
      <c r="X39" s="333"/>
      <c r="Y39" s="332">
        <v>0</v>
      </c>
      <c r="Z39" s="333"/>
    </row>
    <row r="40" spans="1:26" s="334" customFormat="1" ht="11.45" customHeight="1">
      <c r="A40" s="327"/>
      <c r="B40" s="327" t="s">
        <v>621</v>
      </c>
      <c r="C40" s="328" t="s">
        <v>622</v>
      </c>
      <c r="D40" s="329"/>
      <c r="E40" s="329">
        <f t="shared" si="34"/>
        <v>0</v>
      </c>
      <c r="F40" s="330">
        <f t="shared" si="35"/>
        <v>0</v>
      </c>
      <c r="G40" s="332">
        <v>0</v>
      </c>
      <c r="H40" s="333"/>
      <c r="I40" s="333"/>
      <c r="J40" s="333"/>
      <c r="K40" s="332">
        <v>0</v>
      </c>
      <c r="L40" s="333"/>
      <c r="M40" s="332">
        <v>0</v>
      </c>
      <c r="N40" s="333"/>
      <c r="O40" s="332">
        <v>0</v>
      </c>
      <c r="P40" s="333"/>
      <c r="Q40" s="332">
        <v>0</v>
      </c>
      <c r="R40" s="333"/>
      <c r="S40" s="332">
        <v>0</v>
      </c>
      <c r="T40" s="333"/>
      <c r="U40" s="333"/>
      <c r="V40" s="333"/>
      <c r="W40" s="333"/>
      <c r="X40" s="333"/>
      <c r="Y40" s="332">
        <v>0</v>
      </c>
      <c r="Z40" s="333"/>
    </row>
    <row r="41" spans="1:26" s="334" customFormat="1" ht="11.45" customHeight="1">
      <c r="A41" s="327"/>
      <c r="B41" s="327" t="s">
        <v>623</v>
      </c>
      <c r="C41" s="328" t="s">
        <v>624</v>
      </c>
      <c r="D41" s="329"/>
      <c r="E41" s="329">
        <f t="shared" si="34"/>
        <v>3765</v>
      </c>
      <c r="F41" s="330">
        <f t="shared" si="35"/>
        <v>0</v>
      </c>
      <c r="G41" s="332">
        <v>490</v>
      </c>
      <c r="H41" s="333"/>
      <c r="I41" s="333"/>
      <c r="J41" s="333"/>
      <c r="K41" s="332">
        <f>2692</f>
        <v>2692</v>
      </c>
      <c r="L41" s="333"/>
      <c r="M41" s="332">
        <v>0</v>
      </c>
      <c r="N41" s="333"/>
      <c r="O41" s="332">
        <v>0</v>
      </c>
      <c r="P41" s="333"/>
      <c r="Q41" s="332">
        <v>583</v>
      </c>
      <c r="R41" s="333"/>
      <c r="S41" s="332">
        <v>0</v>
      </c>
      <c r="T41" s="333"/>
      <c r="U41" s="333"/>
      <c r="V41" s="333"/>
      <c r="W41" s="333"/>
      <c r="X41" s="333"/>
      <c r="Y41" s="332">
        <v>0</v>
      </c>
      <c r="Z41" s="333"/>
    </row>
    <row r="42" spans="1:26" s="317" customFormat="1" ht="12.75" customHeight="1">
      <c r="A42" s="335" t="s">
        <v>873</v>
      </c>
      <c r="B42" s="335" t="s">
        <v>627</v>
      </c>
      <c r="C42" s="336" t="s">
        <v>628</v>
      </c>
      <c r="D42" s="337">
        <f>D6+D13+D14+D15+D18+D19+D20+D28+D29+D30+D31+D34+D35</f>
        <v>0</v>
      </c>
      <c r="E42" s="337">
        <f>E6+E13+E14+E15+E18+E19+E20+E28+E29+E30+E31+E34+E35</f>
        <v>340892</v>
      </c>
      <c r="F42" s="337">
        <f>F6+F13+F14+F15+F18+F19+F20+F28+F29+F30+F31+F34+F35</f>
        <v>0</v>
      </c>
      <c r="G42" s="339">
        <f t="shared" ref="G42:M42" si="36">G6+G13+G14+G15+G18+G19+G20+G28+G29+G30+G31+G34+G35</f>
        <v>285172</v>
      </c>
      <c r="H42" s="339"/>
      <c r="I42" s="339">
        <f t="shared" si="36"/>
        <v>12477</v>
      </c>
      <c r="J42" s="339"/>
      <c r="K42" s="339">
        <f t="shared" si="36"/>
        <v>21154</v>
      </c>
      <c r="L42" s="339"/>
      <c r="M42" s="339">
        <f t="shared" si="36"/>
        <v>0</v>
      </c>
      <c r="N42" s="339"/>
      <c r="O42" s="339">
        <f t="shared" ref="O42" si="37">O6+O13+O14+O15+O18+O19+O20+O28+O29+O30+O31+O34+O35</f>
        <v>0</v>
      </c>
      <c r="P42" s="339"/>
      <c r="Q42" s="339">
        <f t="shared" ref="Q42" si="38">Q6+Q13+Q14+Q15+Q18+Q19+Q20+Q28+Q29+Q30+Q31+Q34+Q35</f>
        <v>14275</v>
      </c>
      <c r="R42" s="339"/>
      <c r="S42" s="339">
        <f t="shared" ref="S42" si="39">S6+S13+S14+S15+S18+S19+S20+S28+S29+S30+S31+S34+S35</f>
        <v>3996</v>
      </c>
      <c r="T42" s="339"/>
      <c r="U42" s="339"/>
      <c r="V42" s="339"/>
      <c r="W42" s="339">
        <f t="shared" ref="W42" si="40">W6+W13+W14+W15+W18+W19+W20+W28+W29+W30+W31+W34+W35</f>
        <v>3818</v>
      </c>
      <c r="X42" s="339"/>
      <c r="Y42" s="339">
        <f t="shared" ref="Y42" si="41">Y6+Y13+Y14+Y15+Y18+Y19+Y20+Y28+Y29+Y30+Y31+Y34+Y35</f>
        <v>0</v>
      </c>
      <c r="Z42" s="339"/>
    </row>
    <row r="43" spans="1:26" s="317" customFormat="1" ht="12.75" customHeight="1">
      <c r="A43" s="322" t="s">
        <v>874</v>
      </c>
      <c r="B43" s="322" t="s">
        <v>633</v>
      </c>
      <c r="C43" s="323" t="s">
        <v>634</v>
      </c>
      <c r="D43" s="324">
        <f>SUM(D44:D45)</f>
        <v>0</v>
      </c>
      <c r="E43" s="324">
        <f>SUM(E44:E45)</f>
        <v>17856</v>
      </c>
      <c r="F43" s="324">
        <f>SUM(F44:F45)</f>
        <v>0</v>
      </c>
      <c r="G43" s="326">
        <f t="shared" ref="G43:M43" si="42">SUM(G44:G45)</f>
        <v>17856</v>
      </c>
      <c r="H43" s="326"/>
      <c r="I43" s="326"/>
      <c r="J43" s="326"/>
      <c r="K43" s="326">
        <f t="shared" si="42"/>
        <v>0</v>
      </c>
      <c r="L43" s="326"/>
      <c r="M43" s="326">
        <f t="shared" si="42"/>
        <v>0</v>
      </c>
      <c r="N43" s="326"/>
      <c r="O43" s="326">
        <f t="shared" ref="O43" si="43">SUM(O44:O45)</f>
        <v>0</v>
      </c>
      <c r="P43" s="326"/>
      <c r="Q43" s="326">
        <f t="shared" ref="Q43" si="44">SUM(Q44:Q45)</f>
        <v>0</v>
      </c>
      <c r="R43" s="326"/>
      <c r="S43" s="326">
        <f t="shared" ref="S43" si="45">SUM(S44:S45)</f>
        <v>0</v>
      </c>
      <c r="T43" s="326"/>
      <c r="U43" s="326"/>
      <c r="V43" s="326"/>
      <c r="W43" s="326"/>
      <c r="X43" s="326"/>
      <c r="Y43" s="326">
        <f t="shared" ref="Y43" si="46">SUM(Y44:Y45)</f>
        <v>0</v>
      </c>
      <c r="Z43" s="326"/>
    </row>
    <row r="44" spans="1:26" s="334" customFormat="1" ht="11.45" customHeight="1">
      <c r="A44" s="327"/>
      <c r="B44" s="327" t="s">
        <v>629</v>
      </c>
      <c r="C44" s="328" t="s">
        <v>630</v>
      </c>
      <c r="D44" s="329"/>
      <c r="E44" s="329">
        <f t="shared" ref="E44:E45" si="47">G44+K44+M44+Q44+S44</f>
        <v>17856</v>
      </c>
      <c r="F44" s="330">
        <f>H44+L44+N44</f>
        <v>0</v>
      </c>
      <c r="G44" s="332">
        <v>17856</v>
      </c>
      <c r="H44" s="333"/>
      <c r="I44" s="333"/>
      <c r="J44" s="333"/>
      <c r="K44" s="332">
        <v>0</v>
      </c>
      <c r="L44" s="333"/>
      <c r="M44" s="332">
        <v>0</v>
      </c>
      <c r="N44" s="333"/>
      <c r="O44" s="332">
        <v>0</v>
      </c>
      <c r="P44" s="333"/>
      <c r="Q44" s="332">
        <v>0</v>
      </c>
      <c r="R44" s="333"/>
      <c r="S44" s="332">
        <v>0</v>
      </c>
      <c r="T44" s="333"/>
      <c r="U44" s="333"/>
      <c r="V44" s="333"/>
      <c r="W44" s="333"/>
      <c r="X44" s="333"/>
      <c r="Y44" s="332">
        <v>0</v>
      </c>
      <c r="Z44" s="333"/>
    </row>
    <row r="45" spans="1:26" s="334" customFormat="1" ht="11.45" customHeight="1">
      <c r="A45" s="327"/>
      <c r="B45" s="327" t="s">
        <v>631</v>
      </c>
      <c r="C45" s="328" t="s">
        <v>632</v>
      </c>
      <c r="D45" s="329"/>
      <c r="E45" s="329">
        <f t="shared" si="47"/>
        <v>0</v>
      </c>
      <c r="F45" s="330">
        <f>H45+L45+N45</f>
        <v>0</v>
      </c>
      <c r="G45" s="332">
        <v>0</v>
      </c>
      <c r="H45" s="333"/>
      <c r="I45" s="333"/>
      <c r="J45" s="333"/>
      <c r="K45" s="332">
        <v>0</v>
      </c>
      <c r="L45" s="333"/>
      <c r="M45" s="332">
        <v>0</v>
      </c>
      <c r="N45" s="333"/>
      <c r="O45" s="332">
        <v>0</v>
      </c>
      <c r="P45" s="333"/>
      <c r="Q45" s="332">
        <v>0</v>
      </c>
      <c r="R45" s="333"/>
      <c r="S45" s="332">
        <v>0</v>
      </c>
      <c r="T45" s="333"/>
      <c r="U45" s="333"/>
      <c r="V45" s="333"/>
      <c r="W45" s="333"/>
      <c r="X45" s="333"/>
      <c r="Y45" s="332">
        <v>0</v>
      </c>
      <c r="Z45" s="333"/>
    </row>
    <row r="46" spans="1:26" s="317" customFormat="1" ht="12.75" customHeight="1">
      <c r="A46" s="322" t="s">
        <v>875</v>
      </c>
      <c r="B46" s="322" t="s">
        <v>640</v>
      </c>
      <c r="C46" s="323" t="s">
        <v>903</v>
      </c>
      <c r="D46" s="324">
        <f>SUM(D47:D48)</f>
        <v>0</v>
      </c>
      <c r="E46" s="324">
        <f>SUM(E47:E48)</f>
        <v>46288</v>
      </c>
      <c r="F46" s="324">
        <f>SUM(F47:F48)</f>
        <v>0</v>
      </c>
      <c r="G46" s="326">
        <f t="shared" ref="G46:M46" si="48">SUM(G47:G48)</f>
        <v>44000</v>
      </c>
      <c r="H46" s="326"/>
      <c r="I46" s="326"/>
      <c r="J46" s="326"/>
      <c r="K46" s="326">
        <f t="shared" si="48"/>
        <v>288</v>
      </c>
      <c r="L46" s="326"/>
      <c r="M46" s="326">
        <f t="shared" si="48"/>
        <v>2000</v>
      </c>
      <c r="N46" s="326"/>
      <c r="O46" s="326">
        <f t="shared" ref="O46" si="49">SUM(O47:O48)</f>
        <v>0</v>
      </c>
      <c r="P46" s="326"/>
      <c r="Q46" s="326">
        <f t="shared" ref="Q46" si="50">SUM(Q47:Q48)</f>
        <v>0</v>
      </c>
      <c r="R46" s="326"/>
      <c r="S46" s="326">
        <f t="shared" ref="S46" si="51">SUM(S47:S48)</f>
        <v>0</v>
      </c>
      <c r="T46" s="326"/>
      <c r="U46" s="326"/>
      <c r="V46" s="326"/>
      <c r="W46" s="326"/>
      <c r="X46" s="326"/>
      <c r="Y46" s="326">
        <f t="shared" ref="Y46" si="52">SUM(Y47:Y48)</f>
        <v>0</v>
      </c>
      <c r="Z46" s="326"/>
    </row>
    <row r="47" spans="1:26" s="334" customFormat="1" ht="11.45" customHeight="1">
      <c r="A47" s="327"/>
      <c r="B47" s="327" t="s">
        <v>635</v>
      </c>
      <c r="C47" s="328" t="s">
        <v>636</v>
      </c>
      <c r="D47" s="329"/>
      <c r="E47" s="329">
        <f t="shared" ref="E47:E48" si="53">G47+K47+M47+Q47+S47</f>
        <v>46288</v>
      </c>
      <c r="F47" s="330">
        <f>H47+L47+N47</f>
        <v>0</v>
      </c>
      <c r="G47" s="332">
        <f>34000+10000</f>
        <v>44000</v>
      </c>
      <c r="H47" s="333"/>
      <c r="I47" s="333"/>
      <c r="J47" s="333"/>
      <c r="K47" s="332">
        <v>288</v>
      </c>
      <c r="L47" s="333"/>
      <c r="M47" s="332">
        <v>2000</v>
      </c>
      <c r="N47" s="333"/>
      <c r="O47" s="332">
        <v>0</v>
      </c>
      <c r="P47" s="333"/>
      <c r="Q47" s="332">
        <v>0</v>
      </c>
      <c r="R47" s="333"/>
      <c r="S47" s="332">
        <v>0</v>
      </c>
      <c r="T47" s="333"/>
      <c r="U47" s="333"/>
      <c r="V47" s="333"/>
      <c r="W47" s="333"/>
      <c r="X47" s="333"/>
      <c r="Y47" s="332">
        <v>0</v>
      </c>
      <c r="Z47" s="333"/>
    </row>
    <row r="48" spans="1:26" s="334" customFormat="1" ht="11.45" customHeight="1">
      <c r="A48" s="327"/>
      <c r="B48" s="327" t="s">
        <v>638</v>
      </c>
      <c r="C48" s="328" t="s">
        <v>639</v>
      </c>
      <c r="D48" s="329"/>
      <c r="E48" s="329">
        <f t="shared" si="53"/>
        <v>0</v>
      </c>
      <c r="F48" s="330">
        <f>H48+L48+N48</f>
        <v>0</v>
      </c>
      <c r="G48" s="332">
        <v>0</v>
      </c>
      <c r="H48" s="333"/>
      <c r="I48" s="333"/>
      <c r="J48" s="333"/>
      <c r="K48" s="332">
        <v>0</v>
      </c>
      <c r="L48" s="333"/>
      <c r="M48" s="332">
        <v>0</v>
      </c>
      <c r="N48" s="333"/>
      <c r="O48" s="332">
        <v>0</v>
      </c>
      <c r="P48" s="333"/>
      <c r="Q48" s="332">
        <v>0</v>
      </c>
      <c r="R48" s="333"/>
      <c r="S48" s="332">
        <v>0</v>
      </c>
      <c r="T48" s="333"/>
      <c r="U48" s="333"/>
      <c r="V48" s="333"/>
      <c r="W48" s="333"/>
      <c r="X48" s="333"/>
      <c r="Y48" s="332">
        <v>0</v>
      </c>
      <c r="Z48" s="333"/>
    </row>
    <row r="49" spans="1:26" s="317" customFormat="1" ht="12.75" customHeight="1">
      <c r="A49" s="322" t="s">
        <v>876</v>
      </c>
      <c r="B49" s="322" t="s">
        <v>657</v>
      </c>
      <c r="C49" s="323" t="s">
        <v>658</v>
      </c>
      <c r="D49" s="324">
        <f>SUM(D50:D56)</f>
        <v>0</v>
      </c>
      <c r="E49" s="324">
        <f>SUM(E50:E56)</f>
        <v>56751</v>
      </c>
      <c r="F49" s="324">
        <f>SUM(F50:F56)</f>
        <v>0</v>
      </c>
      <c r="G49" s="326">
        <f t="shared" ref="G49:M49" si="54">SUM(G50:G56)</f>
        <v>3000</v>
      </c>
      <c r="H49" s="326"/>
      <c r="I49" s="326"/>
      <c r="J49" s="326"/>
      <c r="K49" s="326">
        <f t="shared" si="54"/>
        <v>60</v>
      </c>
      <c r="L49" s="326"/>
      <c r="M49" s="326">
        <f t="shared" si="54"/>
        <v>0</v>
      </c>
      <c r="N49" s="326"/>
      <c r="O49" s="326">
        <f t="shared" ref="O49" si="55">SUM(O50:O56)</f>
        <v>1000</v>
      </c>
      <c r="P49" s="326"/>
      <c r="Q49" s="326">
        <f t="shared" ref="Q49" si="56">SUM(Q50:Q56)</f>
        <v>0</v>
      </c>
      <c r="R49" s="326"/>
      <c r="S49" s="326">
        <f t="shared" ref="S49:U49" si="57">SUM(S50:S56)</f>
        <v>251</v>
      </c>
      <c r="T49" s="326"/>
      <c r="U49" s="326">
        <f t="shared" si="57"/>
        <v>52440</v>
      </c>
      <c r="V49" s="326"/>
      <c r="W49" s="326"/>
      <c r="X49" s="326"/>
      <c r="Y49" s="326">
        <f t="shared" ref="Y49" si="58">SUM(Y50:Y56)</f>
        <v>0</v>
      </c>
      <c r="Z49" s="326"/>
    </row>
    <row r="50" spans="1:26" s="334" customFormat="1" ht="11.45" customHeight="1">
      <c r="A50" s="327"/>
      <c r="B50" s="327" t="s">
        <v>642</v>
      </c>
      <c r="C50" s="328" t="s">
        <v>904</v>
      </c>
      <c r="D50" s="329"/>
      <c r="E50" s="329">
        <f t="shared" ref="E50:E54" si="59">G50+K50+M50+Q50+S50</f>
        <v>0</v>
      </c>
      <c r="F50" s="330">
        <f t="shared" ref="F50:F56" si="60">H50+L50+N50</f>
        <v>0</v>
      </c>
      <c r="G50" s="332">
        <v>0</v>
      </c>
      <c r="H50" s="333"/>
      <c r="I50" s="333"/>
      <c r="J50" s="333"/>
      <c r="K50" s="332">
        <v>0</v>
      </c>
      <c r="L50" s="333"/>
      <c r="M50" s="332">
        <v>0</v>
      </c>
      <c r="N50" s="333"/>
      <c r="O50" s="332">
        <v>0</v>
      </c>
      <c r="P50" s="333"/>
      <c r="Q50" s="332">
        <v>0</v>
      </c>
      <c r="R50" s="333"/>
      <c r="S50" s="332">
        <v>0</v>
      </c>
      <c r="T50" s="333"/>
      <c r="U50" s="332"/>
      <c r="V50" s="333"/>
      <c r="W50" s="333"/>
      <c r="X50" s="333"/>
      <c r="Y50" s="332">
        <v>0</v>
      </c>
      <c r="Z50" s="333"/>
    </row>
    <row r="51" spans="1:26" s="334" customFormat="1" ht="11.45" customHeight="1">
      <c r="A51" s="327"/>
      <c r="B51" s="327" t="s">
        <v>644</v>
      </c>
      <c r="C51" s="328" t="s">
        <v>905</v>
      </c>
      <c r="D51" s="329"/>
      <c r="E51" s="329">
        <f t="shared" si="59"/>
        <v>0</v>
      </c>
      <c r="F51" s="330">
        <f t="shared" si="60"/>
        <v>0</v>
      </c>
      <c r="G51" s="332">
        <v>0</v>
      </c>
      <c r="H51" s="333"/>
      <c r="I51" s="333"/>
      <c r="J51" s="333"/>
      <c r="K51" s="332">
        <v>0</v>
      </c>
      <c r="L51" s="333"/>
      <c r="M51" s="332">
        <v>0</v>
      </c>
      <c r="N51" s="333"/>
      <c r="O51" s="332">
        <v>0</v>
      </c>
      <c r="P51" s="333"/>
      <c r="Q51" s="332">
        <v>0</v>
      </c>
      <c r="R51" s="333"/>
      <c r="S51" s="332">
        <v>0</v>
      </c>
      <c r="T51" s="333"/>
      <c r="U51" s="332"/>
      <c r="V51" s="333"/>
      <c r="W51" s="333"/>
      <c r="X51" s="333"/>
      <c r="Y51" s="332">
        <v>0</v>
      </c>
      <c r="Z51" s="333"/>
    </row>
    <row r="52" spans="1:26" s="334" customFormat="1" ht="11.45" customHeight="1">
      <c r="A52" s="327"/>
      <c r="B52" s="327" t="s">
        <v>906</v>
      </c>
      <c r="C52" s="328" t="s">
        <v>647</v>
      </c>
      <c r="D52" s="329"/>
      <c r="E52" s="329">
        <f t="shared" si="59"/>
        <v>0</v>
      </c>
      <c r="F52" s="330">
        <f t="shared" si="60"/>
        <v>0</v>
      </c>
      <c r="G52" s="332">
        <v>0</v>
      </c>
      <c r="H52" s="333"/>
      <c r="I52" s="333"/>
      <c r="J52" s="333"/>
      <c r="K52" s="332">
        <v>0</v>
      </c>
      <c r="L52" s="333"/>
      <c r="M52" s="332">
        <v>0</v>
      </c>
      <c r="N52" s="333"/>
      <c r="O52" s="332">
        <v>0</v>
      </c>
      <c r="P52" s="333"/>
      <c r="Q52" s="332">
        <v>0</v>
      </c>
      <c r="R52" s="333"/>
      <c r="S52" s="332">
        <v>0</v>
      </c>
      <c r="T52" s="333"/>
      <c r="U52" s="332"/>
      <c r="V52" s="333"/>
      <c r="W52" s="333"/>
      <c r="X52" s="333"/>
      <c r="Y52" s="332">
        <v>0</v>
      </c>
      <c r="Z52" s="333"/>
    </row>
    <row r="53" spans="1:26" s="334" customFormat="1" ht="11.45" customHeight="1">
      <c r="A53" s="327"/>
      <c r="B53" s="327" t="s">
        <v>646</v>
      </c>
      <c r="C53" s="328" t="s">
        <v>649</v>
      </c>
      <c r="D53" s="329"/>
      <c r="E53" s="329">
        <f t="shared" si="59"/>
        <v>251</v>
      </c>
      <c r="F53" s="330">
        <f t="shared" si="60"/>
        <v>0</v>
      </c>
      <c r="G53" s="332">
        <v>0</v>
      </c>
      <c r="H53" s="333"/>
      <c r="I53" s="333"/>
      <c r="J53" s="333"/>
      <c r="K53" s="332">
        <v>0</v>
      </c>
      <c r="L53" s="333"/>
      <c r="M53" s="332">
        <v>0</v>
      </c>
      <c r="N53" s="333"/>
      <c r="O53" s="332">
        <v>0</v>
      </c>
      <c r="P53" s="333"/>
      <c r="Q53" s="332">
        <v>0</v>
      </c>
      <c r="R53" s="333"/>
      <c r="S53" s="332">
        <f>51+110+90</f>
        <v>251</v>
      </c>
      <c r="T53" s="333"/>
      <c r="U53" s="332"/>
      <c r="V53" s="333"/>
      <c r="W53" s="333"/>
      <c r="X53" s="333"/>
      <c r="Y53" s="332">
        <v>0</v>
      </c>
      <c r="Z53" s="333"/>
    </row>
    <row r="54" spans="1:26" s="334" customFormat="1" ht="11.45" customHeight="1">
      <c r="A54" s="327"/>
      <c r="B54" s="327" t="s">
        <v>648</v>
      </c>
      <c r="C54" s="328" t="s">
        <v>907</v>
      </c>
      <c r="D54" s="329"/>
      <c r="E54" s="329">
        <f t="shared" si="59"/>
        <v>0</v>
      </c>
      <c r="F54" s="330">
        <f t="shared" si="60"/>
        <v>0</v>
      </c>
      <c r="G54" s="332">
        <v>0</v>
      </c>
      <c r="H54" s="333"/>
      <c r="I54" s="333"/>
      <c r="J54" s="333"/>
      <c r="K54" s="332">
        <v>0</v>
      </c>
      <c r="L54" s="333"/>
      <c r="M54" s="332">
        <v>0</v>
      </c>
      <c r="N54" s="333"/>
      <c r="O54" s="332">
        <v>0</v>
      </c>
      <c r="P54" s="333"/>
      <c r="Q54" s="332">
        <v>0</v>
      </c>
      <c r="R54" s="333"/>
      <c r="S54" s="332">
        <v>0</v>
      </c>
      <c r="T54" s="333"/>
      <c r="U54" s="332"/>
      <c r="V54" s="333"/>
      <c r="W54" s="333"/>
      <c r="X54" s="333"/>
      <c r="Y54" s="332">
        <v>0</v>
      </c>
      <c r="Z54" s="333"/>
    </row>
    <row r="55" spans="1:26" s="334" customFormat="1" ht="11.45" customHeight="1">
      <c r="A55" s="327"/>
      <c r="B55" s="327" t="s">
        <v>650</v>
      </c>
      <c r="C55" s="328" t="s">
        <v>653</v>
      </c>
      <c r="D55" s="329"/>
      <c r="E55" s="329">
        <f>G55+K55+M55+Q55+S55+O55</f>
        <v>4060</v>
      </c>
      <c r="F55" s="330">
        <f t="shared" si="60"/>
        <v>0</v>
      </c>
      <c r="G55" s="332">
        <v>3000</v>
      </c>
      <c r="H55" s="333"/>
      <c r="I55" s="333"/>
      <c r="J55" s="333"/>
      <c r="K55" s="332">
        <v>60</v>
      </c>
      <c r="L55" s="333"/>
      <c r="M55" s="332">
        <v>0</v>
      </c>
      <c r="N55" s="333"/>
      <c r="O55" s="332">
        <v>1000</v>
      </c>
      <c r="P55" s="333"/>
      <c r="Q55" s="332">
        <v>0</v>
      </c>
      <c r="R55" s="333"/>
      <c r="S55" s="332">
        <v>0</v>
      </c>
      <c r="T55" s="333"/>
      <c r="U55" s="332"/>
      <c r="V55" s="333"/>
      <c r="W55" s="333"/>
      <c r="X55" s="333"/>
      <c r="Y55" s="332">
        <v>0</v>
      </c>
      <c r="Z55" s="333"/>
    </row>
    <row r="56" spans="1:26" s="334" customFormat="1" ht="11.45" customHeight="1">
      <c r="A56" s="327"/>
      <c r="B56" s="327" t="s">
        <v>655</v>
      </c>
      <c r="C56" s="328" t="s">
        <v>908</v>
      </c>
      <c r="D56" s="329"/>
      <c r="E56" s="329">
        <f>G56+K56+M56+Q56+S56+U56</f>
        <v>52440</v>
      </c>
      <c r="F56" s="330">
        <f t="shared" si="60"/>
        <v>0</v>
      </c>
      <c r="G56" s="332">
        <v>0</v>
      </c>
      <c r="H56" s="333"/>
      <c r="I56" s="333"/>
      <c r="J56" s="333"/>
      <c r="K56" s="332">
        <v>0</v>
      </c>
      <c r="L56" s="333"/>
      <c r="M56" s="332">
        <v>0</v>
      </c>
      <c r="N56" s="333"/>
      <c r="O56" s="332">
        <v>0</v>
      </c>
      <c r="P56" s="333"/>
      <c r="Q56" s="332">
        <v>0</v>
      </c>
      <c r="R56" s="333"/>
      <c r="S56" s="332">
        <v>0</v>
      </c>
      <c r="T56" s="333"/>
      <c r="U56" s="332">
        <v>52440</v>
      </c>
      <c r="V56" s="333"/>
      <c r="W56" s="333"/>
      <c r="X56" s="333"/>
      <c r="Y56" s="332">
        <v>0</v>
      </c>
      <c r="Z56" s="333"/>
    </row>
    <row r="57" spans="1:26" s="317" customFormat="1" ht="12.75" customHeight="1">
      <c r="A57" s="335" t="s">
        <v>877</v>
      </c>
      <c r="B57" s="335" t="s">
        <v>659</v>
      </c>
      <c r="C57" s="336" t="s">
        <v>660</v>
      </c>
      <c r="D57" s="337">
        <f>D43+D46+D49</f>
        <v>0</v>
      </c>
      <c r="E57" s="337">
        <f>E43+E46+E49</f>
        <v>120895</v>
      </c>
      <c r="F57" s="337">
        <f>F43+F46+F49</f>
        <v>0</v>
      </c>
      <c r="G57" s="339">
        <f t="shared" ref="G57:M57" si="61">G43+G46+G49</f>
        <v>64856</v>
      </c>
      <c r="H57" s="339"/>
      <c r="I57" s="339"/>
      <c r="J57" s="339"/>
      <c r="K57" s="339">
        <f t="shared" si="61"/>
        <v>348</v>
      </c>
      <c r="L57" s="339"/>
      <c r="M57" s="339">
        <f t="shared" si="61"/>
        <v>2000</v>
      </c>
      <c r="N57" s="339"/>
      <c r="O57" s="339">
        <f t="shared" ref="O57" si="62">O43+O46+O49</f>
        <v>1000</v>
      </c>
      <c r="P57" s="339"/>
      <c r="Q57" s="339">
        <f t="shared" ref="Q57" si="63">Q43+Q46+Q49</f>
        <v>0</v>
      </c>
      <c r="R57" s="339"/>
      <c r="S57" s="339">
        <f t="shared" ref="S57:W57" si="64">S43+S46+S49</f>
        <v>251</v>
      </c>
      <c r="T57" s="339"/>
      <c r="U57" s="339">
        <f t="shared" si="64"/>
        <v>52440</v>
      </c>
      <c r="V57" s="339"/>
      <c r="W57" s="339">
        <f t="shared" si="64"/>
        <v>0</v>
      </c>
      <c r="X57" s="339"/>
      <c r="Y57" s="339">
        <f t="shared" ref="Y57" si="65">Y43+Y46+Y49</f>
        <v>0</v>
      </c>
      <c r="Z57" s="339"/>
    </row>
    <row r="58" spans="1:26" s="317" customFormat="1" ht="12.75" customHeight="1">
      <c r="A58" s="340" t="s">
        <v>878</v>
      </c>
      <c r="B58" s="340" t="s">
        <v>661</v>
      </c>
      <c r="C58" s="341" t="s">
        <v>662</v>
      </c>
      <c r="D58" s="342">
        <f>D42+D57</f>
        <v>0</v>
      </c>
      <c r="E58" s="342">
        <f>E42+E57</f>
        <v>461787</v>
      </c>
      <c r="F58" s="342">
        <f>F42+F57</f>
        <v>0</v>
      </c>
      <c r="G58" s="344">
        <f t="shared" ref="G58:M58" si="66">G42+G57</f>
        <v>350028</v>
      </c>
      <c r="H58" s="344"/>
      <c r="I58" s="344">
        <f t="shared" si="66"/>
        <v>12477</v>
      </c>
      <c r="J58" s="344"/>
      <c r="K58" s="344">
        <f t="shared" si="66"/>
        <v>21502</v>
      </c>
      <c r="L58" s="344"/>
      <c r="M58" s="344">
        <f t="shared" si="66"/>
        <v>2000</v>
      </c>
      <c r="N58" s="344"/>
      <c r="O58" s="344">
        <f t="shared" ref="O58" si="67">O42+O57</f>
        <v>1000</v>
      </c>
      <c r="P58" s="344"/>
      <c r="Q58" s="344">
        <f t="shared" ref="Q58" si="68">Q42+Q57</f>
        <v>14275</v>
      </c>
      <c r="R58" s="344"/>
      <c r="S58" s="344">
        <f t="shared" ref="S58:W58" si="69">S42+S57</f>
        <v>4247</v>
      </c>
      <c r="T58" s="344"/>
      <c r="U58" s="344">
        <f t="shared" si="69"/>
        <v>52440</v>
      </c>
      <c r="V58" s="344"/>
      <c r="W58" s="344">
        <f t="shared" si="69"/>
        <v>3818</v>
      </c>
      <c r="X58" s="344"/>
      <c r="Y58" s="344">
        <f t="shared" ref="Y58" si="70">Y42+Y57</f>
        <v>0</v>
      </c>
      <c r="Z58" s="344"/>
    </row>
    <row r="59" spans="1:26" s="334" customFormat="1" ht="11.45" customHeight="1">
      <c r="A59" s="327"/>
      <c r="B59" s="327" t="s">
        <v>663</v>
      </c>
      <c r="C59" s="328" t="s">
        <v>664</v>
      </c>
      <c r="D59" s="329"/>
      <c r="E59" s="329">
        <f>G59+K59+M59+Q59+S59+I59+U59+W59</f>
        <v>114264</v>
      </c>
      <c r="F59" s="330">
        <f t="shared" ref="F59:F66" si="71">H59+L59+N59</f>
        <v>0</v>
      </c>
      <c r="G59" s="332">
        <f>ROUND((G6+G13+G14+G15+G18+G19+G43+G41+G46+G49)*0.27,0)</f>
        <v>85209</v>
      </c>
      <c r="H59" s="333"/>
      <c r="I59" s="332">
        <v>3369</v>
      </c>
      <c r="J59" s="333"/>
      <c r="K59" s="332">
        <f>ROUND((K6+K13+K14+K15+K18+K19+K43+K41+K46)*0.27,0)</f>
        <v>5500</v>
      </c>
      <c r="L59" s="333"/>
      <c r="M59" s="332">
        <f>ROUND((M6+M13+M14+M15+M18+M19+M43+M41+M46+M49)*0.27,0)</f>
        <v>540</v>
      </c>
      <c r="N59" s="333"/>
      <c r="O59" s="332">
        <v>0</v>
      </c>
      <c r="P59" s="333"/>
      <c r="Q59" s="332">
        <f>ROUND((Q6+Q13+Q14+Q15+Q18+Q19+Q43+Q41+Q46+Q49)*0.27,0)</f>
        <v>3584</v>
      </c>
      <c r="R59" s="333"/>
      <c r="S59" s="332">
        <f>ROUND((S6+S13+S14+S15+S18+S19+S43+S41+S46+S49)*0.27,0)</f>
        <v>1121</v>
      </c>
      <c r="T59" s="333"/>
      <c r="U59" s="332">
        <v>14159</v>
      </c>
      <c r="V59" s="333"/>
      <c r="W59" s="332">
        <v>782</v>
      </c>
      <c r="X59" s="333"/>
      <c r="Y59" s="332">
        <f>ROUND((Y6+Y13+Y14+Y15+Y18+Y19+Y43+Y41+Y46+Y49)*0.27,0)</f>
        <v>0</v>
      </c>
      <c r="Z59" s="333"/>
    </row>
    <row r="60" spans="1:26" s="334" customFormat="1" ht="11.45" customHeight="1">
      <c r="A60" s="327"/>
      <c r="B60" s="327" t="s">
        <v>665</v>
      </c>
      <c r="C60" s="328" t="s">
        <v>666</v>
      </c>
      <c r="D60" s="329"/>
      <c r="E60" s="329">
        <f t="shared" ref="E60:E66" si="72">G60+K60+M60+Q60+S60</f>
        <v>0</v>
      </c>
      <c r="F60" s="330">
        <f t="shared" si="71"/>
        <v>0</v>
      </c>
      <c r="G60" s="332">
        <v>0</v>
      </c>
      <c r="H60" s="333"/>
      <c r="I60" s="332"/>
      <c r="J60" s="333"/>
      <c r="K60" s="332">
        <v>0</v>
      </c>
      <c r="L60" s="333"/>
      <c r="M60" s="332">
        <v>0</v>
      </c>
      <c r="N60" s="333"/>
      <c r="O60" s="332">
        <v>0</v>
      </c>
      <c r="P60" s="333"/>
      <c r="Q60" s="332">
        <v>0</v>
      </c>
      <c r="R60" s="333"/>
      <c r="S60" s="332">
        <v>0</v>
      </c>
      <c r="T60" s="333"/>
      <c r="U60" s="332"/>
      <c r="V60" s="333"/>
      <c r="W60" s="332"/>
      <c r="X60" s="333"/>
      <c r="Y60" s="332">
        <v>0</v>
      </c>
      <c r="Z60" s="333"/>
    </row>
    <row r="61" spans="1:26" s="334" customFormat="1" ht="11.45" customHeight="1">
      <c r="A61" s="327"/>
      <c r="B61" s="327" t="s">
        <v>667</v>
      </c>
      <c r="C61" s="328" t="s">
        <v>668</v>
      </c>
      <c r="D61" s="329"/>
      <c r="E61" s="329">
        <f>G61+K61+M61+Q61+S61+O61</f>
        <v>3565</v>
      </c>
      <c r="F61" s="330">
        <f t="shared" si="71"/>
        <v>0</v>
      </c>
      <c r="G61" s="332">
        <f>ROUND((G23+G27)*1.19*0.14+G55*1.19*0.27,0)</f>
        <v>2930</v>
      </c>
      <c r="H61" s="333"/>
      <c r="I61" s="332"/>
      <c r="J61" s="333"/>
      <c r="K61" s="332">
        <f>ROUND(K23*1.19*0.14+K55*1.19*0.27,0)</f>
        <v>131</v>
      </c>
      <c r="L61" s="333"/>
      <c r="M61" s="332">
        <v>0</v>
      </c>
      <c r="N61" s="333"/>
      <c r="O61" s="332">
        <f>ROUND(O23*1.19*0.14+O55*1.19*0.27,0)</f>
        <v>321</v>
      </c>
      <c r="P61" s="333"/>
      <c r="Q61" s="332">
        <f>ROUND((Q23+Q27)*1.19*0.14+Q55*1.19*0.27,0)</f>
        <v>167</v>
      </c>
      <c r="R61" s="333"/>
      <c r="S61" s="332">
        <f>ROUND((S23+S27)*1.19*0.14+S55*1.19*0.27,0)</f>
        <v>16</v>
      </c>
      <c r="T61" s="333"/>
      <c r="U61" s="332"/>
      <c r="V61" s="333"/>
      <c r="W61" s="332"/>
      <c r="X61" s="333"/>
      <c r="Y61" s="332">
        <f>ROUND((Y23+Y27)*1.19*0.14+Y55*1.19*0.27,0)</f>
        <v>0</v>
      </c>
      <c r="Z61" s="333"/>
    </row>
    <row r="62" spans="1:26" s="334" customFormat="1" ht="11.45" customHeight="1">
      <c r="A62" s="327"/>
      <c r="B62" s="327" t="s">
        <v>669</v>
      </c>
      <c r="C62" s="328" t="s">
        <v>670</v>
      </c>
      <c r="D62" s="329"/>
      <c r="E62" s="329">
        <f t="shared" si="72"/>
        <v>0</v>
      </c>
      <c r="F62" s="330">
        <f t="shared" si="71"/>
        <v>0</v>
      </c>
      <c r="G62" s="332">
        <v>0</v>
      </c>
      <c r="H62" s="333"/>
      <c r="I62" s="332"/>
      <c r="J62" s="333"/>
      <c r="K62" s="332">
        <v>0</v>
      </c>
      <c r="L62" s="333"/>
      <c r="M62" s="332">
        <v>0</v>
      </c>
      <c r="N62" s="333"/>
      <c r="O62" s="332">
        <v>0</v>
      </c>
      <c r="P62" s="333"/>
      <c r="Q62" s="332">
        <v>0</v>
      </c>
      <c r="R62" s="333"/>
      <c r="S62" s="332">
        <v>0</v>
      </c>
      <c r="T62" s="333"/>
      <c r="U62" s="332"/>
      <c r="V62" s="333"/>
      <c r="W62" s="332"/>
      <c r="X62" s="333"/>
      <c r="Y62" s="332">
        <v>0</v>
      </c>
      <c r="Z62" s="333"/>
    </row>
    <row r="63" spans="1:26" s="334" customFormat="1" ht="11.45" customHeight="1">
      <c r="A63" s="327"/>
      <c r="B63" s="327" t="s">
        <v>671</v>
      </c>
      <c r="C63" s="328" t="s">
        <v>672</v>
      </c>
      <c r="D63" s="329"/>
      <c r="E63" s="329">
        <f t="shared" si="72"/>
        <v>0</v>
      </c>
      <c r="F63" s="330">
        <f t="shared" si="71"/>
        <v>0</v>
      </c>
      <c r="G63" s="332">
        <v>0</v>
      </c>
      <c r="H63" s="333"/>
      <c r="I63" s="332"/>
      <c r="J63" s="333"/>
      <c r="K63" s="332">
        <v>0</v>
      </c>
      <c r="L63" s="333"/>
      <c r="M63" s="332">
        <v>0</v>
      </c>
      <c r="N63" s="333"/>
      <c r="O63" s="332">
        <v>0</v>
      </c>
      <c r="P63" s="333"/>
      <c r="Q63" s="332">
        <v>0</v>
      </c>
      <c r="R63" s="333"/>
      <c r="S63" s="332">
        <v>0</v>
      </c>
      <c r="T63" s="333"/>
      <c r="U63" s="332"/>
      <c r="V63" s="333"/>
      <c r="W63" s="332"/>
      <c r="X63" s="333"/>
      <c r="Y63" s="332">
        <v>0</v>
      </c>
      <c r="Z63" s="333"/>
    </row>
    <row r="64" spans="1:26" s="334" customFormat="1" ht="11.45" customHeight="1">
      <c r="A64" s="327"/>
      <c r="B64" s="327" t="s">
        <v>673</v>
      </c>
      <c r="C64" s="328" t="s">
        <v>674</v>
      </c>
      <c r="D64" s="329"/>
      <c r="E64" s="329">
        <f t="shared" si="72"/>
        <v>2402</v>
      </c>
      <c r="F64" s="330">
        <f t="shared" si="71"/>
        <v>0</v>
      </c>
      <c r="G64" s="332">
        <v>2402</v>
      </c>
      <c r="H64" s="333"/>
      <c r="I64" s="332"/>
      <c r="J64" s="333"/>
      <c r="K64" s="332">
        <v>0</v>
      </c>
      <c r="L64" s="333"/>
      <c r="M64" s="332">
        <v>0</v>
      </c>
      <c r="N64" s="333"/>
      <c r="O64" s="332">
        <v>0</v>
      </c>
      <c r="P64" s="333"/>
      <c r="Q64" s="332">
        <v>0</v>
      </c>
      <c r="R64" s="333"/>
      <c r="S64" s="332">
        <v>0</v>
      </c>
      <c r="T64" s="333"/>
      <c r="U64" s="332"/>
      <c r="V64" s="333"/>
      <c r="W64" s="332"/>
      <c r="X64" s="333"/>
      <c r="Y64" s="332">
        <v>0</v>
      </c>
      <c r="Z64" s="333"/>
    </row>
    <row r="65" spans="1:26" s="334" customFormat="1" ht="11.45" customHeight="1">
      <c r="A65" s="327"/>
      <c r="B65" s="327" t="s">
        <v>675</v>
      </c>
      <c r="C65" s="328" t="s">
        <v>676</v>
      </c>
      <c r="D65" s="329"/>
      <c r="E65" s="329">
        <f>G65+K65+M65+Q65+S65+O65</f>
        <v>3355</v>
      </c>
      <c r="F65" s="330">
        <f t="shared" si="71"/>
        <v>0</v>
      </c>
      <c r="G65" s="332">
        <f>ROUND((G23+G27)*1.19*0.16+G55*1.19*0.16,0)</f>
        <v>2818</v>
      </c>
      <c r="H65" s="333"/>
      <c r="I65" s="332"/>
      <c r="J65" s="333"/>
      <c r="K65" s="332">
        <f>ROUND(K23*1.19*0.16+K55*1.19*0.16,0)</f>
        <v>139</v>
      </c>
      <c r="L65" s="333"/>
      <c r="M65" s="332">
        <v>0</v>
      </c>
      <c r="N65" s="333"/>
      <c r="O65" s="332">
        <f>ROUND(O23*1.19*0.16+O55*1.19*0.16,0)</f>
        <v>190</v>
      </c>
      <c r="P65" s="333"/>
      <c r="Q65" s="332">
        <f>ROUND((Q23+Q27)*1.19*0.16+Q55*1.19*0.16,0)</f>
        <v>190</v>
      </c>
      <c r="R65" s="333"/>
      <c r="S65" s="332">
        <f>ROUND((S23+S27)*1.19*0.16+S55*1.19*0.16,0)</f>
        <v>18</v>
      </c>
      <c r="T65" s="333"/>
      <c r="U65" s="332"/>
      <c r="V65" s="333"/>
      <c r="W65" s="332"/>
      <c r="X65" s="333"/>
      <c r="Y65" s="332">
        <f>ROUND((Y23+Y27)*1.19*0.16+Y55*1.19*0.16,0)</f>
        <v>0</v>
      </c>
      <c r="Z65" s="333"/>
    </row>
    <row r="66" spans="1:26" s="334" customFormat="1" ht="11.45" customHeight="1">
      <c r="A66" s="327"/>
      <c r="B66" s="327" t="s">
        <v>677</v>
      </c>
      <c r="C66" s="328" t="s">
        <v>909</v>
      </c>
      <c r="D66" s="329"/>
      <c r="E66" s="329">
        <f t="shared" si="72"/>
        <v>0</v>
      </c>
      <c r="F66" s="330">
        <f t="shared" si="71"/>
        <v>0</v>
      </c>
      <c r="G66" s="332">
        <v>0</v>
      </c>
      <c r="H66" s="333"/>
      <c r="I66" s="332"/>
      <c r="J66" s="333"/>
      <c r="K66" s="332">
        <v>0</v>
      </c>
      <c r="L66" s="333"/>
      <c r="M66" s="332">
        <v>0</v>
      </c>
      <c r="N66" s="333"/>
      <c r="O66" s="332">
        <v>0</v>
      </c>
      <c r="P66" s="333"/>
      <c r="Q66" s="332">
        <v>0</v>
      </c>
      <c r="R66" s="333"/>
      <c r="S66" s="332">
        <v>0</v>
      </c>
      <c r="T66" s="333"/>
      <c r="U66" s="332"/>
      <c r="V66" s="333"/>
      <c r="W66" s="332"/>
      <c r="X66" s="333"/>
      <c r="Y66" s="332">
        <v>0</v>
      </c>
      <c r="Z66" s="333"/>
    </row>
    <row r="67" spans="1:26" s="317" customFormat="1" ht="12.75" customHeight="1">
      <c r="A67" s="340" t="s">
        <v>879</v>
      </c>
      <c r="B67" s="340" t="s">
        <v>679</v>
      </c>
      <c r="C67" s="341" t="s">
        <v>680</v>
      </c>
      <c r="D67" s="342">
        <f>SUM(D59:D66)</f>
        <v>0</v>
      </c>
      <c r="E67" s="342">
        <f>SUM(E59:E66)</f>
        <v>123586</v>
      </c>
      <c r="F67" s="342">
        <f>SUM(F59:F66)</f>
        <v>0</v>
      </c>
      <c r="G67" s="344">
        <f t="shared" ref="G67:M67" si="73">SUM(G59:G66)</f>
        <v>93359</v>
      </c>
      <c r="H67" s="344"/>
      <c r="I67" s="344">
        <f t="shared" si="73"/>
        <v>3369</v>
      </c>
      <c r="J67" s="344"/>
      <c r="K67" s="344">
        <f t="shared" si="73"/>
        <v>5770</v>
      </c>
      <c r="L67" s="344"/>
      <c r="M67" s="344">
        <f t="shared" si="73"/>
        <v>540</v>
      </c>
      <c r="N67" s="344"/>
      <c r="O67" s="344">
        <f t="shared" ref="O67" si="74">SUM(O59:O66)</f>
        <v>511</v>
      </c>
      <c r="P67" s="344"/>
      <c r="Q67" s="344">
        <f t="shared" ref="Q67" si="75">SUM(Q59:Q66)</f>
        <v>3941</v>
      </c>
      <c r="R67" s="344"/>
      <c r="S67" s="344">
        <f t="shared" ref="S67:W67" si="76">SUM(S59:S66)</f>
        <v>1155</v>
      </c>
      <c r="T67" s="344"/>
      <c r="U67" s="344">
        <f t="shared" si="76"/>
        <v>14159</v>
      </c>
      <c r="V67" s="344"/>
      <c r="W67" s="344">
        <f t="shared" si="76"/>
        <v>782</v>
      </c>
      <c r="X67" s="344"/>
      <c r="Y67" s="344">
        <f t="shared" ref="Y67" si="77">SUM(Y59:Y66)</f>
        <v>0</v>
      </c>
      <c r="Z67" s="344"/>
    </row>
    <row r="68" spans="1:26" s="317" customFormat="1" ht="14.1" customHeight="1">
      <c r="A68" s="707" t="s">
        <v>910</v>
      </c>
      <c r="B68" s="707"/>
      <c r="C68" s="707"/>
      <c r="D68" s="345">
        <f>D58+D67</f>
        <v>0</v>
      </c>
      <c r="E68" s="345">
        <f>E58+E67</f>
        <v>585373</v>
      </c>
      <c r="F68" s="345">
        <f>F58+F67</f>
        <v>0</v>
      </c>
      <c r="G68" s="347">
        <f t="shared" ref="G68:M68" si="78">G58+G67</f>
        <v>443387</v>
      </c>
      <c r="H68" s="347"/>
      <c r="I68" s="347"/>
      <c r="J68" s="347"/>
      <c r="K68" s="347">
        <f t="shared" si="78"/>
        <v>27272</v>
      </c>
      <c r="L68" s="347"/>
      <c r="M68" s="347">
        <f t="shared" si="78"/>
        <v>2540</v>
      </c>
      <c r="N68" s="347"/>
      <c r="O68" s="347">
        <f t="shared" ref="O68" si="79">O58+O67</f>
        <v>1511</v>
      </c>
      <c r="P68" s="347"/>
      <c r="Q68" s="347">
        <f t="shared" ref="Q68" si="80">Q58+Q67</f>
        <v>18216</v>
      </c>
      <c r="R68" s="347"/>
      <c r="S68" s="347">
        <f t="shared" ref="S68:W68" si="81">S58+S67</f>
        <v>5402</v>
      </c>
      <c r="T68" s="347"/>
      <c r="U68" s="347">
        <f t="shared" si="81"/>
        <v>66599</v>
      </c>
      <c r="V68" s="347"/>
      <c r="W68" s="347">
        <f t="shared" si="81"/>
        <v>4600</v>
      </c>
      <c r="X68" s="347"/>
      <c r="Y68" s="347">
        <f t="shared" ref="Y68" si="82">Y58+Y67</f>
        <v>0</v>
      </c>
      <c r="Z68" s="347"/>
    </row>
    <row r="69" spans="1:26" s="315" customFormat="1" ht="12.75" hidden="1" customHeight="1">
      <c r="A69" s="699" t="s">
        <v>1353</v>
      </c>
      <c r="B69" s="699"/>
      <c r="C69" s="699"/>
      <c r="D69" s="699"/>
      <c r="E69" s="699"/>
      <c r="F69" s="699"/>
      <c r="G69" s="699"/>
      <c r="H69" s="699"/>
      <c r="I69" s="699"/>
      <c r="J69" s="699"/>
      <c r="K69" s="699"/>
      <c r="L69" s="699"/>
      <c r="M69" s="699"/>
      <c r="N69" s="699"/>
      <c r="O69" s="420"/>
      <c r="P69" s="420"/>
      <c r="Q69" s="420"/>
      <c r="R69" s="420"/>
      <c r="S69" s="420"/>
      <c r="T69" s="420"/>
      <c r="U69" s="420"/>
      <c r="V69" s="420"/>
      <c r="W69" s="420"/>
      <c r="X69" s="420"/>
      <c r="Y69" s="420"/>
      <c r="Z69" s="420"/>
    </row>
    <row r="70" spans="1:26" s="315" customFormat="1" ht="14.1" hidden="1" customHeight="1">
      <c r="A70" s="699" t="s">
        <v>887</v>
      </c>
      <c r="B70" s="702" t="s">
        <v>888</v>
      </c>
      <c r="C70" s="699" t="s">
        <v>889</v>
      </c>
      <c r="D70" s="695" t="s">
        <v>890</v>
      </c>
      <c r="E70" s="695" t="s">
        <v>891</v>
      </c>
      <c r="F70" s="695" t="s">
        <v>892</v>
      </c>
      <c r="G70" s="695" t="s">
        <v>894</v>
      </c>
      <c r="H70" s="695"/>
      <c r="I70" s="454"/>
      <c r="J70" s="454"/>
      <c r="K70" s="695" t="s">
        <v>895</v>
      </c>
      <c r="L70" s="695"/>
      <c r="M70" s="695" t="s">
        <v>896</v>
      </c>
      <c r="N70" s="695"/>
      <c r="O70" s="392"/>
      <c r="P70" s="392"/>
      <c r="Q70" s="695" t="s">
        <v>896</v>
      </c>
      <c r="R70" s="695"/>
      <c r="S70" s="695" t="s">
        <v>896</v>
      </c>
      <c r="T70" s="695"/>
      <c r="U70" s="454"/>
      <c r="V70" s="454"/>
      <c r="W70" s="531"/>
      <c r="X70" s="531"/>
      <c r="Y70" s="695" t="s">
        <v>896</v>
      </c>
      <c r="Z70" s="695"/>
    </row>
    <row r="71" spans="1:26" s="317" customFormat="1" ht="14.1" hidden="1" customHeight="1">
      <c r="A71" s="699"/>
      <c r="B71" s="702"/>
      <c r="C71" s="699"/>
      <c r="D71" s="695"/>
      <c r="E71" s="695"/>
      <c r="F71" s="695"/>
      <c r="G71" s="392" t="s">
        <v>897</v>
      </c>
      <c r="H71" s="392" t="s">
        <v>898</v>
      </c>
      <c r="I71" s="454"/>
      <c r="J71" s="454"/>
      <c r="K71" s="392" t="s">
        <v>897</v>
      </c>
      <c r="L71" s="392" t="s">
        <v>898</v>
      </c>
      <c r="M71" s="392" t="s">
        <v>897</v>
      </c>
      <c r="N71" s="392" t="s">
        <v>898</v>
      </c>
      <c r="O71" s="392"/>
      <c r="P71" s="392"/>
      <c r="Q71" s="392" t="s">
        <v>897</v>
      </c>
      <c r="R71" s="392" t="s">
        <v>898</v>
      </c>
      <c r="S71" s="392" t="s">
        <v>897</v>
      </c>
      <c r="T71" s="392" t="s">
        <v>898</v>
      </c>
      <c r="U71" s="454"/>
      <c r="V71" s="454"/>
      <c r="W71" s="531"/>
      <c r="X71" s="531"/>
      <c r="Y71" s="392" t="s">
        <v>897</v>
      </c>
      <c r="Z71" s="392" t="s">
        <v>898</v>
      </c>
    </row>
    <row r="72" spans="1:26" ht="5.65" customHeight="1"/>
    <row r="73" spans="1:26" ht="14.1" customHeight="1">
      <c r="A73" s="700" t="s">
        <v>911</v>
      </c>
      <c r="B73" s="700"/>
      <c r="C73" s="700"/>
      <c r="D73" s="700"/>
      <c r="E73" s="700"/>
      <c r="F73" s="700"/>
      <c r="G73" s="700"/>
      <c r="H73" s="700"/>
      <c r="I73" s="700"/>
      <c r="J73" s="700"/>
      <c r="K73" s="700"/>
      <c r="L73" s="700"/>
      <c r="M73" s="700"/>
      <c r="N73" s="700"/>
      <c r="O73" s="419"/>
      <c r="P73" s="419"/>
      <c r="Q73" s="419"/>
      <c r="R73" s="419"/>
      <c r="S73" s="419"/>
      <c r="T73" s="419"/>
      <c r="U73" s="419"/>
      <c r="V73" s="419"/>
      <c r="W73" s="419"/>
      <c r="X73" s="419"/>
      <c r="Y73" s="419"/>
      <c r="Z73" s="419"/>
    </row>
    <row r="74" spans="1:26" s="317" customFormat="1" ht="14.1" customHeight="1">
      <c r="A74" s="322" t="s">
        <v>228</v>
      </c>
      <c r="B74" s="322" t="s">
        <v>695</v>
      </c>
      <c r="C74" s="323" t="s">
        <v>696</v>
      </c>
      <c r="D74" s="326">
        <f>SUM(D75:D80)</f>
        <v>0</v>
      </c>
      <c r="E74" s="326">
        <f>SUM(E75:E80)</f>
        <v>1800</v>
      </c>
      <c r="F74" s="326">
        <f>SUM(F75:F80)</f>
        <v>0</v>
      </c>
      <c r="G74" s="326">
        <f t="shared" ref="G74:M74" si="83">SUM(G75:G80)</f>
        <v>1800</v>
      </c>
      <c r="H74" s="326"/>
      <c r="I74" s="326"/>
      <c r="J74" s="326"/>
      <c r="K74" s="326">
        <f t="shared" si="83"/>
        <v>0</v>
      </c>
      <c r="L74" s="326"/>
      <c r="M74" s="326">
        <f t="shared" si="83"/>
        <v>0</v>
      </c>
      <c r="N74" s="326"/>
      <c r="O74" s="326"/>
      <c r="P74" s="326"/>
      <c r="Q74" s="326">
        <f t="shared" ref="Q74" si="84">SUM(Q75:Q80)</f>
        <v>0</v>
      </c>
      <c r="R74" s="326"/>
      <c r="S74" s="326">
        <f t="shared" ref="S74" si="85">SUM(S75:S80)</f>
        <v>0</v>
      </c>
      <c r="T74" s="326"/>
      <c r="U74" s="326"/>
      <c r="V74" s="326"/>
      <c r="W74" s="326"/>
      <c r="X74" s="326"/>
      <c r="Y74" s="326">
        <f t="shared" ref="Y74" si="86">SUM(Y75:Y80)</f>
        <v>0</v>
      </c>
      <c r="Z74" s="326"/>
    </row>
    <row r="75" spans="1:26" ht="14.1" customHeight="1">
      <c r="A75" s="348"/>
      <c r="B75" s="348" t="s">
        <v>681</v>
      </c>
      <c r="C75" s="349" t="s">
        <v>682</v>
      </c>
      <c r="D75" s="350"/>
      <c r="E75" s="350">
        <f>G75+K75+M75+Q75+S75</f>
        <v>0</v>
      </c>
      <c r="F75" s="351">
        <f t="shared" ref="F75:F80" si="87">H75+L75+N75</f>
        <v>0</v>
      </c>
      <c r="G75" s="350">
        <v>0</v>
      </c>
      <c r="H75" s="351"/>
      <c r="I75" s="351"/>
      <c r="J75" s="351"/>
      <c r="K75" s="350">
        <v>0</v>
      </c>
      <c r="L75" s="351"/>
      <c r="M75" s="350">
        <f>'[2]MMMH reszletes'!H130/1000</f>
        <v>0</v>
      </c>
      <c r="N75" s="351"/>
      <c r="O75" s="351"/>
      <c r="P75" s="351"/>
      <c r="Q75" s="350">
        <f>'[2]MMMH reszletes'!J130/1000</f>
        <v>0</v>
      </c>
      <c r="R75" s="351"/>
      <c r="S75" s="350">
        <v>0</v>
      </c>
      <c r="T75" s="351"/>
      <c r="U75" s="351"/>
      <c r="V75" s="351"/>
      <c r="W75" s="351"/>
      <c r="X75" s="351"/>
      <c r="Y75" s="350">
        <v>0</v>
      </c>
      <c r="Z75" s="351"/>
    </row>
    <row r="76" spans="1:26" ht="14.1" customHeight="1">
      <c r="A76" s="348"/>
      <c r="B76" s="348" t="s">
        <v>683</v>
      </c>
      <c r="C76" s="349" t="s">
        <v>684</v>
      </c>
      <c r="D76" s="350"/>
      <c r="E76" s="350">
        <f t="shared" ref="E76:E80" si="88">G76+K76+M76+Q76+S76</f>
        <v>0</v>
      </c>
      <c r="F76" s="351">
        <f t="shared" si="87"/>
        <v>0</v>
      </c>
      <c r="G76" s="350">
        <v>0</v>
      </c>
      <c r="H76" s="351"/>
      <c r="I76" s="351"/>
      <c r="J76" s="351"/>
      <c r="K76" s="350">
        <f>'[2]MMMH reszletes'!F131</f>
        <v>0</v>
      </c>
      <c r="L76" s="351"/>
      <c r="M76" s="350">
        <f>'[2]MMMH reszletes'!H131/1000</f>
        <v>0</v>
      </c>
      <c r="N76" s="351"/>
      <c r="O76" s="351"/>
      <c r="P76" s="351"/>
      <c r="Q76" s="350">
        <v>0</v>
      </c>
      <c r="R76" s="351"/>
      <c r="S76" s="350">
        <v>0</v>
      </c>
      <c r="T76" s="351"/>
      <c r="U76" s="351"/>
      <c r="V76" s="351"/>
      <c r="W76" s="351"/>
      <c r="X76" s="351"/>
      <c r="Y76" s="350">
        <v>0</v>
      </c>
      <c r="Z76" s="351"/>
    </row>
    <row r="77" spans="1:26" ht="14.1" customHeight="1">
      <c r="A77" s="348"/>
      <c r="B77" s="348" t="s">
        <v>685</v>
      </c>
      <c r="C77" s="349" t="s">
        <v>686</v>
      </c>
      <c r="D77" s="350"/>
      <c r="E77" s="350">
        <f t="shared" si="88"/>
        <v>0</v>
      </c>
      <c r="F77" s="351">
        <f t="shared" si="87"/>
        <v>0</v>
      </c>
      <c r="G77" s="350">
        <v>0</v>
      </c>
      <c r="H77" s="351"/>
      <c r="I77" s="351"/>
      <c r="J77" s="351"/>
      <c r="K77" s="350">
        <f>'[2]MMMH reszletes'!F132</f>
        <v>0</v>
      </c>
      <c r="L77" s="351"/>
      <c r="M77" s="350">
        <f>'[2]MMMH reszletes'!H132/1000</f>
        <v>0</v>
      </c>
      <c r="N77" s="351"/>
      <c r="O77" s="351"/>
      <c r="P77" s="351"/>
      <c r="Q77" s="350">
        <v>0</v>
      </c>
      <c r="R77" s="351"/>
      <c r="S77" s="350">
        <v>0</v>
      </c>
      <c r="T77" s="351"/>
      <c r="U77" s="351"/>
      <c r="V77" s="351"/>
      <c r="W77" s="351"/>
      <c r="X77" s="351"/>
      <c r="Y77" s="350">
        <v>0</v>
      </c>
      <c r="Z77" s="351"/>
    </row>
    <row r="78" spans="1:26" ht="14.1" customHeight="1">
      <c r="A78" s="348"/>
      <c r="B78" s="348" t="s">
        <v>688</v>
      </c>
      <c r="C78" s="349" t="s">
        <v>689</v>
      </c>
      <c r="D78" s="350"/>
      <c r="E78" s="350">
        <f t="shared" si="88"/>
        <v>0</v>
      </c>
      <c r="F78" s="351">
        <f t="shared" si="87"/>
        <v>0</v>
      </c>
      <c r="G78" s="350">
        <v>0</v>
      </c>
      <c r="H78" s="351"/>
      <c r="I78" s="351"/>
      <c r="J78" s="351"/>
      <c r="K78" s="350">
        <f>'[2]MMMH reszletes'!F133</f>
        <v>0</v>
      </c>
      <c r="L78" s="351"/>
      <c r="M78" s="350">
        <f>'[2]MMMH reszletes'!H133/1000</f>
        <v>0</v>
      </c>
      <c r="N78" s="351"/>
      <c r="O78" s="351"/>
      <c r="P78" s="351"/>
      <c r="Q78" s="350">
        <v>0</v>
      </c>
      <c r="R78" s="351"/>
      <c r="S78" s="350">
        <v>0</v>
      </c>
      <c r="T78" s="351"/>
      <c r="U78" s="351"/>
      <c r="V78" s="351"/>
      <c r="W78" s="351"/>
      <c r="X78" s="351"/>
      <c r="Y78" s="350">
        <v>0</v>
      </c>
      <c r="Z78" s="351"/>
    </row>
    <row r="79" spans="1:26" ht="14.1" customHeight="1">
      <c r="A79" s="348"/>
      <c r="B79" s="348" t="s">
        <v>690</v>
      </c>
      <c r="C79" s="349" t="s">
        <v>912</v>
      </c>
      <c r="D79" s="350"/>
      <c r="E79" s="350">
        <f t="shared" si="88"/>
        <v>1500</v>
      </c>
      <c r="F79" s="351">
        <f t="shared" si="87"/>
        <v>0</v>
      </c>
      <c r="G79" s="350">
        <v>1500</v>
      </c>
      <c r="H79" s="351"/>
      <c r="I79" s="351"/>
      <c r="J79" s="351"/>
      <c r="K79" s="350">
        <f>'[2]MMMH reszletes'!F134</f>
        <v>0</v>
      </c>
      <c r="L79" s="351"/>
      <c r="M79" s="350">
        <f>'[2]MMMH reszletes'!H134/1000</f>
        <v>0</v>
      </c>
      <c r="N79" s="351"/>
      <c r="O79" s="351"/>
      <c r="P79" s="351"/>
      <c r="Q79" s="350">
        <v>0</v>
      </c>
      <c r="R79" s="351"/>
      <c r="S79" s="350">
        <v>0</v>
      </c>
      <c r="T79" s="351"/>
      <c r="U79" s="351"/>
      <c r="V79" s="351"/>
      <c r="W79" s="351"/>
      <c r="X79" s="351"/>
      <c r="Y79" s="350">
        <v>0</v>
      </c>
      <c r="Z79" s="351"/>
    </row>
    <row r="80" spans="1:26" ht="14.1" customHeight="1">
      <c r="A80" s="348"/>
      <c r="B80" s="348" t="s">
        <v>692</v>
      </c>
      <c r="C80" s="349" t="s">
        <v>693</v>
      </c>
      <c r="D80" s="350"/>
      <c r="E80" s="350">
        <f t="shared" si="88"/>
        <v>300</v>
      </c>
      <c r="F80" s="351">
        <f t="shared" si="87"/>
        <v>0</v>
      </c>
      <c r="G80" s="350">
        <v>300</v>
      </c>
      <c r="H80" s="351"/>
      <c r="I80" s="351"/>
      <c r="J80" s="351"/>
      <c r="K80" s="350">
        <f>'[2]MMMH reszletes'!F135</f>
        <v>0</v>
      </c>
      <c r="L80" s="351"/>
      <c r="M80" s="350">
        <f>'[2]MMMH reszletes'!H135/1000</f>
        <v>0</v>
      </c>
      <c r="N80" s="351"/>
      <c r="O80" s="351"/>
      <c r="P80" s="351"/>
      <c r="Q80" s="350">
        <v>0</v>
      </c>
      <c r="R80" s="351"/>
      <c r="S80" s="350">
        <v>0</v>
      </c>
      <c r="T80" s="351"/>
      <c r="U80" s="351"/>
      <c r="V80" s="351"/>
      <c r="W80" s="351"/>
      <c r="X80" s="351"/>
      <c r="Y80" s="350">
        <v>0</v>
      </c>
      <c r="Z80" s="351"/>
    </row>
    <row r="81" spans="1:26" s="317" customFormat="1" ht="14.1" customHeight="1">
      <c r="A81" s="322" t="s">
        <v>230</v>
      </c>
      <c r="B81" s="322" t="s">
        <v>711</v>
      </c>
      <c r="C81" s="323" t="s">
        <v>712</v>
      </c>
      <c r="D81" s="326">
        <f>SUM(D82:D87)</f>
        <v>0</v>
      </c>
      <c r="E81" s="326">
        <f>SUM(E82:E87)</f>
        <v>7600</v>
      </c>
      <c r="F81" s="326">
        <f>SUM(F82:F87)</f>
        <v>0</v>
      </c>
      <c r="G81" s="326">
        <f t="shared" ref="G81:M81" si="89">SUM(G82:G87)</f>
        <v>5200</v>
      </c>
      <c r="H81" s="326"/>
      <c r="I81" s="326"/>
      <c r="J81" s="326"/>
      <c r="K81" s="326">
        <f t="shared" si="89"/>
        <v>0</v>
      </c>
      <c r="L81" s="326"/>
      <c r="M81" s="326">
        <f t="shared" si="89"/>
        <v>0</v>
      </c>
      <c r="N81" s="326"/>
      <c r="O81" s="326"/>
      <c r="P81" s="326"/>
      <c r="Q81" s="326">
        <f t="shared" ref="Q81" si="90">SUM(Q82:Q87)</f>
        <v>1500</v>
      </c>
      <c r="R81" s="326"/>
      <c r="S81" s="326">
        <f t="shared" ref="S81" si="91">SUM(S82:S87)</f>
        <v>900</v>
      </c>
      <c r="T81" s="326"/>
      <c r="U81" s="326"/>
      <c r="V81" s="326"/>
      <c r="W81" s="326"/>
      <c r="X81" s="326"/>
      <c r="Y81" s="326">
        <f t="shared" ref="Y81" si="92">SUM(Y82:Y87)</f>
        <v>0</v>
      </c>
      <c r="Z81" s="326"/>
    </row>
    <row r="82" spans="1:26" ht="14.1" customHeight="1">
      <c r="A82" s="348"/>
      <c r="B82" s="348" t="s">
        <v>697</v>
      </c>
      <c r="C82" s="349" t="s">
        <v>698</v>
      </c>
      <c r="D82" s="350"/>
      <c r="E82" s="350">
        <f t="shared" ref="E82:E87" si="93">G82+K82+M82+Q82+S82</f>
        <v>0</v>
      </c>
      <c r="F82" s="351">
        <f t="shared" ref="F82:F87" si="94">H82+L82+N82</f>
        <v>0</v>
      </c>
      <c r="G82" s="350">
        <v>0</v>
      </c>
      <c r="H82" s="351"/>
      <c r="I82" s="351"/>
      <c r="J82" s="351"/>
      <c r="K82" s="350">
        <f>'[2]MMMH reszletes'!F137/1000</f>
        <v>0</v>
      </c>
      <c r="L82" s="351"/>
      <c r="M82" s="350">
        <f>'[2]MMMH reszletes'!H137/1000</f>
        <v>0</v>
      </c>
      <c r="N82" s="351"/>
      <c r="O82" s="351"/>
      <c r="P82" s="351"/>
      <c r="Q82" s="350">
        <v>0</v>
      </c>
      <c r="R82" s="351"/>
      <c r="S82" s="350">
        <v>0</v>
      </c>
      <c r="T82" s="351"/>
      <c r="U82" s="351"/>
      <c r="V82" s="351"/>
      <c r="W82" s="351"/>
      <c r="X82" s="351"/>
      <c r="Y82" s="350">
        <v>0</v>
      </c>
      <c r="Z82" s="351"/>
    </row>
    <row r="83" spans="1:26" ht="14.1" customHeight="1">
      <c r="A83" s="348"/>
      <c r="B83" s="348" t="s">
        <v>699</v>
      </c>
      <c r="C83" s="349" t="s">
        <v>913</v>
      </c>
      <c r="D83" s="350"/>
      <c r="E83" s="350">
        <f t="shared" si="93"/>
        <v>4000</v>
      </c>
      <c r="F83" s="351">
        <f t="shared" si="94"/>
        <v>0</v>
      </c>
      <c r="G83" s="350">
        <v>4000</v>
      </c>
      <c r="H83" s="351"/>
      <c r="I83" s="351"/>
      <c r="J83" s="351"/>
      <c r="K83" s="350">
        <v>0</v>
      </c>
      <c r="L83" s="351"/>
      <c r="M83" s="350">
        <f>'[2]MMMH reszletes'!H141/1000</f>
        <v>0</v>
      </c>
      <c r="N83" s="351"/>
      <c r="O83" s="351"/>
      <c r="P83" s="351"/>
      <c r="Q83" s="350">
        <v>0</v>
      </c>
      <c r="R83" s="351"/>
      <c r="S83" s="350">
        <v>0</v>
      </c>
      <c r="T83" s="351"/>
      <c r="U83" s="351"/>
      <c r="V83" s="351"/>
      <c r="W83" s="351"/>
      <c r="X83" s="351"/>
      <c r="Y83" s="350">
        <v>0</v>
      </c>
      <c r="Z83" s="351"/>
    </row>
    <row r="84" spans="1:26" ht="14.1" customHeight="1">
      <c r="A84" s="348"/>
      <c r="B84" s="348" t="s">
        <v>701</v>
      </c>
      <c r="C84" s="349" t="s">
        <v>702</v>
      </c>
      <c r="D84" s="350"/>
      <c r="E84" s="350">
        <f t="shared" si="93"/>
        <v>0</v>
      </c>
      <c r="F84" s="351">
        <f t="shared" si="94"/>
        <v>0</v>
      </c>
      <c r="G84" s="350">
        <v>0</v>
      </c>
      <c r="H84" s="351"/>
      <c r="I84" s="351"/>
      <c r="J84" s="351"/>
      <c r="K84" s="350">
        <f>'[2]MMMH reszletes'!F145/1000</f>
        <v>0</v>
      </c>
      <c r="L84" s="351"/>
      <c r="M84" s="350">
        <f>'[2]MMMH reszletes'!H145/1000</f>
        <v>0</v>
      </c>
      <c r="N84" s="351"/>
      <c r="O84" s="351"/>
      <c r="P84" s="351"/>
      <c r="Q84" s="350">
        <v>0</v>
      </c>
      <c r="R84" s="351"/>
      <c r="S84" s="350">
        <v>0</v>
      </c>
      <c r="T84" s="351"/>
      <c r="U84" s="351"/>
      <c r="V84" s="351"/>
      <c r="W84" s="351"/>
      <c r="X84" s="351"/>
      <c r="Y84" s="350">
        <v>0</v>
      </c>
      <c r="Z84" s="351"/>
    </row>
    <row r="85" spans="1:26" ht="14.1" customHeight="1">
      <c r="A85" s="348"/>
      <c r="B85" s="348" t="s">
        <v>703</v>
      </c>
      <c r="C85" s="349" t="s">
        <v>914</v>
      </c>
      <c r="D85" s="350"/>
      <c r="E85" s="350">
        <f t="shared" si="93"/>
        <v>2000</v>
      </c>
      <c r="F85" s="351">
        <f t="shared" si="94"/>
        <v>0</v>
      </c>
      <c r="G85" s="350">
        <v>700</v>
      </c>
      <c r="H85" s="351"/>
      <c r="I85" s="351"/>
      <c r="J85" s="351"/>
      <c r="K85" s="350">
        <f>'[2]MMMH reszletes'!F146/1000</f>
        <v>0</v>
      </c>
      <c r="L85" s="351"/>
      <c r="M85" s="350">
        <f>'[2]MMMH reszletes'!H146/1000</f>
        <v>0</v>
      </c>
      <c r="N85" s="351"/>
      <c r="O85" s="351"/>
      <c r="P85" s="351"/>
      <c r="Q85" s="350">
        <v>900</v>
      </c>
      <c r="R85" s="351"/>
      <c r="S85" s="350">
        <v>400</v>
      </c>
      <c r="T85" s="351"/>
      <c r="U85" s="351"/>
      <c r="V85" s="351"/>
      <c r="W85" s="351"/>
      <c r="X85" s="351"/>
      <c r="Y85" s="350">
        <v>0</v>
      </c>
      <c r="Z85" s="351"/>
    </row>
    <row r="86" spans="1:26" ht="14.1" customHeight="1">
      <c r="A86" s="348"/>
      <c r="B86" s="348" t="s">
        <v>705</v>
      </c>
      <c r="C86" s="349" t="s">
        <v>706</v>
      </c>
      <c r="D86" s="350"/>
      <c r="E86" s="350">
        <f t="shared" si="93"/>
        <v>800</v>
      </c>
      <c r="F86" s="351">
        <f t="shared" si="94"/>
        <v>0</v>
      </c>
      <c r="G86" s="350">
        <v>0</v>
      </c>
      <c r="H86" s="351"/>
      <c r="I86" s="351"/>
      <c r="J86" s="351"/>
      <c r="K86" s="350">
        <v>0</v>
      </c>
      <c r="L86" s="351"/>
      <c r="M86" s="350">
        <f>'[2]MMMH reszletes'!H147/1000</f>
        <v>0</v>
      </c>
      <c r="N86" s="351"/>
      <c r="O86" s="351"/>
      <c r="P86" s="351"/>
      <c r="Q86" s="350">
        <v>600</v>
      </c>
      <c r="R86" s="351"/>
      <c r="S86" s="350">
        <v>200</v>
      </c>
      <c r="T86" s="351"/>
      <c r="U86" s="351"/>
      <c r="V86" s="351"/>
      <c r="W86" s="351"/>
      <c r="X86" s="351"/>
      <c r="Y86" s="350">
        <v>0</v>
      </c>
      <c r="Z86" s="351"/>
    </row>
    <row r="87" spans="1:26" ht="14.1" customHeight="1">
      <c r="A87" s="348"/>
      <c r="B87" s="348" t="s">
        <v>708</v>
      </c>
      <c r="C87" s="349" t="s">
        <v>915</v>
      </c>
      <c r="D87" s="350"/>
      <c r="E87" s="350">
        <f t="shared" si="93"/>
        <v>800</v>
      </c>
      <c r="F87" s="351">
        <f t="shared" si="94"/>
        <v>0</v>
      </c>
      <c r="G87" s="350">
        <v>500</v>
      </c>
      <c r="H87" s="351"/>
      <c r="I87" s="351"/>
      <c r="J87" s="351"/>
      <c r="K87" s="350">
        <v>0</v>
      </c>
      <c r="L87" s="351"/>
      <c r="M87" s="350">
        <f>'[2]MMMH reszletes'!H148/1000</f>
        <v>0</v>
      </c>
      <c r="N87" s="351"/>
      <c r="O87" s="351"/>
      <c r="P87" s="351"/>
      <c r="Q87" s="350">
        <v>0</v>
      </c>
      <c r="R87" s="351"/>
      <c r="S87" s="350">
        <v>300</v>
      </c>
      <c r="T87" s="351"/>
      <c r="U87" s="351"/>
      <c r="V87" s="351"/>
      <c r="W87" s="351"/>
      <c r="X87" s="351"/>
      <c r="Y87" s="350">
        <v>0</v>
      </c>
      <c r="Z87" s="351"/>
    </row>
    <row r="88" spans="1:26" s="317" customFormat="1" ht="14.1" customHeight="1">
      <c r="A88" s="322" t="s">
        <v>232</v>
      </c>
      <c r="B88" s="322" t="s">
        <v>716</v>
      </c>
      <c r="C88" s="323" t="s">
        <v>717</v>
      </c>
      <c r="D88" s="326">
        <f>SUM(D89:D90)</f>
        <v>0</v>
      </c>
      <c r="E88" s="326">
        <f>SUM(E89:E90)</f>
        <v>0</v>
      </c>
      <c r="F88" s="326">
        <f>SUM(F89:F90)</f>
        <v>0</v>
      </c>
      <c r="G88" s="326">
        <f t="shared" ref="G88:M88" si="95">SUM(G89:G90)</f>
        <v>0</v>
      </c>
      <c r="H88" s="326"/>
      <c r="I88" s="326"/>
      <c r="J88" s="326"/>
      <c r="K88" s="326">
        <f t="shared" si="95"/>
        <v>0</v>
      </c>
      <c r="L88" s="326"/>
      <c r="M88" s="326">
        <f t="shared" si="95"/>
        <v>0</v>
      </c>
      <c r="N88" s="326"/>
      <c r="O88" s="326"/>
      <c r="P88" s="326"/>
      <c r="Q88" s="326">
        <f t="shared" ref="Q88" si="96">SUM(Q89:Q90)</f>
        <v>0</v>
      </c>
      <c r="R88" s="326"/>
      <c r="S88" s="326">
        <f t="shared" ref="S88" si="97">SUM(S89:S90)</f>
        <v>0</v>
      </c>
      <c r="T88" s="326"/>
      <c r="U88" s="326"/>
      <c r="V88" s="326"/>
      <c r="W88" s="326"/>
      <c r="X88" s="326"/>
      <c r="Y88" s="326">
        <f t="shared" ref="Y88" si="98">SUM(Y89:Y90)</f>
        <v>0</v>
      </c>
      <c r="Z88" s="326"/>
    </row>
    <row r="89" spans="1:26" ht="14.1" customHeight="1">
      <c r="A89" s="348"/>
      <c r="B89" s="348" t="s">
        <v>713</v>
      </c>
      <c r="C89" s="349" t="s">
        <v>233</v>
      </c>
      <c r="D89" s="350"/>
      <c r="E89" s="350">
        <f t="shared" ref="E89:E90" si="99">G89+K89+M89+Q89+S89</f>
        <v>0</v>
      </c>
      <c r="F89" s="351">
        <f>H89+L89+N89</f>
        <v>0</v>
      </c>
      <c r="G89" s="350">
        <v>0</v>
      </c>
      <c r="H89" s="351"/>
      <c r="I89" s="351"/>
      <c r="J89" s="351"/>
      <c r="K89" s="350">
        <f>'[2]MMMH reszletes'!F154/1000</f>
        <v>0</v>
      </c>
      <c r="L89" s="351"/>
      <c r="M89" s="350">
        <f>'[2]MMMH reszletes'!H154/1000</f>
        <v>0</v>
      </c>
      <c r="N89" s="351"/>
      <c r="O89" s="351"/>
      <c r="P89" s="351"/>
      <c r="Q89" s="350">
        <v>0</v>
      </c>
      <c r="R89" s="351"/>
      <c r="S89" s="350">
        <v>0</v>
      </c>
      <c r="T89" s="351"/>
      <c r="U89" s="351"/>
      <c r="V89" s="351"/>
      <c r="W89" s="351"/>
      <c r="X89" s="351"/>
      <c r="Y89" s="350">
        <v>0</v>
      </c>
      <c r="Z89" s="351"/>
    </row>
    <row r="90" spans="1:26" ht="14.1" customHeight="1">
      <c r="A90" s="348"/>
      <c r="B90" s="348" t="s">
        <v>714</v>
      </c>
      <c r="C90" s="349" t="s">
        <v>715</v>
      </c>
      <c r="D90" s="350"/>
      <c r="E90" s="350">
        <f t="shared" si="99"/>
        <v>0</v>
      </c>
      <c r="F90" s="351">
        <f>H90+L90+N90</f>
        <v>0</v>
      </c>
      <c r="G90" s="350">
        <v>0</v>
      </c>
      <c r="H90" s="351"/>
      <c r="I90" s="351"/>
      <c r="J90" s="351"/>
      <c r="K90" s="350">
        <f>'[2]MMMH reszletes'!F155/1000</f>
        <v>0</v>
      </c>
      <c r="L90" s="351"/>
      <c r="M90" s="350">
        <f>'[2]MMMH reszletes'!H155/1000</f>
        <v>0</v>
      </c>
      <c r="N90" s="351"/>
      <c r="O90" s="351"/>
      <c r="P90" s="351"/>
      <c r="Q90" s="350">
        <v>0</v>
      </c>
      <c r="R90" s="351"/>
      <c r="S90" s="350">
        <v>0</v>
      </c>
      <c r="T90" s="351"/>
      <c r="U90" s="351"/>
      <c r="V90" s="351"/>
      <c r="W90" s="351"/>
      <c r="X90" s="351"/>
      <c r="Y90" s="350">
        <v>0</v>
      </c>
      <c r="Z90" s="351"/>
    </row>
    <row r="91" spans="1:26" s="317" customFormat="1" ht="14.1" customHeight="1">
      <c r="A91" s="335" t="s">
        <v>234</v>
      </c>
      <c r="B91" s="335" t="s">
        <v>718</v>
      </c>
      <c r="C91" s="336" t="s">
        <v>719</v>
      </c>
      <c r="D91" s="339">
        <f t="shared" ref="D91:M91" si="100">D74+D81+D88</f>
        <v>0</v>
      </c>
      <c r="E91" s="339">
        <f t="shared" si="100"/>
        <v>9400</v>
      </c>
      <c r="F91" s="339">
        <f t="shared" si="100"/>
        <v>0</v>
      </c>
      <c r="G91" s="339">
        <f t="shared" si="100"/>
        <v>7000</v>
      </c>
      <c r="H91" s="339"/>
      <c r="I91" s="339"/>
      <c r="J91" s="339"/>
      <c r="K91" s="339">
        <f t="shared" si="100"/>
        <v>0</v>
      </c>
      <c r="L91" s="339"/>
      <c r="M91" s="339">
        <f t="shared" si="100"/>
        <v>0</v>
      </c>
      <c r="N91" s="339"/>
      <c r="O91" s="339"/>
      <c r="P91" s="339"/>
      <c r="Q91" s="339">
        <f t="shared" ref="Q91" si="101">Q74+Q81+Q88</f>
        <v>1500</v>
      </c>
      <c r="R91" s="339"/>
      <c r="S91" s="339">
        <f t="shared" ref="S91" si="102">S74+S81+S88</f>
        <v>900</v>
      </c>
      <c r="T91" s="339"/>
      <c r="U91" s="339"/>
      <c r="V91" s="339"/>
      <c r="W91" s="339"/>
      <c r="X91" s="339"/>
      <c r="Y91" s="339">
        <f t="shared" ref="Y91" si="103">Y74+Y81+Y88</f>
        <v>0</v>
      </c>
      <c r="Z91" s="339"/>
    </row>
    <row r="92" spans="1:26" s="317" customFormat="1" ht="14.1" customHeight="1">
      <c r="A92" s="322" t="s">
        <v>236</v>
      </c>
      <c r="B92" s="322" t="s">
        <v>734</v>
      </c>
      <c r="C92" s="323" t="s">
        <v>237</v>
      </c>
      <c r="D92" s="326">
        <f>SUM(D93:D98)</f>
        <v>0</v>
      </c>
      <c r="E92" s="326">
        <f>SUM(E93:E98)</f>
        <v>2650</v>
      </c>
      <c r="F92" s="326">
        <f>SUM(F93:F98)</f>
        <v>0</v>
      </c>
      <c r="G92" s="326">
        <f t="shared" ref="G92:M92" si="104">SUM(G93:G98)</f>
        <v>2650</v>
      </c>
      <c r="H92" s="326"/>
      <c r="I92" s="326"/>
      <c r="J92" s="326"/>
      <c r="K92" s="326">
        <f t="shared" si="104"/>
        <v>0</v>
      </c>
      <c r="L92" s="326"/>
      <c r="M92" s="326">
        <f t="shared" si="104"/>
        <v>0</v>
      </c>
      <c r="N92" s="326"/>
      <c r="O92" s="326"/>
      <c r="P92" s="326"/>
      <c r="Q92" s="326">
        <f t="shared" ref="Q92" si="105">SUM(Q93:Q98)</f>
        <v>0</v>
      </c>
      <c r="R92" s="326"/>
      <c r="S92" s="326">
        <f t="shared" ref="S92" si="106">SUM(S93:S98)</f>
        <v>0</v>
      </c>
      <c r="T92" s="326"/>
      <c r="U92" s="326"/>
      <c r="V92" s="326"/>
      <c r="W92" s="326"/>
      <c r="X92" s="326"/>
      <c r="Y92" s="326">
        <f t="shared" ref="Y92" si="107">SUM(Y93:Y98)</f>
        <v>0</v>
      </c>
      <c r="Z92" s="326"/>
    </row>
    <row r="93" spans="1:26" ht="14.1" customHeight="1">
      <c r="A93" s="348"/>
      <c r="B93" s="348" t="s">
        <v>720</v>
      </c>
      <c r="C93" s="349" t="s">
        <v>916</v>
      </c>
      <c r="D93" s="350"/>
      <c r="E93" s="350">
        <f t="shared" ref="E93:E98" si="108">G93+K93+M93+Q93+S93</f>
        <v>0</v>
      </c>
      <c r="F93" s="351">
        <f t="shared" ref="F93:F98" si="109">H93+L93+N93</f>
        <v>0</v>
      </c>
      <c r="G93" s="350">
        <v>0</v>
      </c>
      <c r="H93" s="351"/>
      <c r="I93" s="351"/>
      <c r="J93" s="351"/>
      <c r="K93" s="350">
        <f>'[2]MMMH reszletes'!F158/1000</f>
        <v>0</v>
      </c>
      <c r="L93" s="351"/>
      <c r="M93" s="350">
        <f>'[2]MMMH reszletes'!H158/1000</f>
        <v>0</v>
      </c>
      <c r="N93" s="351"/>
      <c r="O93" s="351"/>
      <c r="P93" s="351"/>
      <c r="Q93" s="350">
        <v>0</v>
      </c>
      <c r="R93" s="351"/>
      <c r="S93" s="350">
        <v>0</v>
      </c>
      <c r="T93" s="351"/>
      <c r="U93" s="351"/>
      <c r="V93" s="351"/>
      <c r="W93" s="351"/>
      <c r="X93" s="351"/>
      <c r="Y93" s="350">
        <v>0</v>
      </c>
      <c r="Z93" s="351"/>
    </row>
    <row r="94" spans="1:26" ht="14.1" customHeight="1">
      <c r="A94" s="348"/>
      <c r="B94" s="348" t="s">
        <v>722</v>
      </c>
      <c r="C94" s="349" t="s">
        <v>723</v>
      </c>
      <c r="D94" s="350"/>
      <c r="E94" s="350">
        <f t="shared" si="108"/>
        <v>0</v>
      </c>
      <c r="F94" s="351">
        <f t="shared" si="109"/>
        <v>0</v>
      </c>
      <c r="G94" s="350">
        <v>0</v>
      </c>
      <c r="H94" s="351"/>
      <c r="I94" s="351"/>
      <c r="J94" s="351"/>
      <c r="K94" s="350">
        <v>0</v>
      </c>
      <c r="L94" s="351"/>
      <c r="M94" s="350">
        <f>'[2]MMMH reszletes'!H159/1000</f>
        <v>0</v>
      </c>
      <c r="N94" s="351"/>
      <c r="O94" s="351"/>
      <c r="P94" s="351"/>
      <c r="Q94" s="350">
        <v>0</v>
      </c>
      <c r="R94" s="351"/>
      <c r="S94" s="350">
        <v>0</v>
      </c>
      <c r="T94" s="351"/>
      <c r="U94" s="351"/>
      <c r="V94" s="351"/>
      <c r="W94" s="351"/>
      <c r="X94" s="351"/>
      <c r="Y94" s="350">
        <v>0</v>
      </c>
      <c r="Z94" s="351"/>
    </row>
    <row r="95" spans="1:26" ht="14.1" customHeight="1">
      <c r="A95" s="348"/>
      <c r="B95" s="348" t="s">
        <v>725</v>
      </c>
      <c r="C95" s="349" t="s">
        <v>917</v>
      </c>
      <c r="D95" s="350"/>
      <c r="E95" s="350">
        <f t="shared" si="108"/>
        <v>0</v>
      </c>
      <c r="F95" s="351">
        <f t="shared" si="109"/>
        <v>0</v>
      </c>
      <c r="G95" s="350">
        <v>0</v>
      </c>
      <c r="H95" s="351"/>
      <c r="I95" s="351"/>
      <c r="J95" s="351"/>
      <c r="K95" s="350">
        <f>'[2]MMMH reszletes'!F162/1000</f>
        <v>0</v>
      </c>
      <c r="L95" s="351"/>
      <c r="M95" s="350">
        <f>'[2]MMMH reszletes'!H162/1000</f>
        <v>0</v>
      </c>
      <c r="N95" s="351"/>
      <c r="O95" s="351"/>
      <c r="P95" s="351"/>
      <c r="Q95" s="350">
        <v>0</v>
      </c>
      <c r="R95" s="351"/>
      <c r="S95" s="350">
        <v>0</v>
      </c>
      <c r="T95" s="351"/>
      <c r="U95" s="351"/>
      <c r="V95" s="351"/>
      <c r="W95" s="351"/>
      <c r="X95" s="351"/>
      <c r="Y95" s="350">
        <v>0</v>
      </c>
      <c r="Z95" s="351"/>
    </row>
    <row r="96" spans="1:26" ht="14.1" customHeight="1">
      <c r="A96" s="348"/>
      <c r="B96" s="348" t="s">
        <v>727</v>
      </c>
      <c r="C96" s="349" t="s">
        <v>728</v>
      </c>
      <c r="D96" s="350"/>
      <c r="E96" s="350">
        <f t="shared" si="108"/>
        <v>0</v>
      </c>
      <c r="F96" s="351">
        <f t="shared" si="109"/>
        <v>0</v>
      </c>
      <c r="G96" s="350">
        <v>0</v>
      </c>
      <c r="H96" s="351"/>
      <c r="I96" s="351"/>
      <c r="J96" s="351"/>
      <c r="K96" s="350">
        <f>'[2]MMMH reszletes'!F163/1000</f>
        <v>0</v>
      </c>
      <c r="L96" s="351"/>
      <c r="M96" s="350">
        <f>'[2]MMMH reszletes'!H163/1000</f>
        <v>0</v>
      </c>
      <c r="N96" s="351"/>
      <c r="O96" s="351"/>
      <c r="P96" s="351"/>
      <c r="Q96" s="350">
        <v>0</v>
      </c>
      <c r="R96" s="351"/>
      <c r="S96" s="350">
        <v>0</v>
      </c>
      <c r="T96" s="351"/>
      <c r="U96" s="351"/>
      <c r="V96" s="351"/>
      <c r="W96" s="351"/>
      <c r="X96" s="351"/>
      <c r="Y96" s="350">
        <v>0</v>
      </c>
      <c r="Z96" s="351"/>
    </row>
    <row r="97" spans="1:26" ht="14.1" customHeight="1">
      <c r="A97" s="348"/>
      <c r="B97" s="348" t="s">
        <v>729</v>
      </c>
      <c r="C97" s="349" t="s">
        <v>730</v>
      </c>
      <c r="D97" s="350"/>
      <c r="E97" s="350">
        <f t="shared" si="108"/>
        <v>2650</v>
      </c>
      <c r="F97" s="351">
        <f t="shared" si="109"/>
        <v>0</v>
      </c>
      <c r="G97" s="350">
        <v>2650</v>
      </c>
      <c r="H97" s="351"/>
      <c r="I97" s="351"/>
      <c r="J97" s="351"/>
      <c r="K97" s="350">
        <v>0</v>
      </c>
      <c r="L97" s="351"/>
      <c r="M97" s="350">
        <f>'[2]MMMH reszletes'!H164/1000</f>
        <v>0</v>
      </c>
      <c r="N97" s="351"/>
      <c r="O97" s="351"/>
      <c r="P97" s="351"/>
      <c r="Q97" s="350">
        <v>0</v>
      </c>
      <c r="R97" s="351"/>
      <c r="S97" s="350">
        <v>0</v>
      </c>
      <c r="T97" s="351"/>
      <c r="U97" s="351"/>
      <c r="V97" s="351"/>
      <c r="W97" s="351"/>
      <c r="X97" s="351"/>
      <c r="Y97" s="350">
        <v>0</v>
      </c>
      <c r="Z97" s="351"/>
    </row>
    <row r="98" spans="1:26" ht="14.1" customHeight="1">
      <c r="A98" s="348"/>
      <c r="B98" s="348" t="s">
        <v>732</v>
      </c>
      <c r="C98" s="349" t="s">
        <v>733</v>
      </c>
      <c r="D98" s="350"/>
      <c r="E98" s="350">
        <f t="shared" si="108"/>
        <v>0</v>
      </c>
      <c r="F98" s="351">
        <f t="shared" si="109"/>
        <v>0</v>
      </c>
      <c r="G98" s="350">
        <v>0</v>
      </c>
      <c r="H98" s="351"/>
      <c r="I98" s="351"/>
      <c r="J98" s="351"/>
      <c r="K98" s="350">
        <f>'[2]MMMH reszletes'!F165/1000</f>
        <v>0</v>
      </c>
      <c r="L98" s="351"/>
      <c r="M98" s="350">
        <f>'[2]MMMH reszletes'!H165/1000</f>
        <v>0</v>
      </c>
      <c r="N98" s="351"/>
      <c r="O98" s="351"/>
      <c r="P98" s="351"/>
      <c r="Q98" s="350">
        <v>0</v>
      </c>
      <c r="R98" s="351"/>
      <c r="S98" s="350">
        <v>0</v>
      </c>
      <c r="T98" s="351"/>
      <c r="U98" s="351"/>
      <c r="V98" s="351"/>
      <c r="W98" s="351"/>
      <c r="X98" s="351"/>
      <c r="Y98" s="350">
        <v>0</v>
      </c>
      <c r="Z98" s="351"/>
    </row>
    <row r="99" spans="1:26" s="317" customFormat="1" ht="14.1" customHeight="1">
      <c r="A99" s="322" t="s">
        <v>238</v>
      </c>
      <c r="B99" s="322" t="s">
        <v>738</v>
      </c>
      <c r="C99" s="323" t="s">
        <v>918</v>
      </c>
      <c r="D99" s="326">
        <f>SUM(D100:D101)</f>
        <v>0</v>
      </c>
      <c r="E99" s="326">
        <f>SUM(E100:E101)</f>
        <v>19240</v>
      </c>
      <c r="F99" s="326">
        <f>SUM(F100:F101)</f>
        <v>0</v>
      </c>
      <c r="G99" s="326">
        <f t="shared" ref="G99:M99" si="110">SUM(G100:G101)</f>
        <v>18500</v>
      </c>
      <c r="H99" s="326"/>
      <c r="I99" s="326"/>
      <c r="J99" s="326"/>
      <c r="K99" s="326">
        <f t="shared" si="110"/>
        <v>0</v>
      </c>
      <c r="L99" s="326"/>
      <c r="M99" s="326">
        <f t="shared" si="110"/>
        <v>0</v>
      </c>
      <c r="N99" s="326"/>
      <c r="O99" s="326"/>
      <c r="P99" s="326"/>
      <c r="Q99" s="326">
        <f t="shared" ref="Q99" si="111">SUM(Q100:Q101)</f>
        <v>680</v>
      </c>
      <c r="R99" s="326"/>
      <c r="S99" s="326">
        <f t="shared" ref="S99" si="112">SUM(S100:S101)</f>
        <v>60</v>
      </c>
      <c r="T99" s="326"/>
      <c r="U99" s="326"/>
      <c r="V99" s="326"/>
      <c r="W99" s="326"/>
      <c r="X99" s="326"/>
      <c r="Y99" s="326">
        <f t="shared" ref="Y99" si="113">SUM(Y100:Y101)</f>
        <v>0</v>
      </c>
      <c r="Z99" s="326"/>
    </row>
    <row r="100" spans="1:26" ht="14.1" customHeight="1">
      <c r="A100" s="348"/>
      <c r="B100" s="348" t="s">
        <v>735</v>
      </c>
      <c r="C100" s="349" t="s">
        <v>736</v>
      </c>
      <c r="D100" s="350"/>
      <c r="E100" s="350">
        <f t="shared" ref="E100:E101" si="114">G100+K100+M100+Q100+S100</f>
        <v>4140</v>
      </c>
      <c r="F100" s="351">
        <f>H100+L100+N100</f>
        <v>0</v>
      </c>
      <c r="G100" s="350">
        <v>4000</v>
      </c>
      <c r="H100" s="351"/>
      <c r="I100" s="351"/>
      <c r="J100" s="351"/>
      <c r="K100" s="350">
        <v>0</v>
      </c>
      <c r="L100" s="351"/>
      <c r="M100" s="350">
        <f>'[2]MMMH reszletes'!H169/1000</f>
        <v>0</v>
      </c>
      <c r="N100" s="351"/>
      <c r="O100" s="351"/>
      <c r="P100" s="351"/>
      <c r="Q100" s="350">
        <v>80</v>
      </c>
      <c r="R100" s="351"/>
      <c r="S100" s="350">
        <v>60</v>
      </c>
      <c r="T100" s="351"/>
      <c r="U100" s="351"/>
      <c r="V100" s="351"/>
      <c r="W100" s="351"/>
      <c r="X100" s="351"/>
      <c r="Y100" s="350">
        <v>0</v>
      </c>
      <c r="Z100" s="351"/>
    </row>
    <row r="101" spans="1:26" ht="14.1" customHeight="1">
      <c r="A101" s="348"/>
      <c r="B101" s="348" t="s">
        <v>919</v>
      </c>
      <c r="C101" s="349" t="s">
        <v>239</v>
      </c>
      <c r="D101" s="350"/>
      <c r="E101" s="350">
        <f t="shared" si="114"/>
        <v>15100</v>
      </c>
      <c r="F101" s="351">
        <f>H101+L101+N101</f>
        <v>0</v>
      </c>
      <c r="G101" s="350">
        <v>14500</v>
      </c>
      <c r="H101" s="351"/>
      <c r="I101" s="351"/>
      <c r="J101" s="351"/>
      <c r="K101" s="350">
        <f>'[2]MMMH reszletes'!F174/1000</f>
        <v>0</v>
      </c>
      <c r="L101" s="351"/>
      <c r="M101" s="350">
        <f>'[2]MMMH reszletes'!H174/1000</f>
        <v>0</v>
      </c>
      <c r="N101" s="351"/>
      <c r="O101" s="351"/>
      <c r="P101" s="351"/>
      <c r="Q101" s="350">
        <v>600</v>
      </c>
      <c r="R101" s="351"/>
      <c r="S101" s="350">
        <v>0</v>
      </c>
      <c r="T101" s="351"/>
      <c r="U101" s="351"/>
      <c r="V101" s="351"/>
      <c r="W101" s="351"/>
      <c r="X101" s="351"/>
      <c r="Y101" s="350">
        <v>0</v>
      </c>
      <c r="Z101" s="351"/>
    </row>
    <row r="102" spans="1:26" s="317" customFormat="1" ht="14.1" customHeight="1">
      <c r="A102" s="335" t="s">
        <v>240</v>
      </c>
      <c r="B102" s="335" t="s">
        <v>740</v>
      </c>
      <c r="C102" s="336" t="s">
        <v>741</v>
      </c>
      <c r="D102" s="339">
        <f>D92+D99</f>
        <v>0</v>
      </c>
      <c r="E102" s="339">
        <f>E92+E99</f>
        <v>21890</v>
      </c>
      <c r="F102" s="339">
        <f>F92+F99</f>
        <v>0</v>
      </c>
      <c r="G102" s="339">
        <f t="shared" ref="G102:M102" si="115">G92+G99</f>
        <v>21150</v>
      </c>
      <c r="H102" s="339"/>
      <c r="I102" s="339"/>
      <c r="J102" s="339"/>
      <c r="K102" s="339">
        <f t="shared" si="115"/>
        <v>0</v>
      </c>
      <c r="L102" s="339"/>
      <c r="M102" s="339">
        <f t="shared" si="115"/>
        <v>0</v>
      </c>
      <c r="N102" s="339"/>
      <c r="O102" s="339"/>
      <c r="P102" s="339"/>
      <c r="Q102" s="339">
        <f t="shared" ref="Q102" si="116">Q92+Q99</f>
        <v>680</v>
      </c>
      <c r="R102" s="339"/>
      <c r="S102" s="339">
        <f t="shared" ref="S102" si="117">S92+S99</f>
        <v>60</v>
      </c>
      <c r="T102" s="339"/>
      <c r="U102" s="339"/>
      <c r="V102" s="339"/>
      <c r="W102" s="339"/>
      <c r="X102" s="339"/>
      <c r="Y102" s="339">
        <f t="shared" ref="Y102" si="118">Y92+Y99</f>
        <v>0</v>
      </c>
      <c r="Z102" s="339"/>
    </row>
    <row r="103" spans="1:26" s="317" customFormat="1" ht="14.1" customHeight="1">
      <c r="A103" s="322" t="s">
        <v>242</v>
      </c>
      <c r="B103" s="322" t="s">
        <v>752</v>
      </c>
      <c r="C103" s="323" t="s">
        <v>753</v>
      </c>
      <c r="D103" s="326">
        <f>SUM(D104:D107)</f>
        <v>0</v>
      </c>
      <c r="E103" s="326">
        <f>SUM(E104:E107)</f>
        <v>11500</v>
      </c>
      <c r="F103" s="326">
        <f>SUM(F104:F107)</f>
        <v>0</v>
      </c>
      <c r="G103" s="326">
        <f t="shared" ref="G103:M103" si="119">SUM(G104:G107)</f>
        <v>11100</v>
      </c>
      <c r="H103" s="326"/>
      <c r="I103" s="326"/>
      <c r="J103" s="326"/>
      <c r="K103" s="326">
        <f t="shared" si="119"/>
        <v>0</v>
      </c>
      <c r="L103" s="326"/>
      <c r="M103" s="326">
        <f t="shared" si="119"/>
        <v>0</v>
      </c>
      <c r="N103" s="326"/>
      <c r="O103" s="326"/>
      <c r="P103" s="326"/>
      <c r="Q103" s="326">
        <f t="shared" ref="Q103" si="120">SUM(Q104:Q107)</f>
        <v>400</v>
      </c>
      <c r="R103" s="326"/>
      <c r="S103" s="326">
        <f t="shared" ref="S103" si="121">SUM(S104:S107)</f>
        <v>0</v>
      </c>
      <c r="T103" s="326"/>
      <c r="U103" s="326"/>
      <c r="V103" s="326"/>
      <c r="W103" s="326"/>
      <c r="X103" s="326"/>
      <c r="Y103" s="326">
        <f t="shared" ref="Y103" si="122">SUM(Y104:Y107)</f>
        <v>0</v>
      </c>
      <c r="Z103" s="326"/>
    </row>
    <row r="104" spans="1:26" ht="14.1" customHeight="1">
      <c r="A104" s="348"/>
      <c r="B104" s="348" t="s">
        <v>742</v>
      </c>
      <c r="C104" s="349" t="s">
        <v>920</v>
      </c>
      <c r="D104" s="350"/>
      <c r="E104" s="350">
        <f t="shared" ref="E104:E107" si="123">G104+K104+M104+Q104+S104</f>
        <v>5900</v>
      </c>
      <c r="F104" s="351">
        <f t="shared" ref="F104:F108" si="124">H104+L104+N104</f>
        <v>0</v>
      </c>
      <c r="G104" s="350">
        <v>5500</v>
      </c>
      <c r="H104" s="351"/>
      <c r="I104" s="351"/>
      <c r="J104" s="351"/>
      <c r="K104" s="350">
        <v>0</v>
      </c>
      <c r="L104" s="351"/>
      <c r="M104" s="350">
        <f>'[2]MMMH reszletes'!H177/1000</f>
        <v>0</v>
      </c>
      <c r="N104" s="351"/>
      <c r="O104" s="351"/>
      <c r="P104" s="351"/>
      <c r="Q104" s="350">
        <v>400</v>
      </c>
      <c r="R104" s="351"/>
      <c r="S104" s="350">
        <v>0</v>
      </c>
      <c r="T104" s="351"/>
      <c r="U104" s="351"/>
      <c r="V104" s="351"/>
      <c r="W104" s="351"/>
      <c r="X104" s="351"/>
      <c r="Y104" s="350">
        <v>0</v>
      </c>
      <c r="Z104" s="351"/>
    </row>
    <row r="105" spans="1:26" ht="14.1" customHeight="1">
      <c r="A105" s="348"/>
      <c r="B105" s="348" t="s">
        <v>745</v>
      </c>
      <c r="C105" s="349" t="s">
        <v>921</v>
      </c>
      <c r="D105" s="350"/>
      <c r="E105" s="350">
        <f t="shared" si="123"/>
        <v>5000</v>
      </c>
      <c r="F105" s="351">
        <f t="shared" si="124"/>
        <v>0</v>
      </c>
      <c r="G105" s="350">
        <v>5000</v>
      </c>
      <c r="H105" s="351"/>
      <c r="I105" s="351"/>
      <c r="J105" s="351"/>
      <c r="K105" s="350">
        <v>0</v>
      </c>
      <c r="L105" s="351"/>
      <c r="M105" s="350">
        <f>'[2]MMMH reszletes'!H178/1000</f>
        <v>0</v>
      </c>
      <c r="N105" s="351"/>
      <c r="O105" s="351"/>
      <c r="P105" s="351"/>
      <c r="Q105" s="350">
        <v>0</v>
      </c>
      <c r="R105" s="351"/>
      <c r="S105" s="350">
        <v>0</v>
      </c>
      <c r="T105" s="351"/>
      <c r="U105" s="351"/>
      <c r="V105" s="351"/>
      <c r="W105" s="351"/>
      <c r="X105" s="351"/>
      <c r="Y105" s="350">
        <v>0</v>
      </c>
      <c r="Z105" s="351"/>
    </row>
    <row r="106" spans="1:26" ht="14.1" customHeight="1">
      <c r="A106" s="348"/>
      <c r="B106" s="348" t="s">
        <v>748</v>
      </c>
      <c r="C106" s="349" t="s">
        <v>922</v>
      </c>
      <c r="D106" s="350"/>
      <c r="E106" s="350">
        <f t="shared" si="123"/>
        <v>0</v>
      </c>
      <c r="F106" s="351">
        <f t="shared" si="124"/>
        <v>0</v>
      </c>
      <c r="G106" s="350">
        <v>0</v>
      </c>
      <c r="H106" s="351"/>
      <c r="I106" s="351"/>
      <c r="J106" s="351"/>
      <c r="K106" s="350">
        <f>'[2]MMMH reszletes'!F179/1000</f>
        <v>0</v>
      </c>
      <c r="L106" s="351"/>
      <c r="M106" s="350">
        <f>'[2]MMMH reszletes'!H179/1000</f>
        <v>0</v>
      </c>
      <c r="N106" s="351"/>
      <c r="O106" s="351"/>
      <c r="P106" s="351"/>
      <c r="Q106" s="350">
        <v>0</v>
      </c>
      <c r="R106" s="351"/>
      <c r="S106" s="350">
        <v>0</v>
      </c>
      <c r="T106" s="351"/>
      <c r="U106" s="351"/>
      <c r="V106" s="351"/>
      <c r="W106" s="351"/>
      <c r="X106" s="351"/>
      <c r="Y106" s="350">
        <v>0</v>
      </c>
      <c r="Z106" s="351"/>
    </row>
    <row r="107" spans="1:26" ht="14.1" customHeight="1">
      <c r="A107" s="348"/>
      <c r="B107" s="348" t="s">
        <v>750</v>
      </c>
      <c r="C107" s="349" t="s">
        <v>923</v>
      </c>
      <c r="D107" s="350"/>
      <c r="E107" s="350">
        <f t="shared" si="123"/>
        <v>600</v>
      </c>
      <c r="F107" s="351">
        <f t="shared" si="124"/>
        <v>0</v>
      </c>
      <c r="G107" s="350">
        <v>600</v>
      </c>
      <c r="H107" s="351"/>
      <c r="I107" s="351"/>
      <c r="J107" s="351"/>
      <c r="K107" s="350">
        <v>0</v>
      </c>
      <c r="L107" s="351"/>
      <c r="M107" s="350">
        <f>'[2]MMMH reszletes'!H180/1000</f>
        <v>0</v>
      </c>
      <c r="N107" s="351"/>
      <c r="O107" s="351"/>
      <c r="P107" s="351"/>
      <c r="Q107" s="350">
        <v>0</v>
      </c>
      <c r="R107" s="351"/>
      <c r="S107" s="350">
        <v>0</v>
      </c>
      <c r="T107" s="351"/>
      <c r="U107" s="351"/>
      <c r="V107" s="351"/>
      <c r="W107" s="351"/>
      <c r="X107" s="351"/>
      <c r="Y107" s="350">
        <v>0</v>
      </c>
      <c r="Z107" s="351"/>
    </row>
    <row r="108" spans="1:26" s="317" customFormat="1" ht="14.1" customHeight="1">
      <c r="A108" s="322" t="s">
        <v>244</v>
      </c>
      <c r="B108" s="322" t="s">
        <v>754</v>
      </c>
      <c r="C108" s="323" t="s">
        <v>245</v>
      </c>
      <c r="D108" s="326">
        <v>0</v>
      </c>
      <c r="E108" s="326">
        <f>G108+K108+M108+Q108+S108</f>
        <v>0</v>
      </c>
      <c r="F108" s="326">
        <f t="shared" si="124"/>
        <v>0</v>
      </c>
      <c r="G108" s="326">
        <v>0</v>
      </c>
      <c r="H108" s="326"/>
      <c r="I108" s="326"/>
      <c r="J108" s="326"/>
      <c r="K108" s="326">
        <f>'[2]MMMH reszletes'!F181/1000</f>
        <v>0</v>
      </c>
      <c r="L108" s="326"/>
      <c r="M108" s="326">
        <f>'[2]MMMH reszletes'!H181/1000</f>
        <v>0</v>
      </c>
      <c r="N108" s="326"/>
      <c r="O108" s="326"/>
      <c r="P108" s="326"/>
      <c r="Q108" s="326">
        <v>0</v>
      </c>
      <c r="R108" s="326"/>
      <c r="S108" s="326">
        <v>0</v>
      </c>
      <c r="T108" s="326"/>
      <c r="U108" s="326"/>
      <c r="V108" s="326"/>
      <c r="W108" s="326"/>
      <c r="X108" s="326"/>
      <c r="Y108" s="326">
        <v>0</v>
      </c>
      <c r="Z108" s="326"/>
    </row>
    <row r="109" spans="1:26" s="317" customFormat="1" ht="14.1" customHeight="1">
      <c r="A109" s="322" t="s">
        <v>246</v>
      </c>
      <c r="B109" s="322" t="s">
        <v>924</v>
      </c>
      <c r="C109" s="323" t="s">
        <v>925</v>
      </c>
      <c r="D109" s="326">
        <f>SUM(D110:D111)</f>
        <v>0</v>
      </c>
      <c r="E109" s="326">
        <f>SUM(E110:E111)</f>
        <v>30000</v>
      </c>
      <c r="F109" s="326">
        <f>SUM(F110:F111)</f>
        <v>0</v>
      </c>
      <c r="G109" s="326">
        <f t="shared" ref="G109:M109" si="125">SUM(G110:G111)</f>
        <v>30000</v>
      </c>
      <c r="H109" s="326"/>
      <c r="I109" s="326"/>
      <c r="J109" s="326"/>
      <c r="K109" s="326">
        <f t="shared" si="125"/>
        <v>0</v>
      </c>
      <c r="L109" s="326"/>
      <c r="M109" s="326">
        <f t="shared" si="125"/>
        <v>0</v>
      </c>
      <c r="N109" s="326"/>
      <c r="O109" s="326"/>
      <c r="P109" s="326"/>
      <c r="Q109" s="326">
        <f t="shared" ref="Q109" si="126">SUM(Q110:Q111)</f>
        <v>0</v>
      </c>
      <c r="R109" s="326"/>
      <c r="S109" s="326">
        <f t="shared" ref="S109" si="127">SUM(S110:S111)</f>
        <v>0</v>
      </c>
      <c r="T109" s="326"/>
      <c r="U109" s="326"/>
      <c r="V109" s="326"/>
      <c r="W109" s="326"/>
      <c r="X109" s="326"/>
      <c r="Y109" s="326">
        <f t="shared" ref="Y109" si="128">SUM(Y110:Y111)</f>
        <v>0</v>
      </c>
      <c r="Z109" s="326"/>
    </row>
    <row r="110" spans="1:26" ht="14.1" customHeight="1">
      <c r="A110" s="348"/>
      <c r="B110" s="348" t="s">
        <v>755</v>
      </c>
      <c r="C110" s="349" t="s">
        <v>926</v>
      </c>
      <c r="D110" s="350"/>
      <c r="E110" s="350">
        <f t="shared" ref="E110:E111" si="129">G110+K110+M110+Q110+S110</f>
        <v>0</v>
      </c>
      <c r="F110" s="351">
        <f t="shared" ref="F110:F112" si="130">H110+L110+N110</f>
        <v>0</v>
      </c>
      <c r="G110" s="350">
        <v>0</v>
      </c>
      <c r="H110" s="351"/>
      <c r="I110" s="351"/>
      <c r="J110" s="351"/>
      <c r="K110" s="350">
        <f>'[2]MMMH reszletes'!F183/1000</f>
        <v>0</v>
      </c>
      <c r="L110" s="351"/>
      <c r="M110" s="350">
        <f>'[2]MMMH reszletes'!H183/1000</f>
        <v>0</v>
      </c>
      <c r="N110" s="351"/>
      <c r="O110" s="351"/>
      <c r="P110" s="351"/>
      <c r="Q110" s="350">
        <v>0</v>
      </c>
      <c r="R110" s="351"/>
      <c r="S110" s="350">
        <v>0</v>
      </c>
      <c r="T110" s="351"/>
      <c r="U110" s="351"/>
      <c r="V110" s="351"/>
      <c r="W110" s="351"/>
      <c r="X110" s="351"/>
      <c r="Y110" s="350">
        <v>0</v>
      </c>
      <c r="Z110" s="351"/>
    </row>
    <row r="111" spans="1:26" ht="14.1" customHeight="1">
      <c r="A111" s="348"/>
      <c r="B111" s="348" t="s">
        <v>757</v>
      </c>
      <c r="C111" s="349" t="s">
        <v>758</v>
      </c>
      <c r="D111" s="350"/>
      <c r="E111" s="350">
        <f t="shared" si="129"/>
        <v>30000</v>
      </c>
      <c r="F111" s="351">
        <f t="shared" si="130"/>
        <v>0</v>
      </c>
      <c r="G111" s="350">
        <v>30000</v>
      </c>
      <c r="H111" s="351"/>
      <c r="I111" s="351"/>
      <c r="J111" s="351"/>
      <c r="K111" s="350">
        <f>'[2]MMMH reszletes'!F184/1000</f>
        <v>0</v>
      </c>
      <c r="L111" s="351"/>
      <c r="M111" s="350">
        <f>'[2]MMMH reszletes'!H184/1000</f>
        <v>0</v>
      </c>
      <c r="N111" s="351"/>
      <c r="O111" s="351"/>
      <c r="P111" s="351"/>
      <c r="Q111" s="350">
        <v>0</v>
      </c>
      <c r="R111" s="351"/>
      <c r="S111" s="350">
        <v>0</v>
      </c>
      <c r="T111" s="351"/>
      <c r="U111" s="351"/>
      <c r="V111" s="351"/>
      <c r="W111" s="351"/>
      <c r="X111" s="351"/>
      <c r="Y111" s="350">
        <v>0</v>
      </c>
      <c r="Z111" s="351"/>
    </row>
    <row r="112" spans="1:26" s="317" customFormat="1" ht="14.1" customHeight="1">
      <c r="A112" s="322" t="s">
        <v>248</v>
      </c>
      <c r="B112" s="322" t="s">
        <v>760</v>
      </c>
      <c r="C112" s="323" t="s">
        <v>249</v>
      </c>
      <c r="D112" s="326">
        <v>0</v>
      </c>
      <c r="E112" s="326">
        <f>G112+K112+M112+Q112+S112</f>
        <v>4700</v>
      </c>
      <c r="F112" s="326">
        <f t="shared" si="130"/>
        <v>0</v>
      </c>
      <c r="G112" s="326">
        <f>2000+1800+500</f>
        <v>4300</v>
      </c>
      <c r="H112" s="326"/>
      <c r="I112" s="326"/>
      <c r="J112" s="326"/>
      <c r="K112" s="326">
        <v>0</v>
      </c>
      <c r="L112" s="326"/>
      <c r="M112" s="326">
        <f>'[2]MMMH reszletes'!H189/1000</f>
        <v>0</v>
      </c>
      <c r="N112" s="326"/>
      <c r="O112" s="326"/>
      <c r="P112" s="326"/>
      <c r="Q112" s="326">
        <v>200</v>
      </c>
      <c r="R112" s="326"/>
      <c r="S112" s="326">
        <v>200</v>
      </c>
      <c r="T112" s="326"/>
      <c r="U112" s="326"/>
      <c r="V112" s="326"/>
      <c r="W112" s="326"/>
      <c r="X112" s="326"/>
      <c r="Y112" s="326">
        <v>0</v>
      </c>
      <c r="Z112" s="326"/>
    </row>
    <row r="113" spans="1:26" s="317" customFormat="1" ht="14.1" customHeight="1">
      <c r="A113" s="322" t="s">
        <v>250</v>
      </c>
      <c r="B113" s="322" t="s">
        <v>766</v>
      </c>
      <c r="C113" s="323" t="s">
        <v>767</v>
      </c>
      <c r="D113" s="326">
        <f>SUM(D114:D115)</f>
        <v>0</v>
      </c>
      <c r="E113" s="326">
        <f>SUM(E114:E115)</f>
        <v>0</v>
      </c>
      <c r="F113" s="326">
        <f>SUM(F114:F115)</f>
        <v>0</v>
      </c>
      <c r="G113" s="326">
        <f t="shared" ref="G113:M113" si="131">SUM(G114:G115)</f>
        <v>0</v>
      </c>
      <c r="H113" s="326"/>
      <c r="I113" s="326"/>
      <c r="J113" s="326"/>
      <c r="K113" s="326">
        <f t="shared" si="131"/>
        <v>0</v>
      </c>
      <c r="L113" s="326"/>
      <c r="M113" s="326">
        <f t="shared" si="131"/>
        <v>0</v>
      </c>
      <c r="N113" s="326"/>
      <c r="O113" s="326"/>
      <c r="P113" s="326"/>
      <c r="Q113" s="326">
        <f t="shared" ref="Q113" si="132">SUM(Q114:Q115)</f>
        <v>0</v>
      </c>
      <c r="R113" s="326"/>
      <c r="S113" s="326">
        <f t="shared" ref="S113" si="133">SUM(S114:S115)</f>
        <v>0</v>
      </c>
      <c r="T113" s="326"/>
      <c r="U113" s="326"/>
      <c r="V113" s="326"/>
      <c r="W113" s="326"/>
      <c r="X113" s="326"/>
      <c r="Y113" s="326">
        <f t="shared" ref="Y113" si="134">SUM(Y114:Y115)</f>
        <v>0</v>
      </c>
      <c r="Z113" s="326"/>
    </row>
    <row r="114" spans="1:26" ht="14.1" customHeight="1">
      <c r="A114" s="348"/>
      <c r="B114" s="348" t="s">
        <v>762</v>
      </c>
      <c r="C114" s="349" t="s">
        <v>927</v>
      </c>
      <c r="D114" s="350"/>
      <c r="E114" s="350">
        <f t="shared" ref="E114:E115" si="135">G114+K114+M114+Q114+S114</f>
        <v>0</v>
      </c>
      <c r="F114" s="351">
        <f>H114+L114+N114</f>
        <v>0</v>
      </c>
      <c r="G114" s="350">
        <v>0</v>
      </c>
      <c r="H114" s="351"/>
      <c r="I114" s="351"/>
      <c r="J114" s="351"/>
      <c r="K114" s="350">
        <v>0</v>
      </c>
      <c r="L114" s="351"/>
      <c r="M114" s="350">
        <f>'[2]MMMH reszletes'!H209/1000</f>
        <v>0</v>
      </c>
      <c r="N114" s="351"/>
      <c r="O114" s="351"/>
      <c r="P114" s="351"/>
      <c r="Q114" s="350">
        <v>0</v>
      </c>
      <c r="R114" s="351"/>
      <c r="S114" s="350">
        <v>0</v>
      </c>
      <c r="T114" s="351"/>
      <c r="U114" s="351"/>
      <c r="V114" s="351"/>
      <c r="W114" s="351"/>
      <c r="X114" s="351"/>
      <c r="Y114" s="350">
        <v>0</v>
      </c>
      <c r="Z114" s="351"/>
    </row>
    <row r="115" spans="1:26" ht="14.1" customHeight="1">
      <c r="A115" s="348"/>
      <c r="B115" s="348" t="s">
        <v>764</v>
      </c>
      <c r="C115" s="349" t="s">
        <v>928</v>
      </c>
      <c r="D115" s="350"/>
      <c r="E115" s="350">
        <f t="shared" si="135"/>
        <v>0</v>
      </c>
      <c r="F115" s="351">
        <f>H115+L115+N115</f>
        <v>0</v>
      </c>
      <c r="G115" s="350">
        <v>0</v>
      </c>
      <c r="H115" s="351"/>
      <c r="I115" s="351"/>
      <c r="J115" s="351"/>
      <c r="K115" s="350">
        <v>0</v>
      </c>
      <c r="L115" s="351"/>
      <c r="M115" s="350">
        <f>'[2]MMMH reszletes'!H212/1000</f>
        <v>0</v>
      </c>
      <c r="N115" s="351"/>
      <c r="O115" s="351"/>
      <c r="P115" s="351"/>
      <c r="Q115" s="350">
        <v>0</v>
      </c>
      <c r="R115" s="351"/>
      <c r="S115" s="350">
        <v>0</v>
      </c>
      <c r="T115" s="351"/>
      <c r="U115" s="351"/>
      <c r="V115" s="351"/>
      <c r="W115" s="351"/>
      <c r="X115" s="351"/>
      <c r="Y115" s="350">
        <v>0</v>
      </c>
      <c r="Z115" s="351"/>
    </row>
    <row r="116" spans="1:26" s="317" customFormat="1" ht="14.1" customHeight="1">
      <c r="A116" s="322" t="s">
        <v>252</v>
      </c>
      <c r="B116" s="322" t="s">
        <v>774</v>
      </c>
      <c r="C116" s="323" t="s">
        <v>253</v>
      </c>
      <c r="D116" s="326">
        <f>SUM(D117:D119)</f>
        <v>0</v>
      </c>
      <c r="E116" s="326">
        <f>SUM(E117:E119)</f>
        <v>3000</v>
      </c>
      <c r="F116" s="326">
        <f>SUM(F117:F119)</f>
        <v>0</v>
      </c>
      <c r="G116" s="326">
        <f t="shared" ref="G116:M116" si="136">SUM(G117:G119)</f>
        <v>3000</v>
      </c>
      <c r="H116" s="326"/>
      <c r="I116" s="326"/>
      <c r="J116" s="326"/>
      <c r="K116" s="326">
        <f t="shared" si="136"/>
        <v>0</v>
      </c>
      <c r="L116" s="326"/>
      <c r="M116" s="326">
        <f t="shared" si="136"/>
        <v>0</v>
      </c>
      <c r="N116" s="326"/>
      <c r="O116" s="326"/>
      <c r="P116" s="326"/>
      <c r="Q116" s="326">
        <f t="shared" ref="Q116" si="137">SUM(Q117:Q119)</f>
        <v>0</v>
      </c>
      <c r="R116" s="326"/>
      <c r="S116" s="326">
        <f t="shared" ref="S116" si="138">SUM(S117:S119)</f>
        <v>0</v>
      </c>
      <c r="T116" s="326"/>
      <c r="U116" s="326"/>
      <c r="V116" s="326"/>
      <c r="W116" s="326"/>
      <c r="X116" s="326"/>
      <c r="Y116" s="326">
        <f t="shared" ref="Y116" si="139">SUM(Y117:Y119)</f>
        <v>0</v>
      </c>
      <c r="Z116" s="326"/>
    </row>
    <row r="117" spans="1:26" ht="14.1" customHeight="1">
      <c r="A117" s="348"/>
      <c r="B117" s="348" t="s">
        <v>768</v>
      </c>
      <c r="C117" s="349" t="s">
        <v>769</v>
      </c>
      <c r="D117" s="350"/>
      <c r="E117" s="350">
        <f t="shared" ref="E117:E119" si="140">G117+K117+M117+Q117+S117</f>
        <v>0</v>
      </c>
      <c r="F117" s="351">
        <f t="shared" ref="F117:F119" si="141">H117+L117+N117</f>
        <v>0</v>
      </c>
      <c r="G117" s="350">
        <v>0</v>
      </c>
      <c r="H117" s="351"/>
      <c r="I117" s="351"/>
      <c r="J117" s="351"/>
      <c r="K117" s="350">
        <f>'[2]MMMH reszletes'!F216/1000</f>
        <v>0</v>
      </c>
      <c r="L117" s="351"/>
      <c r="M117" s="350">
        <f>'[2]MMMH reszletes'!H216/1000</f>
        <v>0</v>
      </c>
      <c r="N117" s="351"/>
      <c r="O117" s="351"/>
      <c r="P117" s="351"/>
      <c r="Q117" s="350">
        <v>0</v>
      </c>
      <c r="R117" s="351"/>
      <c r="S117" s="350">
        <v>0</v>
      </c>
      <c r="T117" s="351"/>
      <c r="U117" s="351"/>
      <c r="V117" s="351"/>
      <c r="W117" s="351"/>
      <c r="X117" s="351"/>
      <c r="Y117" s="350">
        <v>0</v>
      </c>
      <c r="Z117" s="351"/>
    </row>
    <row r="118" spans="1:26" ht="14.1" customHeight="1">
      <c r="A118" s="348"/>
      <c r="B118" s="348" t="s">
        <v>770</v>
      </c>
      <c r="C118" s="349" t="s">
        <v>929</v>
      </c>
      <c r="D118" s="350"/>
      <c r="E118" s="350">
        <f t="shared" si="140"/>
        <v>0</v>
      </c>
      <c r="F118" s="351">
        <f t="shared" si="141"/>
        <v>0</v>
      </c>
      <c r="G118" s="350">
        <v>0</v>
      </c>
      <c r="H118" s="351"/>
      <c r="I118" s="351"/>
      <c r="J118" s="351"/>
      <c r="K118" s="350">
        <f>'[2]MMMH reszletes'!F219/1000</f>
        <v>0</v>
      </c>
      <c r="L118" s="351"/>
      <c r="M118" s="350">
        <v>0</v>
      </c>
      <c r="N118" s="351"/>
      <c r="O118" s="351"/>
      <c r="P118" s="351"/>
      <c r="Q118" s="350">
        <v>0</v>
      </c>
      <c r="R118" s="351"/>
      <c r="S118" s="350">
        <v>0</v>
      </c>
      <c r="T118" s="351"/>
      <c r="U118" s="351"/>
      <c r="V118" s="351"/>
      <c r="W118" s="351"/>
      <c r="X118" s="351"/>
      <c r="Y118" s="350">
        <v>0</v>
      </c>
      <c r="Z118" s="351"/>
    </row>
    <row r="119" spans="1:26" ht="14.1" customHeight="1">
      <c r="A119" s="348"/>
      <c r="B119" s="348" t="s">
        <v>772</v>
      </c>
      <c r="C119" s="349" t="s">
        <v>773</v>
      </c>
      <c r="D119" s="350"/>
      <c r="E119" s="350">
        <f t="shared" si="140"/>
        <v>3000</v>
      </c>
      <c r="F119" s="351">
        <f t="shared" si="141"/>
        <v>0</v>
      </c>
      <c r="G119" s="350">
        <f>3000</f>
        <v>3000</v>
      </c>
      <c r="H119" s="351"/>
      <c r="I119" s="351"/>
      <c r="J119" s="351"/>
      <c r="K119" s="350">
        <f>'[2]MMMH reszletes'!F232/1000</f>
        <v>0</v>
      </c>
      <c r="L119" s="351"/>
      <c r="M119" s="350">
        <v>0</v>
      </c>
      <c r="N119" s="351"/>
      <c r="O119" s="351"/>
      <c r="P119" s="351"/>
      <c r="Q119" s="350">
        <v>0</v>
      </c>
      <c r="R119" s="351"/>
      <c r="S119" s="350">
        <v>0</v>
      </c>
      <c r="T119" s="351"/>
      <c r="U119" s="351"/>
      <c r="V119" s="351"/>
      <c r="W119" s="351"/>
      <c r="X119" s="351"/>
      <c r="Y119" s="350">
        <v>0</v>
      </c>
      <c r="Z119" s="351"/>
    </row>
    <row r="120" spans="1:26" s="317" customFormat="1" ht="14.1" customHeight="1">
      <c r="A120" s="322" t="s">
        <v>254</v>
      </c>
      <c r="B120" s="322" t="s">
        <v>784</v>
      </c>
      <c r="C120" s="323" t="s">
        <v>785</v>
      </c>
      <c r="D120" s="326">
        <f>SUM(D121:D124)</f>
        <v>0</v>
      </c>
      <c r="E120" s="326">
        <f>SUM(E121:E124)</f>
        <v>37150</v>
      </c>
      <c r="F120" s="326">
        <f>SUM(F121:F124)</f>
        <v>0</v>
      </c>
      <c r="G120" s="326">
        <f t="shared" ref="G120:M120" si="142">SUM(G121:G124)</f>
        <v>36250</v>
      </c>
      <c r="H120" s="326"/>
      <c r="I120" s="326"/>
      <c r="J120" s="326"/>
      <c r="K120" s="326">
        <f t="shared" si="142"/>
        <v>0</v>
      </c>
      <c r="L120" s="326"/>
      <c r="M120" s="326">
        <f t="shared" si="142"/>
        <v>0</v>
      </c>
      <c r="N120" s="326"/>
      <c r="O120" s="326"/>
      <c r="P120" s="326"/>
      <c r="Q120" s="326">
        <f t="shared" ref="Q120" si="143">SUM(Q121:Q124)</f>
        <v>800</v>
      </c>
      <c r="R120" s="326"/>
      <c r="S120" s="326">
        <f t="shared" ref="S120" si="144">SUM(S121:S124)</f>
        <v>100</v>
      </c>
      <c r="T120" s="326"/>
      <c r="U120" s="326"/>
      <c r="V120" s="326"/>
      <c r="W120" s="326"/>
      <c r="X120" s="326"/>
      <c r="Y120" s="326">
        <f t="shared" ref="Y120" si="145">SUM(Y121:Y124)</f>
        <v>0</v>
      </c>
      <c r="Z120" s="326"/>
    </row>
    <row r="121" spans="1:26" ht="14.1" customHeight="1">
      <c r="A121" s="348"/>
      <c r="B121" s="348" t="s">
        <v>776</v>
      </c>
      <c r="C121" s="349" t="s">
        <v>777</v>
      </c>
      <c r="D121" s="350"/>
      <c r="E121" s="350">
        <f t="shared" ref="E121:E124" si="146">G121+K121+M121+Q121+S121</f>
        <v>0</v>
      </c>
      <c r="F121" s="351">
        <f t="shared" ref="F121:F124" si="147">H121+L121+N121</f>
        <v>0</v>
      </c>
      <c r="G121" s="350">
        <v>0</v>
      </c>
      <c r="H121" s="351"/>
      <c r="I121" s="351"/>
      <c r="J121" s="351"/>
      <c r="K121" s="350">
        <f>'[2]MMMH reszletes'!F247/1000</f>
        <v>0</v>
      </c>
      <c r="L121" s="351"/>
      <c r="M121" s="350">
        <f>'[2]MMMH reszletes'!H247/1000</f>
        <v>0</v>
      </c>
      <c r="N121" s="351"/>
      <c r="O121" s="351"/>
      <c r="P121" s="351"/>
      <c r="Q121" s="350">
        <v>0</v>
      </c>
      <c r="R121" s="351"/>
      <c r="S121" s="350">
        <v>0</v>
      </c>
      <c r="T121" s="351"/>
      <c r="U121" s="351"/>
      <c r="V121" s="351"/>
      <c r="W121" s="351"/>
      <c r="X121" s="351"/>
      <c r="Y121" s="350">
        <v>0</v>
      </c>
      <c r="Z121" s="351"/>
    </row>
    <row r="122" spans="1:26" ht="14.1" customHeight="1">
      <c r="A122" s="348"/>
      <c r="B122" s="348" t="s">
        <v>778</v>
      </c>
      <c r="C122" s="349" t="s">
        <v>779</v>
      </c>
      <c r="D122" s="350"/>
      <c r="E122" s="350">
        <f t="shared" si="146"/>
        <v>600</v>
      </c>
      <c r="F122" s="351">
        <f t="shared" si="147"/>
        <v>0</v>
      </c>
      <c r="G122" s="350">
        <f>600</f>
        <v>600</v>
      </c>
      <c r="H122" s="351"/>
      <c r="I122" s="351"/>
      <c r="J122" s="351"/>
      <c r="K122" s="350">
        <v>0</v>
      </c>
      <c r="L122" s="351"/>
      <c r="M122" s="350">
        <f>'[2]MMMH reszletes'!H248/1000</f>
        <v>0</v>
      </c>
      <c r="N122" s="351"/>
      <c r="O122" s="351"/>
      <c r="P122" s="351"/>
      <c r="Q122" s="350">
        <v>0</v>
      </c>
      <c r="R122" s="351"/>
      <c r="S122" s="350">
        <v>0</v>
      </c>
      <c r="T122" s="351"/>
      <c r="U122" s="351"/>
      <c r="V122" s="351"/>
      <c r="W122" s="351"/>
      <c r="X122" s="351"/>
      <c r="Y122" s="350">
        <v>0</v>
      </c>
      <c r="Z122" s="351"/>
    </row>
    <row r="123" spans="1:26" ht="14.1" customHeight="1">
      <c r="A123" s="348"/>
      <c r="B123" s="348" t="s">
        <v>780</v>
      </c>
      <c r="C123" s="349" t="s">
        <v>781</v>
      </c>
      <c r="D123" s="350"/>
      <c r="E123" s="350">
        <f t="shared" si="146"/>
        <v>0</v>
      </c>
      <c r="F123" s="351">
        <f t="shared" si="147"/>
        <v>0</v>
      </c>
      <c r="G123" s="350">
        <v>0</v>
      </c>
      <c r="H123" s="351"/>
      <c r="I123" s="351"/>
      <c r="J123" s="351"/>
      <c r="K123" s="350">
        <v>0</v>
      </c>
      <c r="L123" s="351"/>
      <c r="M123" s="350">
        <f>'[2]MMMH reszletes'!H250/1000</f>
        <v>0</v>
      </c>
      <c r="N123" s="351"/>
      <c r="O123" s="351"/>
      <c r="P123" s="351"/>
      <c r="Q123" s="350">
        <v>0</v>
      </c>
      <c r="R123" s="351"/>
      <c r="S123" s="350">
        <v>0</v>
      </c>
      <c r="T123" s="351"/>
      <c r="U123" s="351"/>
      <c r="V123" s="351"/>
      <c r="W123" s="351"/>
      <c r="X123" s="351"/>
      <c r="Y123" s="350">
        <v>0</v>
      </c>
      <c r="Z123" s="351"/>
    </row>
    <row r="124" spans="1:26" ht="14.1" customHeight="1">
      <c r="A124" s="348"/>
      <c r="B124" s="348" t="s">
        <v>782</v>
      </c>
      <c r="C124" s="349" t="s">
        <v>930</v>
      </c>
      <c r="D124" s="350"/>
      <c r="E124" s="350">
        <f t="shared" si="146"/>
        <v>36550</v>
      </c>
      <c r="F124" s="351">
        <f t="shared" si="147"/>
        <v>0</v>
      </c>
      <c r="G124" s="350">
        <f>8600+4600+450+22000</f>
        <v>35650</v>
      </c>
      <c r="H124" s="351"/>
      <c r="I124" s="351"/>
      <c r="J124" s="351"/>
      <c r="K124" s="350">
        <v>0</v>
      </c>
      <c r="L124" s="351"/>
      <c r="M124" s="350">
        <f>'[2]MMMH reszletes'!H255/1000</f>
        <v>0</v>
      </c>
      <c r="N124" s="351"/>
      <c r="O124" s="351"/>
      <c r="P124" s="351"/>
      <c r="Q124" s="350">
        <v>800</v>
      </c>
      <c r="R124" s="351"/>
      <c r="S124" s="350">
        <v>100</v>
      </c>
      <c r="T124" s="351"/>
      <c r="U124" s="351"/>
      <c r="V124" s="351"/>
      <c r="W124" s="351"/>
      <c r="X124" s="351"/>
      <c r="Y124" s="350">
        <v>0</v>
      </c>
      <c r="Z124" s="351"/>
    </row>
    <row r="125" spans="1:26" s="317" customFormat="1" ht="14.1" customHeight="1">
      <c r="A125" s="335" t="s">
        <v>256</v>
      </c>
      <c r="B125" s="335" t="s">
        <v>786</v>
      </c>
      <c r="C125" s="336" t="s">
        <v>787</v>
      </c>
      <c r="D125" s="339">
        <f>D103+D108+D109+D112+D113+D116+D120</f>
        <v>0</v>
      </c>
      <c r="E125" s="339">
        <f>E103+E108+E109+E112+E113+E116+E120</f>
        <v>86350</v>
      </c>
      <c r="F125" s="339">
        <f>F103+F108+F109+F112+F113+F116+F120</f>
        <v>0</v>
      </c>
      <c r="G125" s="339">
        <f t="shared" ref="G125:M125" si="148">G103+G108+G109+G112+G113+G116+G120</f>
        <v>84650</v>
      </c>
      <c r="H125" s="339"/>
      <c r="I125" s="339"/>
      <c r="J125" s="339"/>
      <c r="K125" s="339">
        <f t="shared" si="148"/>
        <v>0</v>
      </c>
      <c r="L125" s="339"/>
      <c r="M125" s="339">
        <f t="shared" si="148"/>
        <v>0</v>
      </c>
      <c r="N125" s="339"/>
      <c r="O125" s="339"/>
      <c r="P125" s="339"/>
      <c r="Q125" s="339">
        <f t="shared" ref="Q125" si="149">Q103+Q108+Q109+Q112+Q113+Q116+Q120</f>
        <v>1400</v>
      </c>
      <c r="R125" s="339"/>
      <c r="S125" s="339">
        <f t="shared" ref="S125" si="150">S103+S108+S109+S112+S113+S116+S120</f>
        <v>300</v>
      </c>
      <c r="T125" s="339"/>
      <c r="U125" s="339"/>
      <c r="V125" s="339"/>
      <c r="W125" s="339"/>
      <c r="X125" s="339"/>
      <c r="Y125" s="339">
        <f t="shared" ref="Y125" si="151">Y103+Y108+Y109+Y112+Y113+Y116+Y120</f>
        <v>0</v>
      </c>
      <c r="Z125" s="339"/>
    </row>
    <row r="126" spans="1:26" s="317" customFormat="1" ht="14.1" customHeight="1">
      <c r="A126" s="322" t="s">
        <v>258</v>
      </c>
      <c r="B126" s="322" t="s">
        <v>792</v>
      </c>
      <c r="C126" s="323" t="s">
        <v>793</v>
      </c>
      <c r="D126" s="326">
        <f>SUM(D127:D128)</f>
        <v>0</v>
      </c>
      <c r="E126" s="326">
        <f>SUM(E127:E128)</f>
        <v>760</v>
      </c>
      <c r="F126" s="326">
        <f>SUM(F127:F128)</f>
        <v>0</v>
      </c>
      <c r="G126" s="326">
        <f t="shared" ref="G126:M126" si="152">SUM(G127:G128)</f>
        <v>700</v>
      </c>
      <c r="H126" s="326"/>
      <c r="I126" s="326"/>
      <c r="J126" s="326"/>
      <c r="K126" s="326">
        <f t="shared" si="152"/>
        <v>0</v>
      </c>
      <c r="L126" s="326"/>
      <c r="M126" s="326">
        <f t="shared" si="152"/>
        <v>0</v>
      </c>
      <c r="N126" s="326"/>
      <c r="O126" s="326"/>
      <c r="P126" s="326"/>
      <c r="Q126" s="326">
        <f t="shared" ref="Q126" si="153">SUM(Q127:Q128)</f>
        <v>60</v>
      </c>
      <c r="R126" s="326"/>
      <c r="S126" s="326">
        <f t="shared" ref="S126" si="154">SUM(S127:S128)</f>
        <v>0</v>
      </c>
      <c r="T126" s="326"/>
      <c r="U126" s="326"/>
      <c r="V126" s="326"/>
      <c r="W126" s="326"/>
      <c r="X126" s="326"/>
      <c r="Y126" s="326">
        <f t="shared" ref="Y126" si="155">SUM(Y127:Y128)</f>
        <v>0</v>
      </c>
      <c r="Z126" s="326"/>
    </row>
    <row r="127" spans="1:26" ht="14.1" customHeight="1">
      <c r="A127" s="348"/>
      <c r="B127" s="348" t="s">
        <v>788</v>
      </c>
      <c r="C127" s="349" t="s">
        <v>789</v>
      </c>
      <c r="D127" s="350"/>
      <c r="E127" s="350">
        <f t="shared" ref="E127:E128" si="156">G127+K127+M127+Q127+S127</f>
        <v>560</v>
      </c>
      <c r="F127" s="351">
        <f t="shared" ref="F127:F129" si="157">H127+L127+N127</f>
        <v>0</v>
      </c>
      <c r="G127" s="350">
        <v>500</v>
      </c>
      <c r="H127" s="351"/>
      <c r="I127" s="351"/>
      <c r="J127" s="351"/>
      <c r="K127" s="350">
        <v>0</v>
      </c>
      <c r="L127" s="351"/>
      <c r="M127" s="350">
        <f>'[2]MMMH reszletes'!H275/1000</f>
        <v>0</v>
      </c>
      <c r="N127" s="351"/>
      <c r="O127" s="351"/>
      <c r="P127" s="351"/>
      <c r="Q127" s="350">
        <v>60</v>
      </c>
      <c r="R127" s="351"/>
      <c r="S127" s="350">
        <v>0</v>
      </c>
      <c r="T127" s="351"/>
      <c r="U127" s="351"/>
      <c r="V127" s="351"/>
      <c r="W127" s="351"/>
      <c r="X127" s="351"/>
      <c r="Y127" s="350">
        <v>0</v>
      </c>
      <c r="Z127" s="351"/>
    </row>
    <row r="128" spans="1:26" ht="14.1" customHeight="1">
      <c r="A128" s="348"/>
      <c r="B128" s="348" t="s">
        <v>790</v>
      </c>
      <c r="C128" s="349" t="s">
        <v>791</v>
      </c>
      <c r="D128" s="350"/>
      <c r="E128" s="350">
        <f t="shared" si="156"/>
        <v>200</v>
      </c>
      <c r="F128" s="351">
        <f t="shared" si="157"/>
        <v>0</v>
      </c>
      <c r="G128" s="350">
        <v>200</v>
      </c>
      <c r="H128" s="351"/>
      <c r="I128" s="351"/>
      <c r="J128" s="351"/>
      <c r="K128" s="350">
        <f>'[2]MMMH reszletes'!F280/1000</f>
        <v>0</v>
      </c>
      <c r="L128" s="351"/>
      <c r="M128" s="350">
        <f>'[2]MMMH reszletes'!H280/1000</f>
        <v>0</v>
      </c>
      <c r="N128" s="351"/>
      <c r="O128" s="351"/>
      <c r="P128" s="351"/>
      <c r="Q128" s="350">
        <v>0</v>
      </c>
      <c r="R128" s="351"/>
      <c r="S128" s="350">
        <v>0</v>
      </c>
      <c r="T128" s="351"/>
      <c r="U128" s="351"/>
      <c r="V128" s="351"/>
      <c r="W128" s="351"/>
      <c r="X128" s="351"/>
      <c r="Y128" s="350">
        <v>0</v>
      </c>
      <c r="Z128" s="351"/>
    </row>
    <row r="129" spans="1:26" s="317" customFormat="1" ht="14.1" customHeight="1">
      <c r="A129" s="322" t="s">
        <v>260</v>
      </c>
      <c r="B129" s="322" t="s">
        <v>794</v>
      </c>
      <c r="C129" s="323" t="s">
        <v>931</v>
      </c>
      <c r="D129" s="326">
        <v>0</v>
      </c>
      <c r="E129" s="326">
        <f>G129+K129+M129+Q129+S129</f>
        <v>0</v>
      </c>
      <c r="F129" s="326">
        <f t="shared" si="157"/>
        <v>0</v>
      </c>
      <c r="G129" s="326">
        <v>0</v>
      </c>
      <c r="H129" s="326"/>
      <c r="I129" s="326"/>
      <c r="J129" s="326"/>
      <c r="K129" s="326">
        <f>'[2]MMMH reszletes'!F281/1000</f>
        <v>0</v>
      </c>
      <c r="L129" s="326"/>
      <c r="M129" s="326">
        <f>'[2]MMMH reszletes'!H281/1000</f>
        <v>0</v>
      </c>
      <c r="N129" s="326"/>
      <c r="O129" s="326"/>
      <c r="P129" s="326"/>
      <c r="Q129" s="326">
        <v>0</v>
      </c>
      <c r="R129" s="326"/>
      <c r="S129" s="326">
        <v>0</v>
      </c>
      <c r="T129" s="326"/>
      <c r="U129" s="326"/>
      <c r="V129" s="326"/>
      <c r="W129" s="326"/>
      <c r="X129" s="326"/>
      <c r="Y129" s="326">
        <v>0</v>
      </c>
      <c r="Z129" s="326"/>
    </row>
    <row r="130" spans="1:26" s="317" customFormat="1" ht="14.1" customHeight="1">
      <c r="A130" s="335" t="s">
        <v>262</v>
      </c>
      <c r="B130" s="335" t="s">
        <v>795</v>
      </c>
      <c r="C130" s="336" t="s">
        <v>796</v>
      </c>
      <c r="D130" s="339">
        <f>D126+D129</f>
        <v>0</v>
      </c>
      <c r="E130" s="339">
        <f>E126+E129</f>
        <v>760</v>
      </c>
      <c r="F130" s="339">
        <f>F126+F129</f>
        <v>0</v>
      </c>
      <c r="G130" s="339">
        <f t="shared" ref="G130:M130" si="158">G126+G129</f>
        <v>700</v>
      </c>
      <c r="H130" s="339"/>
      <c r="I130" s="339"/>
      <c r="J130" s="339"/>
      <c r="K130" s="339">
        <f t="shared" si="158"/>
        <v>0</v>
      </c>
      <c r="L130" s="339"/>
      <c r="M130" s="339">
        <f t="shared" si="158"/>
        <v>0</v>
      </c>
      <c r="N130" s="339"/>
      <c r="O130" s="339"/>
      <c r="P130" s="339"/>
      <c r="Q130" s="339">
        <f t="shared" ref="Q130" si="159">Q126+Q129</f>
        <v>60</v>
      </c>
      <c r="R130" s="339"/>
      <c r="S130" s="339">
        <f t="shared" ref="S130" si="160">S126+S129</f>
        <v>0</v>
      </c>
      <c r="T130" s="339"/>
      <c r="U130" s="339"/>
      <c r="V130" s="339"/>
      <c r="W130" s="339"/>
      <c r="X130" s="339"/>
      <c r="Y130" s="339">
        <f t="shared" ref="Y130" si="161">Y126+Y129</f>
        <v>0</v>
      </c>
      <c r="Z130" s="339"/>
    </row>
    <row r="131" spans="1:26" s="317" customFormat="1" ht="14.1" customHeight="1">
      <c r="A131" s="322" t="s">
        <v>264</v>
      </c>
      <c r="B131" s="322" t="s">
        <v>801</v>
      </c>
      <c r="C131" s="323" t="s">
        <v>932</v>
      </c>
      <c r="D131" s="326">
        <f>SUM(D132:D133)</f>
        <v>0</v>
      </c>
      <c r="E131" s="326">
        <f>SUM(E132:E133)</f>
        <v>31763</v>
      </c>
      <c r="F131" s="326">
        <f>SUM(F132:F133)</f>
        <v>0</v>
      </c>
      <c r="G131" s="326">
        <f t="shared" ref="G131:M131" si="162">SUM(G132:G133)</f>
        <v>30456</v>
      </c>
      <c r="H131" s="326"/>
      <c r="I131" s="326"/>
      <c r="J131" s="326"/>
      <c r="K131" s="326">
        <f t="shared" si="162"/>
        <v>0</v>
      </c>
      <c r="L131" s="326"/>
      <c r="M131" s="326">
        <f t="shared" si="162"/>
        <v>0</v>
      </c>
      <c r="N131" s="326"/>
      <c r="O131" s="326"/>
      <c r="P131" s="326"/>
      <c r="Q131" s="326">
        <f t="shared" ref="Q131" si="163">SUM(Q132:Q133)</f>
        <v>967</v>
      </c>
      <c r="R131" s="326"/>
      <c r="S131" s="326">
        <f t="shared" ref="S131" si="164">SUM(S132:S133)</f>
        <v>340</v>
      </c>
      <c r="T131" s="326"/>
      <c r="U131" s="326"/>
      <c r="V131" s="326"/>
      <c r="W131" s="326"/>
      <c r="X131" s="326"/>
      <c r="Y131" s="326">
        <f t="shared" ref="Y131" si="165">SUM(Y132:Y133)</f>
        <v>0</v>
      </c>
      <c r="Z131" s="326"/>
    </row>
    <row r="132" spans="1:26" ht="14.1" customHeight="1">
      <c r="A132" s="348"/>
      <c r="B132" s="348" t="s">
        <v>797</v>
      </c>
      <c r="C132" s="349" t="s">
        <v>933</v>
      </c>
      <c r="D132" s="350"/>
      <c r="E132" s="350">
        <f t="shared" ref="E132:E133" si="166">G132+K132+M132+Q132+S132</f>
        <v>0</v>
      </c>
      <c r="F132" s="351">
        <f>H132+L132+N132</f>
        <v>0</v>
      </c>
      <c r="G132" s="350">
        <v>0</v>
      </c>
      <c r="H132" s="351"/>
      <c r="I132" s="351"/>
      <c r="J132" s="351"/>
      <c r="K132" s="350">
        <v>0</v>
      </c>
      <c r="L132" s="351"/>
      <c r="M132" s="350">
        <v>0</v>
      </c>
      <c r="N132" s="351"/>
      <c r="O132" s="351"/>
      <c r="P132" s="351"/>
      <c r="Q132" s="350">
        <v>0</v>
      </c>
      <c r="R132" s="351"/>
      <c r="S132" s="350">
        <v>0</v>
      </c>
      <c r="T132" s="351"/>
      <c r="U132" s="351"/>
      <c r="V132" s="351"/>
      <c r="W132" s="351"/>
      <c r="X132" s="351"/>
      <c r="Y132" s="350">
        <v>0</v>
      </c>
      <c r="Z132" s="351"/>
    </row>
    <row r="133" spans="1:26" ht="14.1" customHeight="1">
      <c r="A133" s="348"/>
      <c r="B133" s="348" t="s">
        <v>799</v>
      </c>
      <c r="C133" s="349" t="s">
        <v>934</v>
      </c>
      <c r="D133" s="350"/>
      <c r="E133" s="350">
        <f t="shared" si="166"/>
        <v>31763</v>
      </c>
      <c r="F133" s="351">
        <f>H133+L133+N133</f>
        <v>0</v>
      </c>
      <c r="G133" s="350">
        <f>ROUND((G91+G102+G125+G129)*0.27,0)</f>
        <v>30456</v>
      </c>
      <c r="H133" s="351"/>
      <c r="I133" s="351"/>
      <c r="J133" s="351"/>
      <c r="K133" s="350">
        <f>ROUND((K91+K102+K125+K129)*0.27,0)</f>
        <v>0</v>
      </c>
      <c r="L133" s="351"/>
      <c r="M133" s="350">
        <f>ROUND((M91+M102+M125+M129)*0.27,0)</f>
        <v>0</v>
      </c>
      <c r="N133" s="351"/>
      <c r="O133" s="351"/>
      <c r="P133" s="351"/>
      <c r="Q133" s="350">
        <f>ROUND((Q91+Q102+Q125+Q129)*0.27,0)</f>
        <v>967</v>
      </c>
      <c r="R133" s="351"/>
      <c r="S133" s="350">
        <f>ROUND((S91+S102+S125+S129)*0.27,0)</f>
        <v>340</v>
      </c>
      <c r="T133" s="351"/>
      <c r="U133" s="351"/>
      <c r="V133" s="351"/>
      <c r="W133" s="351"/>
      <c r="X133" s="351"/>
      <c r="Y133" s="350">
        <f>ROUND((Y91+Y102+Y125+Y129)*0.27,0)</f>
        <v>0</v>
      </c>
      <c r="Z133" s="351"/>
    </row>
    <row r="134" spans="1:26" s="317" customFormat="1" ht="14.1" customHeight="1">
      <c r="A134" s="322" t="s">
        <v>266</v>
      </c>
      <c r="B134" s="322" t="s">
        <v>809</v>
      </c>
      <c r="C134" s="323" t="s">
        <v>935</v>
      </c>
      <c r="D134" s="326">
        <f>SUM(D135:D137)</f>
        <v>0</v>
      </c>
      <c r="E134" s="326">
        <f>SUM(E135:E137)</f>
        <v>0</v>
      </c>
      <c r="F134" s="326">
        <f>SUM(F135:F137)</f>
        <v>0</v>
      </c>
      <c r="G134" s="326">
        <f t="shared" ref="G134:M134" si="167">SUM(G135:G137)</f>
        <v>0</v>
      </c>
      <c r="H134" s="326"/>
      <c r="I134" s="326"/>
      <c r="J134" s="326"/>
      <c r="K134" s="326">
        <f t="shared" si="167"/>
        <v>0</v>
      </c>
      <c r="L134" s="326"/>
      <c r="M134" s="326">
        <f t="shared" si="167"/>
        <v>0</v>
      </c>
      <c r="N134" s="326"/>
      <c r="O134" s="326"/>
      <c r="P134" s="326"/>
      <c r="Q134" s="326">
        <f t="shared" ref="Q134" si="168">SUM(Q135:Q137)</f>
        <v>0</v>
      </c>
      <c r="R134" s="326"/>
      <c r="S134" s="326">
        <f t="shared" ref="S134" si="169">SUM(S135:S137)</f>
        <v>0</v>
      </c>
      <c r="T134" s="326"/>
      <c r="U134" s="326"/>
      <c r="V134" s="326"/>
      <c r="W134" s="326"/>
      <c r="X134" s="326"/>
      <c r="Y134" s="326">
        <f t="shared" ref="Y134" si="170">SUM(Y135:Y137)</f>
        <v>0</v>
      </c>
      <c r="Z134" s="326"/>
    </row>
    <row r="135" spans="1:26" ht="14.1" customHeight="1">
      <c r="A135" s="348"/>
      <c r="B135" s="348" t="s">
        <v>803</v>
      </c>
      <c r="C135" s="349" t="s">
        <v>804</v>
      </c>
      <c r="D135" s="350"/>
      <c r="E135" s="350">
        <f t="shared" ref="E135:E137" si="171">G135+K135+M135+Q135+S135</f>
        <v>0</v>
      </c>
      <c r="F135" s="351">
        <f t="shared" ref="F135:F137" si="172">H135+L135+N135</f>
        <v>0</v>
      </c>
      <c r="G135" s="350">
        <v>0</v>
      </c>
      <c r="H135" s="351"/>
      <c r="I135" s="351"/>
      <c r="J135" s="351"/>
      <c r="K135" s="350">
        <f>'[2]MMMH reszletes'!F291/1000</f>
        <v>0</v>
      </c>
      <c r="L135" s="351"/>
      <c r="M135" s="350">
        <f>'[2]MMMH reszletes'!H291/1000</f>
        <v>0</v>
      </c>
      <c r="N135" s="351"/>
      <c r="O135" s="351"/>
      <c r="P135" s="351"/>
      <c r="Q135" s="350">
        <v>0</v>
      </c>
      <c r="R135" s="351"/>
      <c r="S135" s="350">
        <v>0</v>
      </c>
      <c r="T135" s="351"/>
      <c r="U135" s="351"/>
      <c r="V135" s="351"/>
      <c r="W135" s="351"/>
      <c r="X135" s="351"/>
      <c r="Y135" s="350">
        <v>0</v>
      </c>
      <c r="Z135" s="351"/>
    </row>
    <row r="136" spans="1:26" ht="14.1" customHeight="1">
      <c r="A136" s="348"/>
      <c r="B136" s="348" t="s">
        <v>805</v>
      </c>
      <c r="C136" s="349" t="s">
        <v>936</v>
      </c>
      <c r="D136" s="350"/>
      <c r="E136" s="350">
        <f t="shared" si="171"/>
        <v>0</v>
      </c>
      <c r="F136" s="351">
        <f t="shared" si="172"/>
        <v>0</v>
      </c>
      <c r="G136" s="350">
        <v>0</v>
      </c>
      <c r="H136" s="351"/>
      <c r="I136" s="351"/>
      <c r="J136" s="351"/>
      <c r="K136" s="350">
        <f>'[2]MMMH reszletes'!F292/1000</f>
        <v>0</v>
      </c>
      <c r="L136" s="351"/>
      <c r="M136" s="350">
        <f>'[2]MMMH reszletes'!H292/1000</f>
        <v>0</v>
      </c>
      <c r="N136" s="351"/>
      <c r="O136" s="351"/>
      <c r="P136" s="351"/>
      <c r="Q136" s="350">
        <v>0</v>
      </c>
      <c r="R136" s="351"/>
      <c r="S136" s="350">
        <v>0</v>
      </c>
      <c r="T136" s="351"/>
      <c r="U136" s="351"/>
      <c r="V136" s="351"/>
      <c r="W136" s="351"/>
      <c r="X136" s="351"/>
      <c r="Y136" s="350">
        <v>0</v>
      </c>
      <c r="Z136" s="351"/>
    </row>
    <row r="137" spans="1:26" ht="14.1" customHeight="1">
      <c r="A137" s="348"/>
      <c r="B137" s="348" t="s">
        <v>807</v>
      </c>
      <c r="C137" s="349" t="s">
        <v>937</v>
      </c>
      <c r="D137" s="350"/>
      <c r="E137" s="350">
        <f t="shared" si="171"/>
        <v>0</v>
      </c>
      <c r="F137" s="351">
        <f t="shared" si="172"/>
        <v>0</v>
      </c>
      <c r="G137" s="350">
        <v>0</v>
      </c>
      <c r="H137" s="351"/>
      <c r="I137" s="351"/>
      <c r="J137" s="351"/>
      <c r="K137" s="350">
        <f>'[2]MMMH reszletes'!F293/1000</f>
        <v>0</v>
      </c>
      <c r="L137" s="351"/>
      <c r="M137" s="350">
        <f>'[2]MMMH reszletes'!H293/1000</f>
        <v>0</v>
      </c>
      <c r="N137" s="351"/>
      <c r="O137" s="351"/>
      <c r="P137" s="351"/>
      <c r="Q137" s="350">
        <v>0</v>
      </c>
      <c r="R137" s="351"/>
      <c r="S137" s="350">
        <v>0</v>
      </c>
      <c r="T137" s="351"/>
      <c r="U137" s="351"/>
      <c r="V137" s="351"/>
      <c r="W137" s="351"/>
      <c r="X137" s="351"/>
      <c r="Y137" s="350">
        <v>0</v>
      </c>
      <c r="Z137" s="351"/>
    </row>
    <row r="138" spans="1:26" s="317" customFormat="1" ht="14.1" customHeight="1">
      <c r="A138" s="322" t="s">
        <v>268</v>
      </c>
      <c r="B138" s="322" t="s">
        <v>819</v>
      </c>
      <c r="C138" s="323" t="s">
        <v>269</v>
      </c>
      <c r="D138" s="326">
        <f>SUM(D139:D142)</f>
        <v>0</v>
      </c>
      <c r="E138" s="326">
        <f>SUM(E139:E142)</f>
        <v>0</v>
      </c>
      <c r="F138" s="326">
        <f>SUM(F139:F142)</f>
        <v>0</v>
      </c>
      <c r="G138" s="326">
        <f t="shared" ref="G138:M138" si="173">SUM(G139:G142)</f>
        <v>0</v>
      </c>
      <c r="H138" s="326"/>
      <c r="I138" s="326"/>
      <c r="J138" s="326"/>
      <c r="K138" s="326">
        <f t="shared" si="173"/>
        <v>0</v>
      </c>
      <c r="L138" s="326"/>
      <c r="M138" s="326">
        <f t="shared" si="173"/>
        <v>0</v>
      </c>
      <c r="N138" s="326"/>
      <c r="O138" s="326"/>
      <c r="P138" s="326"/>
      <c r="Q138" s="326">
        <f t="shared" ref="Q138" si="174">SUM(Q139:Q142)</f>
        <v>0</v>
      </c>
      <c r="R138" s="326"/>
      <c r="S138" s="326">
        <f t="shared" ref="S138" si="175">SUM(S139:S142)</f>
        <v>0</v>
      </c>
      <c r="T138" s="326"/>
      <c r="U138" s="326"/>
      <c r="V138" s="326"/>
      <c r="W138" s="326"/>
      <c r="X138" s="326"/>
      <c r="Y138" s="326">
        <f t="shared" ref="Y138" si="176">SUM(Y139:Y142)</f>
        <v>0</v>
      </c>
      <c r="Z138" s="326"/>
    </row>
    <row r="139" spans="1:26" ht="14.1" customHeight="1">
      <c r="A139" s="348"/>
      <c r="B139" s="348" t="s">
        <v>811</v>
      </c>
      <c r="C139" s="349" t="s">
        <v>812</v>
      </c>
      <c r="D139" s="350"/>
      <c r="E139" s="350">
        <f t="shared" ref="E139:E142" si="177">G139+K139+M139+Q139+S139</f>
        <v>0</v>
      </c>
      <c r="F139" s="351">
        <f t="shared" ref="F139:F142" si="178">H139+L139+N139</f>
        <v>0</v>
      </c>
      <c r="G139" s="350">
        <v>0</v>
      </c>
      <c r="H139" s="351"/>
      <c r="I139" s="351"/>
      <c r="J139" s="351"/>
      <c r="K139" s="350">
        <f>'[2]MMMH reszletes'!F295/1000</f>
        <v>0</v>
      </c>
      <c r="L139" s="351"/>
      <c r="M139" s="350">
        <f>'[2]MMMH reszletes'!H295/1000</f>
        <v>0</v>
      </c>
      <c r="N139" s="351"/>
      <c r="O139" s="351"/>
      <c r="P139" s="351"/>
      <c r="Q139" s="350">
        <v>0</v>
      </c>
      <c r="R139" s="351"/>
      <c r="S139" s="350">
        <v>0</v>
      </c>
      <c r="T139" s="351"/>
      <c r="U139" s="351"/>
      <c r="V139" s="351"/>
      <c r="W139" s="351"/>
      <c r="X139" s="351"/>
      <c r="Y139" s="350">
        <v>0</v>
      </c>
      <c r="Z139" s="351"/>
    </row>
    <row r="140" spans="1:26" ht="14.1" customHeight="1">
      <c r="A140" s="348"/>
      <c r="B140" s="348" t="s">
        <v>813</v>
      </c>
      <c r="C140" s="349" t="s">
        <v>814</v>
      </c>
      <c r="D140" s="350"/>
      <c r="E140" s="350">
        <f t="shared" si="177"/>
        <v>0</v>
      </c>
      <c r="F140" s="351">
        <f t="shared" si="178"/>
        <v>0</v>
      </c>
      <c r="G140" s="350">
        <v>0</v>
      </c>
      <c r="H140" s="351"/>
      <c r="I140" s="351"/>
      <c r="J140" s="351"/>
      <c r="K140" s="350">
        <f>'[2]MMMH reszletes'!F296/1000</f>
        <v>0</v>
      </c>
      <c r="L140" s="351"/>
      <c r="M140" s="350">
        <f>'[2]MMMH reszletes'!H296/1000</f>
        <v>0</v>
      </c>
      <c r="N140" s="351"/>
      <c r="O140" s="351"/>
      <c r="P140" s="351"/>
      <c r="Q140" s="350">
        <v>0</v>
      </c>
      <c r="R140" s="351"/>
      <c r="S140" s="350">
        <v>0</v>
      </c>
      <c r="T140" s="351"/>
      <c r="U140" s="351"/>
      <c r="V140" s="351"/>
      <c r="W140" s="351"/>
      <c r="X140" s="351"/>
      <c r="Y140" s="350">
        <v>0</v>
      </c>
      <c r="Z140" s="351"/>
    </row>
    <row r="141" spans="1:26" ht="14.1" customHeight="1">
      <c r="A141" s="348"/>
      <c r="B141" s="348" t="s">
        <v>815</v>
      </c>
      <c r="C141" s="349" t="s">
        <v>816</v>
      </c>
      <c r="D141" s="350"/>
      <c r="E141" s="350">
        <f t="shared" si="177"/>
        <v>0</v>
      </c>
      <c r="F141" s="351">
        <f t="shared" si="178"/>
        <v>0</v>
      </c>
      <c r="G141" s="350">
        <v>0</v>
      </c>
      <c r="H141" s="351"/>
      <c r="I141" s="351"/>
      <c r="J141" s="351"/>
      <c r="K141" s="350">
        <f>'[2]MMMH reszletes'!F297/1000</f>
        <v>0</v>
      </c>
      <c r="L141" s="351"/>
      <c r="M141" s="350">
        <f>'[2]MMMH reszletes'!H297/1000</f>
        <v>0</v>
      </c>
      <c r="N141" s="351"/>
      <c r="O141" s="351"/>
      <c r="P141" s="351"/>
      <c r="Q141" s="350">
        <v>0</v>
      </c>
      <c r="R141" s="351"/>
      <c r="S141" s="350">
        <v>0</v>
      </c>
      <c r="T141" s="351"/>
      <c r="U141" s="351"/>
      <c r="V141" s="351"/>
      <c r="W141" s="351"/>
      <c r="X141" s="351"/>
      <c r="Y141" s="350">
        <v>0</v>
      </c>
      <c r="Z141" s="351"/>
    </row>
    <row r="142" spans="1:26" ht="14.1" customHeight="1">
      <c r="A142" s="348"/>
      <c r="B142" s="348" t="s">
        <v>817</v>
      </c>
      <c r="C142" s="349" t="s">
        <v>818</v>
      </c>
      <c r="D142" s="350"/>
      <c r="E142" s="350">
        <f t="shared" si="177"/>
        <v>0</v>
      </c>
      <c r="F142" s="351">
        <f t="shared" si="178"/>
        <v>0</v>
      </c>
      <c r="G142" s="350">
        <v>0</v>
      </c>
      <c r="H142" s="351"/>
      <c r="I142" s="351"/>
      <c r="J142" s="351"/>
      <c r="K142" s="350">
        <f>'[2]MMMH reszletes'!F298/1000</f>
        <v>0</v>
      </c>
      <c r="L142" s="351"/>
      <c r="M142" s="350">
        <f>'[2]MMMH reszletes'!H298/1000</f>
        <v>0</v>
      </c>
      <c r="N142" s="351"/>
      <c r="O142" s="351"/>
      <c r="P142" s="351"/>
      <c r="Q142" s="350">
        <v>0</v>
      </c>
      <c r="R142" s="351"/>
      <c r="S142" s="350">
        <v>0</v>
      </c>
      <c r="T142" s="351"/>
      <c r="U142" s="351"/>
      <c r="V142" s="351"/>
      <c r="W142" s="351"/>
      <c r="X142" s="351"/>
      <c r="Y142" s="350">
        <v>0</v>
      </c>
      <c r="Z142" s="351"/>
    </row>
    <row r="143" spans="1:26" s="317" customFormat="1" ht="14.1" customHeight="1">
      <c r="A143" s="322" t="s">
        <v>270</v>
      </c>
      <c r="B143" s="322" t="s">
        <v>824</v>
      </c>
      <c r="C143" s="323" t="s">
        <v>271</v>
      </c>
      <c r="D143" s="326">
        <f>SUM(D144:D145)</f>
        <v>0</v>
      </c>
      <c r="E143" s="326">
        <f>SUM(E144:E145)</f>
        <v>0</v>
      </c>
      <c r="F143" s="326">
        <f>SUM(F144:F145)</f>
        <v>0</v>
      </c>
      <c r="G143" s="326">
        <f t="shared" ref="G143:M143" si="179">SUM(G144:G145)</f>
        <v>0</v>
      </c>
      <c r="H143" s="326"/>
      <c r="I143" s="326"/>
      <c r="J143" s="326"/>
      <c r="K143" s="326">
        <f t="shared" si="179"/>
        <v>0</v>
      </c>
      <c r="L143" s="326"/>
      <c r="M143" s="326">
        <f t="shared" si="179"/>
        <v>0</v>
      </c>
      <c r="N143" s="326"/>
      <c r="O143" s="326"/>
      <c r="P143" s="326"/>
      <c r="Q143" s="326">
        <f t="shared" ref="Q143" si="180">SUM(Q144:Q145)</f>
        <v>0</v>
      </c>
      <c r="R143" s="326"/>
      <c r="S143" s="326">
        <f t="shared" ref="S143" si="181">SUM(S144:S145)</f>
        <v>0</v>
      </c>
      <c r="T143" s="326"/>
      <c r="U143" s="326"/>
      <c r="V143" s="326"/>
      <c r="W143" s="326"/>
      <c r="X143" s="326"/>
      <c r="Y143" s="326">
        <f t="shared" ref="Y143" si="182">SUM(Y144:Y145)</f>
        <v>0</v>
      </c>
      <c r="Z143" s="326"/>
    </row>
    <row r="144" spans="1:26" ht="14.1" customHeight="1">
      <c r="A144" s="348"/>
      <c r="B144" s="348" t="s">
        <v>820</v>
      </c>
      <c r="C144" s="349" t="s">
        <v>821</v>
      </c>
      <c r="D144" s="350"/>
      <c r="E144" s="350">
        <f t="shared" ref="E144:E145" si="183">G144+K144+M144+Q144+S144</f>
        <v>0</v>
      </c>
      <c r="F144" s="351">
        <f>H144+L144+N144</f>
        <v>0</v>
      </c>
      <c r="G144" s="350">
        <v>0</v>
      </c>
      <c r="H144" s="351"/>
      <c r="I144" s="351"/>
      <c r="J144" s="351"/>
      <c r="K144" s="350">
        <f>'[2]MMMH reszletes'!F300/1000</f>
        <v>0</v>
      </c>
      <c r="L144" s="351"/>
      <c r="M144" s="350">
        <f>'[2]MMMH reszletes'!H300/1000</f>
        <v>0</v>
      </c>
      <c r="N144" s="351"/>
      <c r="O144" s="351"/>
      <c r="P144" s="351"/>
      <c r="Q144" s="350">
        <v>0</v>
      </c>
      <c r="R144" s="351"/>
      <c r="S144" s="350">
        <v>0</v>
      </c>
      <c r="T144" s="351"/>
      <c r="U144" s="351"/>
      <c r="V144" s="351"/>
      <c r="W144" s="351"/>
      <c r="X144" s="351"/>
      <c r="Y144" s="350">
        <v>0</v>
      </c>
      <c r="Z144" s="351"/>
    </row>
    <row r="145" spans="1:269" ht="14.1" customHeight="1">
      <c r="A145" s="348"/>
      <c r="B145" s="348" t="s">
        <v>822</v>
      </c>
      <c r="C145" s="349" t="s">
        <v>938</v>
      </c>
      <c r="D145" s="350"/>
      <c r="E145" s="350">
        <f t="shared" si="183"/>
        <v>0</v>
      </c>
      <c r="F145" s="351">
        <f>H145+L145+N145</f>
        <v>0</v>
      </c>
      <c r="G145" s="350">
        <v>0</v>
      </c>
      <c r="H145" s="351"/>
      <c r="I145" s="351"/>
      <c r="J145" s="351"/>
      <c r="K145" s="350">
        <f>'[2]MMMH reszletes'!F301/1000</f>
        <v>0</v>
      </c>
      <c r="L145" s="351"/>
      <c r="M145" s="350">
        <f>'[2]MMMH reszletes'!H301/1000</f>
        <v>0</v>
      </c>
      <c r="N145" s="351"/>
      <c r="O145" s="351"/>
      <c r="P145" s="351"/>
      <c r="Q145" s="350">
        <v>0</v>
      </c>
      <c r="R145" s="351"/>
      <c r="S145" s="350">
        <v>0</v>
      </c>
      <c r="T145" s="351"/>
      <c r="U145" s="351"/>
      <c r="V145" s="351"/>
      <c r="W145" s="351"/>
      <c r="X145" s="351"/>
      <c r="Y145" s="350">
        <v>0</v>
      </c>
      <c r="Z145" s="351"/>
    </row>
    <row r="146" spans="1:269" s="317" customFormat="1" ht="14.1" customHeight="1">
      <c r="A146" s="322" t="s">
        <v>272</v>
      </c>
      <c r="B146" s="322" t="s">
        <v>833</v>
      </c>
      <c r="C146" s="323" t="s">
        <v>273</v>
      </c>
      <c r="D146" s="326">
        <f>SUM(D147:D150)</f>
        <v>0</v>
      </c>
      <c r="E146" s="326">
        <f>SUM(E147:E150)</f>
        <v>11260</v>
      </c>
      <c r="F146" s="326">
        <f>SUM(F147:F150)</f>
        <v>0</v>
      </c>
      <c r="G146" s="326">
        <f t="shared" ref="G146:M146" si="184">SUM(G147:G150)</f>
        <v>11000</v>
      </c>
      <c r="H146" s="326"/>
      <c r="I146" s="326"/>
      <c r="J146" s="326"/>
      <c r="K146" s="326">
        <f t="shared" si="184"/>
        <v>0</v>
      </c>
      <c r="L146" s="326"/>
      <c r="M146" s="326">
        <f t="shared" si="184"/>
        <v>0</v>
      </c>
      <c r="N146" s="326"/>
      <c r="O146" s="326"/>
      <c r="P146" s="326"/>
      <c r="Q146" s="326">
        <f t="shared" ref="Q146" si="185">SUM(Q147:Q150)</f>
        <v>200</v>
      </c>
      <c r="R146" s="326"/>
      <c r="S146" s="326">
        <f t="shared" ref="S146" si="186">SUM(S147:S150)</f>
        <v>60</v>
      </c>
      <c r="T146" s="326"/>
      <c r="U146" s="326"/>
      <c r="V146" s="326"/>
      <c r="W146" s="326"/>
      <c r="X146" s="326"/>
      <c r="Y146" s="326">
        <f t="shared" ref="Y146" si="187">SUM(Y147:Y150)</f>
        <v>0</v>
      </c>
      <c r="Z146" s="326"/>
    </row>
    <row r="147" spans="1:269" ht="14.1" customHeight="1">
      <c r="A147" s="348"/>
      <c r="B147" s="348" t="s">
        <v>825</v>
      </c>
      <c r="C147" s="349" t="s">
        <v>826</v>
      </c>
      <c r="D147" s="350"/>
      <c r="E147" s="350">
        <f t="shared" ref="E147:E150" si="188">G147+K147+M147+Q147+S147</f>
        <v>0</v>
      </c>
      <c r="F147" s="351">
        <f t="shared" ref="F147:F150" si="189">H147+L147+N147</f>
        <v>0</v>
      </c>
      <c r="G147" s="350">
        <v>0</v>
      </c>
      <c r="H147" s="351"/>
      <c r="I147" s="351"/>
      <c r="J147" s="351"/>
      <c r="K147" s="350">
        <f>'[2]MMMH reszletes'!F303/1000</f>
        <v>0</v>
      </c>
      <c r="L147" s="351"/>
      <c r="M147" s="350">
        <f>'[2]MMMH reszletes'!H303/1000</f>
        <v>0</v>
      </c>
      <c r="N147" s="351"/>
      <c r="O147" s="351"/>
      <c r="P147" s="351"/>
      <c r="Q147" s="350">
        <v>0</v>
      </c>
      <c r="R147" s="351"/>
      <c r="S147" s="350">
        <v>0</v>
      </c>
      <c r="T147" s="351"/>
      <c r="U147" s="351"/>
      <c r="V147" s="351"/>
      <c r="W147" s="351"/>
      <c r="X147" s="351"/>
      <c r="Y147" s="350">
        <v>0</v>
      </c>
      <c r="Z147" s="351"/>
    </row>
    <row r="148" spans="1:269" ht="14.1" customHeight="1">
      <c r="A148" s="348"/>
      <c r="B148" s="348" t="s">
        <v>827</v>
      </c>
      <c r="C148" s="349" t="s">
        <v>828</v>
      </c>
      <c r="D148" s="350"/>
      <c r="E148" s="350">
        <f t="shared" si="188"/>
        <v>410</v>
      </c>
      <c r="F148" s="351">
        <f t="shared" si="189"/>
        <v>0</v>
      </c>
      <c r="G148" s="350">
        <v>200</v>
      </c>
      <c r="H148" s="351"/>
      <c r="I148" s="351"/>
      <c r="J148" s="351"/>
      <c r="K148" s="350">
        <f>'[2]MMMH reszletes'!F304/1000</f>
        <v>0</v>
      </c>
      <c r="L148" s="351"/>
      <c r="M148" s="350">
        <f>'[2]MMMH reszletes'!H304/1000</f>
        <v>0</v>
      </c>
      <c r="N148" s="351"/>
      <c r="O148" s="351"/>
      <c r="P148" s="351"/>
      <c r="Q148" s="350">
        <v>150</v>
      </c>
      <c r="R148" s="351"/>
      <c r="S148" s="350">
        <v>60</v>
      </c>
      <c r="T148" s="351"/>
      <c r="U148" s="351"/>
      <c r="V148" s="351"/>
      <c r="W148" s="351"/>
      <c r="X148" s="351"/>
      <c r="Y148" s="350">
        <v>0</v>
      </c>
      <c r="Z148" s="351"/>
    </row>
    <row r="149" spans="1:269" ht="14.1" customHeight="1">
      <c r="A149" s="348"/>
      <c r="B149" s="348" t="s">
        <v>829</v>
      </c>
      <c r="C149" s="349" t="s">
        <v>830</v>
      </c>
      <c r="D149" s="350"/>
      <c r="E149" s="350">
        <f t="shared" si="188"/>
        <v>0</v>
      </c>
      <c r="F149" s="351">
        <f t="shared" si="189"/>
        <v>0</v>
      </c>
      <c r="G149" s="350">
        <v>0</v>
      </c>
      <c r="H149" s="351"/>
      <c r="I149" s="351"/>
      <c r="J149" s="351"/>
      <c r="K149" s="350">
        <f>'[2]MMMH reszletes'!F307/1000</f>
        <v>0</v>
      </c>
      <c r="L149" s="351"/>
      <c r="M149" s="350">
        <f>'[2]MMMH reszletes'!H307/1000</f>
        <v>0</v>
      </c>
      <c r="N149" s="351"/>
      <c r="O149" s="351"/>
      <c r="P149" s="351"/>
      <c r="Q149" s="350">
        <v>0</v>
      </c>
      <c r="R149" s="351"/>
      <c r="S149" s="350">
        <v>0</v>
      </c>
      <c r="T149" s="351"/>
      <c r="U149" s="351"/>
      <c r="V149" s="351"/>
      <c r="W149" s="351"/>
      <c r="X149" s="351"/>
      <c r="Y149" s="350">
        <v>0</v>
      </c>
      <c r="Z149" s="351"/>
    </row>
    <row r="150" spans="1:269" ht="14.1" customHeight="1">
      <c r="A150" s="348"/>
      <c r="B150" s="348" t="s">
        <v>831</v>
      </c>
      <c r="C150" s="349" t="s">
        <v>832</v>
      </c>
      <c r="D150" s="350"/>
      <c r="E150" s="350">
        <f t="shared" si="188"/>
        <v>10850</v>
      </c>
      <c r="F150" s="351">
        <f t="shared" si="189"/>
        <v>0</v>
      </c>
      <c r="G150" s="350">
        <f>10000+800</f>
        <v>10800</v>
      </c>
      <c r="H150" s="351"/>
      <c r="I150" s="351"/>
      <c r="J150" s="351"/>
      <c r="K150" s="350">
        <f>'[2]MMMH reszletes'!F308/1000</f>
        <v>0</v>
      </c>
      <c r="L150" s="351"/>
      <c r="M150" s="350">
        <f>'[2]MMMH reszletes'!H308/1000</f>
        <v>0</v>
      </c>
      <c r="N150" s="351"/>
      <c r="O150" s="351"/>
      <c r="P150" s="351"/>
      <c r="Q150" s="350">
        <v>50</v>
      </c>
      <c r="R150" s="351"/>
      <c r="S150" s="350">
        <v>0</v>
      </c>
      <c r="T150" s="351"/>
      <c r="U150" s="351"/>
      <c r="V150" s="351"/>
      <c r="W150" s="351"/>
      <c r="X150" s="351"/>
      <c r="Y150" s="350">
        <v>0</v>
      </c>
      <c r="Z150" s="351"/>
    </row>
    <row r="151" spans="1:269" s="317" customFormat="1" ht="14.1" customHeight="1">
      <c r="A151" s="335" t="s">
        <v>274</v>
      </c>
      <c r="B151" s="335" t="s">
        <v>834</v>
      </c>
      <c r="C151" s="336" t="s">
        <v>275</v>
      </c>
      <c r="D151" s="339">
        <f>D131+D134+D138+D143+D146</f>
        <v>0</v>
      </c>
      <c r="E151" s="339">
        <f>E131+E134+E138+E143+E146</f>
        <v>43023</v>
      </c>
      <c r="F151" s="339">
        <f>F131+F134+F138+F143+F146</f>
        <v>0</v>
      </c>
      <c r="G151" s="339">
        <f t="shared" ref="G151:M151" si="190">G131+G134+G138+G143+G146</f>
        <v>41456</v>
      </c>
      <c r="H151" s="339"/>
      <c r="I151" s="339"/>
      <c r="J151" s="339"/>
      <c r="K151" s="339">
        <f t="shared" si="190"/>
        <v>0</v>
      </c>
      <c r="L151" s="339"/>
      <c r="M151" s="339">
        <f t="shared" si="190"/>
        <v>0</v>
      </c>
      <c r="N151" s="339"/>
      <c r="O151" s="339"/>
      <c r="P151" s="339"/>
      <c r="Q151" s="339">
        <f t="shared" ref="Q151" si="191">Q131+Q134+Q138+Q143+Q146</f>
        <v>1167</v>
      </c>
      <c r="R151" s="339"/>
      <c r="S151" s="339">
        <f t="shared" ref="S151" si="192">S131+S134+S138+S143+S146</f>
        <v>400</v>
      </c>
      <c r="T151" s="339"/>
      <c r="U151" s="339"/>
      <c r="V151" s="339"/>
      <c r="W151" s="339"/>
      <c r="X151" s="339"/>
      <c r="Y151" s="339">
        <f t="shared" ref="Y151" si="193">Y131+Y134+Y138+Y143+Y146</f>
        <v>0</v>
      </c>
      <c r="Z151" s="339"/>
    </row>
    <row r="152" spans="1:269" s="317" customFormat="1" ht="14.1" customHeight="1">
      <c r="A152" s="340" t="s">
        <v>276</v>
      </c>
      <c r="B152" s="340" t="s">
        <v>835</v>
      </c>
      <c r="C152" s="341" t="s">
        <v>939</v>
      </c>
      <c r="D152" s="344">
        <f>D91+D102+D125+D130+D151</f>
        <v>0</v>
      </c>
      <c r="E152" s="344">
        <f>E91+E102+E125+E130+E151</f>
        <v>161423</v>
      </c>
      <c r="F152" s="344">
        <f>F91+F102+F125+F130+F151</f>
        <v>0</v>
      </c>
      <c r="G152" s="344">
        <f t="shared" ref="G152:M152" si="194">G91+G102+G125+G130+G151</f>
        <v>154956</v>
      </c>
      <c r="H152" s="344"/>
      <c r="I152" s="344"/>
      <c r="J152" s="344"/>
      <c r="K152" s="344">
        <f t="shared" si="194"/>
        <v>0</v>
      </c>
      <c r="L152" s="344"/>
      <c r="M152" s="344">
        <f t="shared" si="194"/>
        <v>0</v>
      </c>
      <c r="N152" s="344"/>
      <c r="O152" s="344"/>
      <c r="P152" s="344"/>
      <c r="Q152" s="344">
        <f t="shared" ref="Q152" si="195">Q91+Q102+Q125+Q130+Q151</f>
        <v>4807</v>
      </c>
      <c r="R152" s="344"/>
      <c r="S152" s="344">
        <f t="shared" ref="S152" si="196">S91+S102+S125+S130+S151</f>
        <v>1660</v>
      </c>
      <c r="T152" s="344"/>
      <c r="U152" s="344"/>
      <c r="V152" s="344"/>
      <c r="W152" s="344"/>
      <c r="X152" s="344"/>
      <c r="Y152" s="344">
        <f t="shared" ref="Y152" si="197">Y91+Y102+Y125+Y130+Y151</f>
        <v>0</v>
      </c>
      <c r="Z152" s="344"/>
    </row>
    <row r="153" spans="1:269" ht="14.1" customHeight="1">
      <c r="A153" s="352"/>
      <c r="B153" s="352"/>
      <c r="C153" s="352"/>
      <c r="D153" s="352"/>
      <c r="E153" s="352"/>
      <c r="F153" s="352"/>
      <c r="G153" s="352"/>
      <c r="H153" s="352"/>
      <c r="I153" s="352"/>
      <c r="J153" s="352"/>
      <c r="K153" s="352"/>
      <c r="L153" s="352"/>
      <c r="M153" s="352"/>
      <c r="N153" s="352"/>
      <c r="O153" s="352"/>
      <c r="P153" s="352"/>
      <c r="Q153" s="352"/>
      <c r="R153" s="352"/>
      <c r="S153" s="352"/>
      <c r="T153" s="352"/>
      <c r="U153" s="352"/>
      <c r="V153" s="352"/>
      <c r="W153" s="352"/>
      <c r="X153" s="352"/>
      <c r="Y153" s="352"/>
      <c r="Z153" s="352"/>
      <c r="AA153" s="352"/>
      <c r="AB153" s="352"/>
      <c r="AC153" s="352"/>
      <c r="AD153" s="352"/>
      <c r="AE153" s="352"/>
      <c r="AF153" s="352"/>
      <c r="AG153" s="352"/>
      <c r="AH153" s="352"/>
      <c r="AI153" s="352"/>
      <c r="AJ153" s="352"/>
      <c r="AK153" s="352"/>
      <c r="AL153" s="352"/>
      <c r="AM153" s="352"/>
      <c r="AN153" s="352"/>
      <c r="AO153" s="352"/>
      <c r="AP153" s="352"/>
      <c r="AQ153" s="352"/>
      <c r="AR153" s="352"/>
      <c r="AS153" s="352"/>
      <c r="AT153" s="352"/>
      <c r="AU153" s="352"/>
      <c r="AV153" s="352"/>
      <c r="AW153" s="352"/>
      <c r="AX153" s="352"/>
      <c r="AY153" s="352"/>
      <c r="AZ153" s="352"/>
      <c r="BA153" s="352"/>
      <c r="BB153" s="352"/>
      <c r="BC153" s="352"/>
      <c r="BD153" s="352"/>
      <c r="BE153" s="352"/>
      <c r="BF153" s="352"/>
      <c r="BG153" s="352"/>
      <c r="BH153" s="352"/>
      <c r="BI153" s="352"/>
      <c r="BJ153" s="352"/>
      <c r="BK153" s="352"/>
      <c r="BL153" s="352"/>
      <c r="BM153" s="352"/>
      <c r="BN153" s="352"/>
      <c r="BO153" s="352"/>
      <c r="BP153" s="352"/>
      <c r="BQ153" s="352"/>
      <c r="BR153" s="352"/>
      <c r="BS153" s="352"/>
      <c r="BT153" s="352"/>
      <c r="BU153" s="352"/>
      <c r="BV153" s="352"/>
      <c r="BW153" s="352"/>
      <c r="BX153" s="352"/>
      <c r="BY153" s="352"/>
      <c r="BZ153" s="352"/>
      <c r="CA153" s="352"/>
      <c r="CB153" s="352"/>
      <c r="CC153" s="352"/>
      <c r="CD153" s="352"/>
      <c r="CE153" s="352"/>
      <c r="CF153" s="352"/>
      <c r="CG153" s="352"/>
      <c r="CH153" s="352"/>
      <c r="CI153" s="352"/>
      <c r="CJ153" s="352"/>
      <c r="CK153" s="352"/>
      <c r="CL153" s="352"/>
      <c r="CM153" s="352"/>
      <c r="CN153" s="352"/>
      <c r="CO153" s="352"/>
      <c r="CP153" s="352"/>
      <c r="CQ153" s="352"/>
      <c r="CR153" s="352"/>
      <c r="CS153" s="352"/>
      <c r="CT153" s="352"/>
      <c r="CU153" s="352"/>
      <c r="CV153" s="352"/>
      <c r="CW153" s="352"/>
      <c r="CX153" s="352"/>
      <c r="CY153" s="352"/>
      <c r="CZ153" s="352"/>
      <c r="DA153" s="352"/>
      <c r="DB153" s="352"/>
      <c r="DC153" s="352"/>
      <c r="DD153" s="352"/>
      <c r="DE153" s="352"/>
      <c r="DF153" s="352"/>
      <c r="DG153" s="352"/>
      <c r="DH153" s="352"/>
      <c r="DI153" s="352"/>
      <c r="DJ153" s="352"/>
      <c r="DK153" s="352"/>
      <c r="DL153" s="352"/>
      <c r="DM153" s="352"/>
      <c r="DN153" s="352"/>
      <c r="DO153" s="352"/>
      <c r="DP153" s="352"/>
      <c r="DQ153" s="352"/>
      <c r="DR153" s="352"/>
      <c r="DS153" s="352"/>
      <c r="DT153" s="352"/>
      <c r="DU153" s="352"/>
      <c r="DV153" s="352"/>
      <c r="DW153" s="352"/>
      <c r="DX153" s="352"/>
      <c r="DY153" s="352"/>
      <c r="DZ153" s="352"/>
      <c r="EA153" s="352"/>
      <c r="EB153" s="352"/>
      <c r="EC153" s="352"/>
      <c r="ED153" s="352"/>
      <c r="EE153" s="352"/>
      <c r="EF153" s="352"/>
      <c r="EG153" s="352"/>
      <c r="EH153" s="352"/>
      <c r="EI153" s="352"/>
      <c r="EJ153" s="352"/>
      <c r="EK153" s="352"/>
      <c r="EL153" s="352"/>
      <c r="EM153" s="352"/>
      <c r="EN153" s="352"/>
      <c r="EO153" s="352"/>
      <c r="EP153" s="352"/>
      <c r="EQ153" s="352"/>
      <c r="ER153" s="352"/>
      <c r="ES153" s="352"/>
      <c r="ET153" s="352"/>
      <c r="EU153" s="352"/>
      <c r="EV153" s="352"/>
      <c r="EW153" s="352"/>
      <c r="EX153" s="352"/>
      <c r="EY153" s="352"/>
      <c r="EZ153" s="352"/>
      <c r="FA153" s="352"/>
      <c r="FB153" s="352"/>
      <c r="FC153" s="352"/>
      <c r="FD153" s="352"/>
      <c r="FE153" s="352"/>
      <c r="FF153" s="352"/>
      <c r="FG153" s="352"/>
      <c r="FH153" s="352"/>
      <c r="FI153" s="352"/>
      <c r="FJ153" s="352"/>
      <c r="FK153" s="352"/>
      <c r="FL153" s="352"/>
      <c r="FM153" s="352"/>
      <c r="FN153" s="352"/>
      <c r="FO153" s="352"/>
      <c r="FP153" s="352"/>
      <c r="FQ153" s="352"/>
      <c r="FR153" s="352"/>
      <c r="FS153" s="352"/>
      <c r="FT153" s="352"/>
      <c r="FU153" s="352"/>
      <c r="FV153" s="352"/>
      <c r="FW153" s="352"/>
      <c r="FX153" s="352"/>
      <c r="FY153" s="352"/>
      <c r="FZ153" s="352"/>
      <c r="GA153" s="352"/>
      <c r="GB153" s="352"/>
      <c r="GC153" s="352"/>
      <c r="GD153" s="352"/>
      <c r="GE153" s="352"/>
      <c r="GF153" s="352"/>
      <c r="GG153" s="352"/>
      <c r="GH153" s="352"/>
      <c r="GI153" s="352"/>
      <c r="GJ153" s="352"/>
      <c r="GK153" s="352"/>
      <c r="GL153" s="352"/>
      <c r="GM153" s="352"/>
      <c r="GN153" s="352"/>
      <c r="GO153" s="352"/>
      <c r="GP153" s="352"/>
      <c r="GQ153" s="352"/>
      <c r="GR153" s="352"/>
      <c r="GS153" s="352"/>
      <c r="GT153" s="352"/>
      <c r="GU153" s="352"/>
      <c r="GV153" s="352"/>
      <c r="GW153" s="352"/>
      <c r="GX153" s="352"/>
      <c r="GY153" s="352"/>
      <c r="GZ153" s="352"/>
      <c r="HA153" s="352"/>
      <c r="HB153" s="352"/>
      <c r="HC153" s="352"/>
      <c r="HD153" s="352"/>
      <c r="HE153" s="352"/>
      <c r="HF153" s="352"/>
      <c r="HG153" s="352"/>
      <c r="HH153" s="352"/>
      <c r="HI153" s="352"/>
      <c r="HJ153" s="352"/>
      <c r="HK153" s="352"/>
      <c r="HL153" s="352"/>
      <c r="HM153" s="352"/>
      <c r="HN153" s="352"/>
      <c r="HO153" s="352"/>
      <c r="HP153" s="352"/>
      <c r="HQ153" s="352"/>
      <c r="HR153" s="352"/>
      <c r="HS153" s="352"/>
      <c r="HT153" s="352"/>
      <c r="HU153" s="352"/>
      <c r="HV153" s="352"/>
      <c r="HW153" s="352"/>
      <c r="HX153" s="352"/>
      <c r="HY153" s="352"/>
      <c r="HZ153" s="352"/>
      <c r="IA153" s="352"/>
      <c r="IB153" s="352"/>
      <c r="IC153" s="352"/>
      <c r="ID153" s="352"/>
      <c r="IE153" s="352"/>
      <c r="IF153" s="352"/>
      <c r="IG153" s="352"/>
      <c r="IH153" s="352"/>
      <c r="II153" s="352"/>
      <c r="IJ153" s="352"/>
      <c r="IK153" s="352"/>
      <c r="IL153" s="352"/>
      <c r="IM153" s="352"/>
      <c r="IN153" s="352"/>
      <c r="IO153" s="352"/>
      <c r="IP153" s="352"/>
      <c r="IQ153" s="352"/>
      <c r="IR153" s="352"/>
      <c r="IS153" s="352"/>
      <c r="IT153" s="352"/>
      <c r="IU153" s="352"/>
      <c r="IV153" s="352"/>
      <c r="IW153" s="352"/>
      <c r="IX153" s="352"/>
      <c r="IY153" s="352"/>
      <c r="IZ153" s="352"/>
      <c r="JA153" s="352"/>
      <c r="JB153" s="352"/>
      <c r="JC153" s="352"/>
      <c r="JD153" s="352"/>
      <c r="JE153" s="352"/>
      <c r="JF153" s="352"/>
      <c r="JG153" s="352"/>
      <c r="JH153" s="352"/>
      <c r="JI153" s="352"/>
    </row>
    <row r="154" spans="1:269" ht="14.1" customHeight="1">
      <c r="A154" s="352"/>
      <c r="B154" s="352"/>
      <c r="C154" s="352"/>
      <c r="D154" s="352"/>
      <c r="E154" s="352"/>
      <c r="F154" s="352"/>
      <c r="G154" s="352"/>
      <c r="H154" s="352"/>
      <c r="I154" s="352"/>
      <c r="J154" s="352"/>
      <c r="K154" s="352"/>
      <c r="L154" s="352"/>
      <c r="M154" s="352"/>
      <c r="N154" s="352"/>
      <c r="O154" s="352"/>
      <c r="P154" s="352"/>
      <c r="Q154" s="352"/>
      <c r="R154" s="352"/>
      <c r="S154" s="352"/>
      <c r="T154" s="352"/>
      <c r="U154" s="352"/>
      <c r="V154" s="352"/>
      <c r="W154" s="352"/>
      <c r="X154" s="352"/>
      <c r="Y154" s="352"/>
      <c r="Z154" s="352"/>
      <c r="AA154" s="352"/>
      <c r="AB154" s="352"/>
      <c r="AC154" s="352"/>
      <c r="AD154" s="352"/>
      <c r="AE154" s="352"/>
      <c r="AF154" s="352"/>
      <c r="AG154" s="352"/>
      <c r="AH154" s="352"/>
      <c r="AI154" s="352"/>
      <c r="AJ154" s="352"/>
      <c r="AK154" s="352"/>
      <c r="AL154" s="352"/>
      <c r="AM154" s="352"/>
      <c r="AN154" s="352"/>
      <c r="AO154" s="352"/>
      <c r="AP154" s="352"/>
      <c r="AQ154" s="352"/>
      <c r="AR154" s="352"/>
      <c r="AS154" s="352"/>
      <c r="AT154" s="352"/>
      <c r="AU154" s="352"/>
      <c r="AV154" s="352"/>
      <c r="AW154" s="352"/>
      <c r="AX154" s="352"/>
      <c r="AY154" s="352"/>
      <c r="AZ154" s="352"/>
      <c r="BA154" s="352"/>
      <c r="BB154" s="352"/>
      <c r="BC154" s="352"/>
      <c r="BD154" s="352"/>
      <c r="BE154" s="352"/>
      <c r="BF154" s="352"/>
      <c r="BG154" s="352"/>
      <c r="BH154" s="352"/>
      <c r="BI154" s="352"/>
      <c r="BJ154" s="352"/>
      <c r="BK154" s="352"/>
      <c r="BL154" s="352"/>
      <c r="BM154" s="352"/>
      <c r="BN154" s="352"/>
      <c r="BO154" s="352"/>
      <c r="BP154" s="352"/>
      <c r="BQ154" s="352"/>
      <c r="BR154" s="352"/>
      <c r="BS154" s="352"/>
      <c r="BT154" s="352"/>
      <c r="BU154" s="352"/>
      <c r="BV154" s="352"/>
      <c r="BW154" s="352"/>
      <c r="BX154" s="352"/>
      <c r="BY154" s="352"/>
      <c r="BZ154" s="352"/>
      <c r="CA154" s="352"/>
      <c r="CB154" s="352"/>
      <c r="CC154" s="352"/>
      <c r="CD154" s="352"/>
      <c r="CE154" s="352"/>
      <c r="CF154" s="352"/>
      <c r="CG154" s="352"/>
      <c r="CH154" s="352"/>
      <c r="CI154" s="352"/>
      <c r="CJ154" s="352"/>
      <c r="CK154" s="352"/>
      <c r="CL154" s="352"/>
      <c r="CM154" s="352"/>
      <c r="CN154" s="352"/>
      <c r="CO154" s="352"/>
      <c r="CP154" s="352"/>
      <c r="CQ154" s="352"/>
      <c r="CR154" s="352"/>
      <c r="CS154" s="352"/>
      <c r="CT154" s="352"/>
      <c r="CU154" s="352"/>
      <c r="CV154" s="352"/>
      <c r="CW154" s="352"/>
      <c r="CX154" s="352"/>
      <c r="CY154" s="352"/>
      <c r="CZ154" s="352"/>
      <c r="DA154" s="352"/>
      <c r="DB154" s="352"/>
      <c r="DC154" s="352"/>
      <c r="DD154" s="352"/>
      <c r="DE154" s="352"/>
      <c r="DF154" s="352"/>
      <c r="DG154" s="352"/>
      <c r="DH154" s="352"/>
      <c r="DI154" s="352"/>
      <c r="DJ154" s="352"/>
      <c r="DK154" s="352"/>
      <c r="DL154" s="352"/>
      <c r="DM154" s="352"/>
      <c r="DN154" s="352"/>
      <c r="DO154" s="352"/>
      <c r="DP154" s="352"/>
      <c r="DQ154" s="352"/>
      <c r="DR154" s="352"/>
      <c r="DS154" s="352"/>
      <c r="DT154" s="352"/>
      <c r="DU154" s="352"/>
      <c r="DV154" s="352"/>
      <c r="DW154" s="352"/>
      <c r="DX154" s="352"/>
      <c r="DY154" s="352"/>
      <c r="DZ154" s="352"/>
      <c r="EA154" s="352"/>
      <c r="EB154" s="352"/>
      <c r="EC154" s="352"/>
      <c r="ED154" s="352"/>
      <c r="EE154" s="352"/>
      <c r="EF154" s="352"/>
      <c r="EG154" s="352"/>
      <c r="EH154" s="352"/>
      <c r="EI154" s="352"/>
      <c r="EJ154" s="352"/>
      <c r="EK154" s="352"/>
      <c r="EL154" s="352"/>
      <c r="EM154" s="352"/>
      <c r="EN154" s="352"/>
      <c r="EO154" s="352"/>
      <c r="EP154" s="352"/>
      <c r="EQ154" s="352"/>
      <c r="ER154" s="352"/>
      <c r="ES154" s="352"/>
      <c r="ET154" s="352"/>
      <c r="EU154" s="352"/>
      <c r="EV154" s="352"/>
      <c r="EW154" s="352"/>
      <c r="EX154" s="352"/>
      <c r="EY154" s="352"/>
      <c r="EZ154" s="352"/>
      <c r="FA154" s="352"/>
      <c r="FB154" s="352"/>
      <c r="FC154" s="352"/>
      <c r="FD154" s="352"/>
      <c r="FE154" s="352"/>
      <c r="FF154" s="352"/>
      <c r="FG154" s="352"/>
      <c r="FH154" s="352"/>
      <c r="FI154" s="352"/>
      <c r="FJ154" s="352"/>
      <c r="FK154" s="352"/>
      <c r="FL154" s="352"/>
      <c r="FM154" s="352"/>
      <c r="FN154" s="352"/>
      <c r="FO154" s="352"/>
      <c r="FP154" s="352"/>
      <c r="FQ154" s="352"/>
      <c r="FR154" s="352"/>
      <c r="FS154" s="352"/>
      <c r="FT154" s="352"/>
      <c r="FU154" s="352"/>
      <c r="FV154" s="352"/>
      <c r="FW154" s="352"/>
      <c r="FX154" s="352"/>
      <c r="FY154" s="352"/>
      <c r="FZ154" s="352"/>
      <c r="GA154" s="352"/>
      <c r="GB154" s="352"/>
      <c r="GC154" s="352"/>
      <c r="GD154" s="352"/>
      <c r="GE154" s="352"/>
      <c r="GF154" s="352"/>
      <c r="GG154" s="352"/>
      <c r="GH154" s="352"/>
      <c r="GI154" s="352"/>
      <c r="GJ154" s="352"/>
      <c r="GK154" s="352"/>
      <c r="GL154" s="352"/>
      <c r="GM154" s="352"/>
      <c r="GN154" s="352"/>
      <c r="GO154" s="352"/>
      <c r="GP154" s="352"/>
      <c r="GQ154" s="352"/>
      <c r="GR154" s="352"/>
      <c r="GS154" s="352"/>
      <c r="GT154" s="352"/>
      <c r="GU154" s="352"/>
      <c r="GV154" s="352"/>
      <c r="GW154" s="352"/>
      <c r="GX154" s="352"/>
      <c r="GY154" s="352"/>
      <c r="GZ154" s="352"/>
      <c r="HA154" s="352"/>
      <c r="HB154" s="352"/>
      <c r="HC154" s="352"/>
      <c r="HD154" s="352"/>
      <c r="HE154" s="352"/>
      <c r="HF154" s="352"/>
      <c r="HG154" s="352"/>
      <c r="HH154" s="352"/>
      <c r="HI154" s="352"/>
      <c r="HJ154" s="352"/>
      <c r="HK154" s="352"/>
      <c r="HL154" s="352"/>
      <c r="HM154" s="352"/>
      <c r="HN154" s="352"/>
      <c r="HO154" s="352"/>
      <c r="HP154" s="352"/>
      <c r="HQ154" s="352"/>
      <c r="HR154" s="352"/>
      <c r="HS154" s="352"/>
      <c r="HT154" s="352"/>
      <c r="HU154" s="352"/>
      <c r="HV154" s="352"/>
      <c r="HW154" s="352"/>
      <c r="HX154" s="352"/>
      <c r="HY154" s="352"/>
      <c r="HZ154" s="352"/>
      <c r="IA154" s="352"/>
      <c r="IB154" s="352"/>
      <c r="IC154" s="352"/>
      <c r="ID154" s="352"/>
      <c r="IE154" s="352"/>
      <c r="IF154" s="352"/>
      <c r="IG154" s="352"/>
      <c r="IH154" s="352"/>
      <c r="II154" s="352"/>
      <c r="IJ154" s="352"/>
      <c r="IK154" s="352"/>
      <c r="IL154" s="352"/>
      <c r="IM154" s="352"/>
      <c r="IN154" s="352"/>
      <c r="IO154" s="352"/>
      <c r="IP154" s="352"/>
      <c r="IQ154" s="352"/>
      <c r="IR154" s="352"/>
      <c r="IS154" s="352"/>
      <c r="IT154" s="352"/>
      <c r="IU154" s="352"/>
      <c r="IV154" s="352"/>
      <c r="IW154" s="352"/>
      <c r="IX154" s="352"/>
      <c r="IY154" s="352"/>
      <c r="IZ154" s="352"/>
      <c r="JA154" s="352"/>
      <c r="JB154" s="352"/>
      <c r="JC154" s="352"/>
      <c r="JD154" s="352"/>
      <c r="JE154" s="352"/>
      <c r="JF154" s="352"/>
      <c r="JG154" s="352"/>
      <c r="JH154" s="352"/>
      <c r="JI154" s="352"/>
    </row>
    <row r="155" spans="1:269" ht="14.1" customHeight="1">
      <c r="A155" s="352"/>
      <c r="B155" s="352"/>
      <c r="C155" s="352"/>
      <c r="D155" s="352"/>
      <c r="E155" s="352"/>
      <c r="F155" s="352"/>
      <c r="G155" s="352"/>
      <c r="H155" s="352"/>
      <c r="I155" s="352"/>
      <c r="J155" s="352"/>
      <c r="K155" s="352"/>
      <c r="L155" s="352"/>
      <c r="M155" s="352"/>
      <c r="N155" s="352"/>
      <c r="O155" s="352"/>
      <c r="P155" s="352"/>
      <c r="Q155" s="352"/>
      <c r="R155" s="352"/>
      <c r="S155" s="352"/>
      <c r="T155" s="352"/>
      <c r="U155" s="352"/>
      <c r="V155" s="352"/>
      <c r="W155" s="352"/>
      <c r="X155" s="352"/>
      <c r="Y155" s="352"/>
      <c r="Z155" s="352"/>
      <c r="AA155" s="352"/>
      <c r="AB155" s="352"/>
      <c r="AC155" s="352"/>
      <c r="AD155" s="352"/>
      <c r="AE155" s="352"/>
      <c r="AF155" s="352"/>
      <c r="AG155" s="352"/>
      <c r="AH155" s="352"/>
      <c r="AI155" s="352"/>
      <c r="AJ155" s="352"/>
      <c r="AK155" s="352"/>
      <c r="AL155" s="352"/>
      <c r="AM155" s="352"/>
      <c r="AN155" s="352"/>
      <c r="AO155" s="352"/>
      <c r="AP155" s="352"/>
      <c r="AQ155" s="352"/>
      <c r="AR155" s="352"/>
      <c r="AS155" s="352"/>
      <c r="AT155" s="352"/>
      <c r="AU155" s="352"/>
      <c r="AV155" s="352"/>
      <c r="AW155" s="352"/>
      <c r="AX155" s="352"/>
      <c r="AY155" s="352"/>
      <c r="AZ155" s="352"/>
      <c r="BA155" s="352"/>
      <c r="BB155" s="352"/>
      <c r="BC155" s="352"/>
      <c r="BD155" s="352"/>
      <c r="BE155" s="352"/>
      <c r="BF155" s="352"/>
      <c r="BG155" s="352"/>
      <c r="BH155" s="352"/>
      <c r="BI155" s="352"/>
      <c r="BJ155" s="352"/>
      <c r="BK155" s="352"/>
      <c r="BL155" s="352"/>
      <c r="BM155" s="352"/>
      <c r="BN155" s="352"/>
      <c r="BO155" s="352"/>
      <c r="BP155" s="352"/>
      <c r="BQ155" s="352"/>
      <c r="BR155" s="352"/>
      <c r="BS155" s="352"/>
      <c r="BT155" s="352"/>
      <c r="BU155" s="352"/>
      <c r="BV155" s="352"/>
      <c r="BW155" s="352"/>
      <c r="BX155" s="352"/>
      <c r="BY155" s="352"/>
      <c r="BZ155" s="352"/>
      <c r="CA155" s="352"/>
      <c r="CB155" s="352"/>
      <c r="CC155" s="352"/>
      <c r="CD155" s="352"/>
      <c r="CE155" s="352"/>
      <c r="CF155" s="352"/>
      <c r="CG155" s="352"/>
      <c r="CH155" s="352"/>
      <c r="CI155" s="352"/>
      <c r="CJ155" s="352"/>
      <c r="CK155" s="352"/>
      <c r="CL155" s="352"/>
      <c r="CM155" s="352"/>
      <c r="CN155" s="352"/>
      <c r="CO155" s="352"/>
      <c r="CP155" s="352"/>
      <c r="CQ155" s="352"/>
      <c r="CR155" s="352"/>
      <c r="CS155" s="352"/>
      <c r="CT155" s="352"/>
      <c r="CU155" s="352"/>
      <c r="CV155" s="352"/>
      <c r="CW155" s="352"/>
      <c r="CX155" s="352"/>
      <c r="CY155" s="352"/>
      <c r="CZ155" s="352"/>
      <c r="DA155" s="352"/>
      <c r="DB155" s="352"/>
      <c r="DC155" s="352"/>
      <c r="DD155" s="352"/>
      <c r="DE155" s="352"/>
      <c r="DF155" s="352"/>
      <c r="DG155" s="352"/>
      <c r="DH155" s="352"/>
      <c r="DI155" s="352"/>
      <c r="DJ155" s="352"/>
      <c r="DK155" s="352"/>
      <c r="DL155" s="352"/>
      <c r="DM155" s="352"/>
      <c r="DN155" s="352"/>
      <c r="DO155" s="352"/>
      <c r="DP155" s="352"/>
      <c r="DQ155" s="352"/>
      <c r="DR155" s="352"/>
      <c r="DS155" s="352"/>
      <c r="DT155" s="352"/>
      <c r="DU155" s="352"/>
      <c r="DV155" s="352"/>
      <c r="DW155" s="352"/>
      <c r="DX155" s="352"/>
      <c r="DY155" s="352"/>
      <c r="DZ155" s="352"/>
      <c r="EA155" s="352"/>
      <c r="EB155" s="352"/>
      <c r="EC155" s="352"/>
      <c r="ED155" s="352"/>
      <c r="EE155" s="352"/>
      <c r="EF155" s="352"/>
      <c r="EG155" s="352"/>
      <c r="EH155" s="352"/>
      <c r="EI155" s="352"/>
      <c r="EJ155" s="352"/>
      <c r="EK155" s="352"/>
      <c r="EL155" s="352"/>
      <c r="EM155" s="352"/>
      <c r="EN155" s="352"/>
      <c r="EO155" s="352"/>
      <c r="EP155" s="352"/>
      <c r="EQ155" s="352"/>
      <c r="ER155" s="352"/>
      <c r="ES155" s="352"/>
      <c r="ET155" s="352"/>
      <c r="EU155" s="352"/>
      <c r="EV155" s="352"/>
      <c r="EW155" s="352"/>
      <c r="EX155" s="352"/>
      <c r="EY155" s="352"/>
      <c r="EZ155" s="352"/>
      <c r="FA155" s="352"/>
      <c r="FB155" s="352"/>
      <c r="FC155" s="352"/>
      <c r="FD155" s="352"/>
      <c r="FE155" s="352"/>
      <c r="FF155" s="352"/>
      <c r="FG155" s="352"/>
      <c r="FH155" s="352"/>
      <c r="FI155" s="352"/>
      <c r="FJ155" s="352"/>
      <c r="FK155" s="352"/>
      <c r="FL155" s="352"/>
      <c r="FM155" s="352"/>
      <c r="FN155" s="352"/>
      <c r="FO155" s="352"/>
      <c r="FP155" s="352"/>
      <c r="FQ155" s="352"/>
      <c r="FR155" s="352"/>
      <c r="FS155" s="352"/>
      <c r="FT155" s="352"/>
      <c r="FU155" s="352"/>
      <c r="FV155" s="352"/>
      <c r="FW155" s="352"/>
      <c r="FX155" s="352"/>
      <c r="FY155" s="352"/>
      <c r="FZ155" s="352"/>
      <c r="GA155" s="352"/>
      <c r="GB155" s="352"/>
      <c r="GC155" s="352"/>
      <c r="GD155" s="352"/>
      <c r="GE155" s="352"/>
      <c r="GF155" s="352"/>
      <c r="GG155" s="352"/>
      <c r="GH155" s="352"/>
      <c r="GI155" s="352"/>
      <c r="GJ155" s="352"/>
      <c r="GK155" s="352"/>
      <c r="GL155" s="352"/>
      <c r="GM155" s="352"/>
      <c r="GN155" s="352"/>
      <c r="GO155" s="352"/>
      <c r="GP155" s="352"/>
      <c r="GQ155" s="352"/>
      <c r="GR155" s="352"/>
      <c r="GS155" s="352"/>
      <c r="GT155" s="352"/>
      <c r="GU155" s="352"/>
      <c r="GV155" s="352"/>
      <c r="GW155" s="352"/>
      <c r="GX155" s="352"/>
      <c r="GY155" s="352"/>
      <c r="GZ155" s="352"/>
      <c r="HA155" s="352"/>
      <c r="HB155" s="352"/>
      <c r="HC155" s="352"/>
      <c r="HD155" s="352"/>
      <c r="HE155" s="352"/>
      <c r="HF155" s="352"/>
      <c r="HG155" s="352"/>
      <c r="HH155" s="352"/>
      <c r="HI155" s="352"/>
      <c r="HJ155" s="352"/>
      <c r="HK155" s="352"/>
      <c r="HL155" s="352"/>
      <c r="HM155" s="352"/>
      <c r="HN155" s="352"/>
      <c r="HO155" s="352"/>
      <c r="HP155" s="352"/>
      <c r="HQ155" s="352"/>
      <c r="HR155" s="352"/>
      <c r="HS155" s="352"/>
      <c r="HT155" s="352"/>
      <c r="HU155" s="352"/>
      <c r="HV155" s="352"/>
      <c r="HW155" s="352"/>
      <c r="HX155" s="352"/>
      <c r="HY155" s="352"/>
      <c r="HZ155" s="352"/>
      <c r="IA155" s="352"/>
      <c r="IB155" s="352"/>
      <c r="IC155" s="352"/>
      <c r="ID155" s="352"/>
      <c r="IE155" s="352"/>
      <c r="IF155" s="352"/>
      <c r="IG155" s="352"/>
      <c r="IH155" s="352"/>
      <c r="II155" s="352"/>
      <c r="IJ155" s="352"/>
      <c r="IK155" s="352"/>
      <c r="IL155" s="352"/>
      <c r="IM155" s="352"/>
      <c r="IN155" s="352"/>
      <c r="IO155" s="352"/>
      <c r="IP155" s="352"/>
      <c r="IQ155" s="352"/>
      <c r="IR155" s="352"/>
      <c r="IS155" s="352"/>
      <c r="IT155" s="352"/>
      <c r="IU155" s="352"/>
      <c r="IV155" s="352"/>
      <c r="IW155" s="352"/>
      <c r="IX155" s="352"/>
      <c r="IY155" s="352"/>
      <c r="IZ155" s="352"/>
      <c r="JA155" s="352"/>
      <c r="JB155" s="352"/>
      <c r="JC155" s="352"/>
      <c r="JD155" s="352"/>
      <c r="JE155" s="352"/>
      <c r="JF155" s="352"/>
      <c r="JG155" s="352"/>
      <c r="JH155" s="352"/>
      <c r="JI155" s="352"/>
    </row>
    <row r="157" spans="1:269" s="315" customFormat="1" ht="12.75" hidden="1" customHeight="1">
      <c r="A157" s="696" t="s">
        <v>1353</v>
      </c>
      <c r="B157" s="697"/>
      <c r="C157" s="697"/>
      <c r="D157" s="697"/>
      <c r="E157" s="697"/>
      <c r="F157" s="697"/>
      <c r="G157" s="697"/>
      <c r="H157" s="697"/>
      <c r="I157" s="697"/>
      <c r="J157" s="697"/>
      <c r="K157" s="697"/>
      <c r="L157" s="697"/>
      <c r="M157" s="697"/>
      <c r="N157" s="697"/>
      <c r="O157" s="697"/>
      <c r="P157" s="697"/>
      <c r="Q157" s="697"/>
      <c r="R157" s="697"/>
      <c r="S157" s="697"/>
      <c r="T157" s="697"/>
      <c r="U157" s="697"/>
      <c r="V157" s="697"/>
      <c r="W157" s="697"/>
      <c r="X157" s="697"/>
      <c r="Y157" s="697"/>
      <c r="Z157" s="698"/>
    </row>
    <row r="158" spans="1:269" s="315" customFormat="1" ht="33" hidden="1" customHeight="1">
      <c r="A158" s="699" t="s">
        <v>887</v>
      </c>
      <c r="B158" s="702" t="s">
        <v>888</v>
      </c>
      <c r="C158" s="699" t="s">
        <v>889</v>
      </c>
      <c r="D158" s="695" t="s">
        <v>890</v>
      </c>
      <c r="E158" s="695" t="s">
        <v>891</v>
      </c>
      <c r="F158" s="695" t="s">
        <v>892</v>
      </c>
      <c r="G158" s="695" t="s">
        <v>1354</v>
      </c>
      <c r="H158" s="695"/>
      <c r="I158" s="454"/>
      <c r="J158" s="454"/>
      <c r="K158" s="695" t="s">
        <v>222</v>
      </c>
      <c r="L158" s="695"/>
      <c r="M158" s="695" t="s">
        <v>224</v>
      </c>
      <c r="N158" s="695"/>
      <c r="O158" s="392"/>
      <c r="P158" s="392"/>
      <c r="Q158" s="704" t="s">
        <v>1357</v>
      </c>
      <c r="R158" s="704"/>
      <c r="S158" s="704" t="s">
        <v>1356</v>
      </c>
      <c r="T158" s="704"/>
      <c r="U158" s="455"/>
      <c r="V158" s="455"/>
      <c r="W158" s="532"/>
      <c r="X158" s="532"/>
      <c r="Y158" s="703" t="s">
        <v>1360</v>
      </c>
      <c r="Z158" s="703"/>
    </row>
    <row r="159" spans="1:269" s="317" customFormat="1" ht="14.1" hidden="1" customHeight="1">
      <c r="A159" s="699"/>
      <c r="B159" s="702"/>
      <c r="C159" s="699"/>
      <c r="D159" s="695"/>
      <c r="E159" s="695"/>
      <c r="F159" s="695"/>
      <c r="G159" s="392" t="s">
        <v>897</v>
      </c>
      <c r="H159" s="392" t="s">
        <v>898</v>
      </c>
      <c r="I159" s="454"/>
      <c r="J159" s="454"/>
      <c r="K159" s="392" t="s">
        <v>897</v>
      </c>
      <c r="L159" s="392" t="s">
        <v>898</v>
      </c>
      <c r="M159" s="392" t="s">
        <v>897</v>
      </c>
      <c r="N159" s="392" t="s">
        <v>898</v>
      </c>
      <c r="O159" s="392"/>
      <c r="P159" s="392"/>
      <c r="Q159" s="418" t="s">
        <v>897</v>
      </c>
      <c r="R159" s="418" t="s">
        <v>898</v>
      </c>
      <c r="S159" s="418" t="s">
        <v>897</v>
      </c>
      <c r="T159" s="418" t="s">
        <v>898</v>
      </c>
      <c r="U159" s="455"/>
      <c r="V159" s="455"/>
      <c r="W159" s="532"/>
      <c r="X159" s="532"/>
      <c r="Y159" s="421" t="s">
        <v>897</v>
      </c>
      <c r="Z159" s="421" t="s">
        <v>898</v>
      </c>
    </row>
    <row r="160" spans="1:269" ht="5.65" customHeight="1"/>
    <row r="161" spans="1:26" ht="14.1" customHeight="1">
      <c r="A161" s="700" t="s">
        <v>940</v>
      </c>
      <c r="B161" s="700"/>
      <c r="C161" s="700"/>
      <c r="D161" s="700"/>
      <c r="E161" s="700"/>
      <c r="F161" s="700"/>
      <c r="G161" s="700"/>
      <c r="H161" s="700"/>
      <c r="I161" s="700"/>
      <c r="J161" s="700"/>
      <c r="K161" s="700"/>
      <c r="L161" s="700"/>
      <c r="M161" s="700"/>
      <c r="N161" s="700"/>
      <c r="O161" s="419"/>
      <c r="P161" s="419"/>
      <c r="Q161" s="419"/>
      <c r="R161" s="419"/>
      <c r="S161" s="419"/>
      <c r="T161" s="419"/>
      <c r="U161" s="419"/>
      <c r="V161" s="419"/>
      <c r="W161" s="419"/>
      <c r="X161" s="419"/>
      <c r="Y161" s="419"/>
      <c r="Z161" s="419"/>
    </row>
    <row r="162" spans="1:26" ht="14.1" customHeight="1">
      <c r="A162" s="348" t="s">
        <v>320</v>
      </c>
      <c r="B162" s="348" t="s">
        <v>941</v>
      </c>
      <c r="C162" s="349" t="s">
        <v>321</v>
      </c>
      <c r="D162" s="350"/>
      <c r="E162" s="350">
        <f>G162+K162+M162+Q162+S162</f>
        <v>0</v>
      </c>
      <c r="F162" s="351">
        <f t="shared" ref="F162:F169" si="198">H162+L162+N162</f>
        <v>0</v>
      </c>
      <c r="G162" s="350">
        <f>'[2]MMMH reszletes'!D317/1000</f>
        <v>0</v>
      </c>
      <c r="H162" s="351">
        <f>'[2]MMMH reszletes'!E317/1000</f>
        <v>0</v>
      </c>
      <c r="I162" s="351"/>
      <c r="J162" s="351"/>
      <c r="K162" s="350">
        <v>0</v>
      </c>
      <c r="L162" s="351">
        <f>'[2]MMMH reszletes'!G317/1000</f>
        <v>0</v>
      </c>
      <c r="M162" s="350">
        <f>'[2]MMMH reszletes'!H317/1000</f>
        <v>0</v>
      </c>
      <c r="N162" s="351">
        <f>'[2]MMMH reszletes'!I317/1000</f>
        <v>0</v>
      </c>
      <c r="O162" s="351"/>
      <c r="P162" s="351"/>
      <c r="Q162" s="350">
        <f>'[2]MMMH reszletes'!J317/1000</f>
        <v>0</v>
      </c>
      <c r="R162" s="351">
        <f>'[2]MMMH reszletes'!K317/1000</f>
        <v>0</v>
      </c>
      <c r="S162" s="350">
        <f>'[2]MMMH reszletes'!L317/1000</f>
        <v>0</v>
      </c>
      <c r="T162" s="351">
        <f>'[2]MMMH reszletes'!M317/1000</f>
        <v>0</v>
      </c>
      <c r="U162" s="351"/>
      <c r="V162" s="351"/>
      <c r="W162" s="351"/>
      <c r="X162" s="351"/>
      <c r="Y162" s="350">
        <f>'[2]MMMH reszletes'!N317/1000</f>
        <v>0</v>
      </c>
      <c r="Z162" s="351">
        <f>'[2]MMMH reszletes'!O317/1000</f>
        <v>0</v>
      </c>
    </row>
    <row r="163" spans="1:26" ht="14.1" customHeight="1">
      <c r="A163" s="348" t="s">
        <v>322</v>
      </c>
      <c r="B163" s="348" t="s">
        <v>942</v>
      </c>
      <c r="C163" s="349" t="s">
        <v>323</v>
      </c>
      <c r="D163" s="350"/>
      <c r="E163" s="350">
        <f t="shared" ref="E163:E175" si="199">G163+K163+M163+Q163+S163</f>
        <v>0</v>
      </c>
      <c r="F163" s="351">
        <f t="shared" si="198"/>
        <v>0</v>
      </c>
      <c r="G163" s="350">
        <f>'[2]MMMH reszletes'!D318/1000</f>
        <v>0</v>
      </c>
      <c r="H163" s="351">
        <f>'[2]MMMH reszletes'!E318/1000</f>
        <v>0</v>
      </c>
      <c r="I163" s="351"/>
      <c r="J163" s="351"/>
      <c r="K163" s="350">
        <f>'[2]MMMH reszletes'!F318/1000</f>
        <v>0</v>
      </c>
      <c r="L163" s="351">
        <f>'[2]MMMH reszletes'!G318/1000</f>
        <v>0</v>
      </c>
      <c r="M163" s="350">
        <f>'[2]MMMH reszletes'!H318/1000</f>
        <v>0</v>
      </c>
      <c r="N163" s="351">
        <f>'[2]MMMH reszletes'!I318/1000</f>
        <v>0</v>
      </c>
      <c r="O163" s="351"/>
      <c r="P163" s="351"/>
      <c r="Q163" s="350">
        <f>'[2]MMMH reszletes'!J318/1000</f>
        <v>0</v>
      </c>
      <c r="R163" s="351">
        <f>'[2]MMMH reszletes'!K318/1000</f>
        <v>0</v>
      </c>
      <c r="S163" s="350">
        <f>'[2]MMMH reszletes'!L318/1000</f>
        <v>0</v>
      </c>
      <c r="T163" s="351">
        <f>'[2]MMMH reszletes'!M318/1000</f>
        <v>0</v>
      </c>
      <c r="U163" s="351"/>
      <c r="V163" s="351"/>
      <c r="W163" s="351"/>
      <c r="X163" s="351"/>
      <c r="Y163" s="350">
        <f>'[2]MMMH reszletes'!N318/1000</f>
        <v>0</v>
      </c>
      <c r="Z163" s="351">
        <f>'[2]MMMH reszletes'!O318/1000</f>
        <v>0</v>
      </c>
    </row>
    <row r="164" spans="1:26" ht="14.1" customHeight="1">
      <c r="A164" s="348" t="s">
        <v>324</v>
      </c>
      <c r="B164" s="348" t="s">
        <v>837</v>
      </c>
      <c r="C164" s="349" t="s">
        <v>325</v>
      </c>
      <c r="D164" s="350"/>
      <c r="E164" s="350">
        <f t="shared" si="199"/>
        <v>700</v>
      </c>
      <c r="F164" s="351">
        <f t="shared" si="198"/>
        <v>0</v>
      </c>
      <c r="G164" s="350">
        <v>700</v>
      </c>
      <c r="H164" s="351">
        <f>'[2]MMMH reszletes'!E319/1000</f>
        <v>0</v>
      </c>
      <c r="I164" s="351"/>
      <c r="J164" s="351"/>
      <c r="K164" s="350">
        <f>'[2]MMMH reszletes'!F319/1000</f>
        <v>0</v>
      </c>
      <c r="L164" s="351">
        <f>'[2]MMMH reszletes'!G319/1000</f>
        <v>0</v>
      </c>
      <c r="M164" s="350">
        <f>'[2]MMMH reszletes'!H319/1000</f>
        <v>0</v>
      </c>
      <c r="N164" s="351">
        <f>'[2]MMMH reszletes'!I319/1000</f>
        <v>0</v>
      </c>
      <c r="O164" s="351"/>
      <c r="P164" s="351"/>
      <c r="Q164" s="350">
        <f>'[2]MMMH reszletes'!J319/1000</f>
        <v>0</v>
      </c>
      <c r="R164" s="351">
        <f>'[2]MMMH reszletes'!K319/1000</f>
        <v>0</v>
      </c>
      <c r="S164" s="350">
        <f>'[2]MMMH reszletes'!L319/1000</f>
        <v>0</v>
      </c>
      <c r="T164" s="351">
        <f>'[2]MMMH reszletes'!M319/1000</f>
        <v>0</v>
      </c>
      <c r="U164" s="351"/>
      <c r="V164" s="351"/>
      <c r="W164" s="351"/>
      <c r="X164" s="351"/>
      <c r="Y164" s="350">
        <f>'[2]MMMH reszletes'!N319/1000</f>
        <v>0</v>
      </c>
      <c r="Z164" s="351">
        <f>'[2]MMMH reszletes'!O319/1000</f>
        <v>0</v>
      </c>
    </row>
    <row r="165" spans="1:26" ht="14.1" customHeight="1">
      <c r="A165" s="348" t="s">
        <v>326</v>
      </c>
      <c r="B165" s="348" t="s">
        <v>839</v>
      </c>
      <c r="C165" s="349" t="s">
        <v>943</v>
      </c>
      <c r="D165" s="350"/>
      <c r="E165" s="350">
        <f t="shared" si="199"/>
        <v>400</v>
      </c>
      <c r="F165" s="351">
        <f t="shared" si="198"/>
        <v>0</v>
      </c>
      <c r="G165" s="350">
        <v>400</v>
      </c>
      <c r="H165" s="351">
        <f>'[2]MMMH reszletes'!E320/1000</f>
        <v>0</v>
      </c>
      <c r="I165" s="351"/>
      <c r="J165" s="351"/>
      <c r="K165" s="350">
        <v>0</v>
      </c>
      <c r="L165" s="351">
        <f>'[2]MMMH reszletes'!G320/1000</f>
        <v>0</v>
      </c>
      <c r="M165" s="350">
        <f>'[2]MMMH reszletes'!H320/1000</f>
        <v>0</v>
      </c>
      <c r="N165" s="351">
        <f>'[2]MMMH reszletes'!I320/1000</f>
        <v>0</v>
      </c>
      <c r="O165" s="351"/>
      <c r="P165" s="351"/>
      <c r="Q165" s="350">
        <f>'[2]MMMH reszletes'!J320/1000</f>
        <v>0</v>
      </c>
      <c r="R165" s="351">
        <f>'[2]MMMH reszletes'!K320/1000</f>
        <v>0</v>
      </c>
      <c r="S165" s="350">
        <f>'[2]MMMH reszletes'!L320/1000</f>
        <v>0</v>
      </c>
      <c r="T165" s="351">
        <f>'[2]MMMH reszletes'!M320/1000</f>
        <v>0</v>
      </c>
      <c r="U165" s="351"/>
      <c r="V165" s="351"/>
      <c r="W165" s="351"/>
      <c r="X165" s="351"/>
      <c r="Y165" s="350">
        <f>'[2]MMMH reszletes'!N320/1000</f>
        <v>0</v>
      </c>
      <c r="Z165" s="351">
        <f>'[2]MMMH reszletes'!O320/1000</f>
        <v>0</v>
      </c>
    </row>
    <row r="166" spans="1:26" ht="14.1" customHeight="1">
      <c r="A166" s="348"/>
      <c r="B166" s="348" t="s">
        <v>841</v>
      </c>
      <c r="C166" s="349" t="s">
        <v>842</v>
      </c>
      <c r="D166" s="350"/>
      <c r="E166" s="350">
        <f t="shared" si="199"/>
        <v>0</v>
      </c>
      <c r="F166" s="351">
        <f t="shared" si="198"/>
        <v>0</v>
      </c>
      <c r="G166" s="350">
        <f>'[2]MMMH reszletes'!D321/1000</f>
        <v>0</v>
      </c>
      <c r="H166" s="351">
        <f>'[2]MMMH reszletes'!E321/1000</f>
        <v>0</v>
      </c>
      <c r="I166" s="351"/>
      <c r="J166" s="351"/>
      <c r="K166" s="350">
        <f>'[2]MMMH reszletes'!F321/1000</f>
        <v>0</v>
      </c>
      <c r="L166" s="351">
        <f>'[2]MMMH reszletes'!G321/1000</f>
        <v>0</v>
      </c>
      <c r="M166" s="350">
        <f>'[2]MMMH reszletes'!H321/1000</f>
        <v>0</v>
      </c>
      <c r="N166" s="351">
        <f>'[2]MMMH reszletes'!I321/1000</f>
        <v>0</v>
      </c>
      <c r="O166" s="351"/>
      <c r="P166" s="351"/>
      <c r="Q166" s="350">
        <f>'[2]MMMH reszletes'!J321/1000</f>
        <v>0</v>
      </c>
      <c r="R166" s="351">
        <f>'[2]MMMH reszletes'!K321/1000</f>
        <v>0</v>
      </c>
      <c r="S166" s="350">
        <f>'[2]MMMH reszletes'!L321/1000</f>
        <v>0</v>
      </c>
      <c r="T166" s="351">
        <f>'[2]MMMH reszletes'!M321/1000</f>
        <v>0</v>
      </c>
      <c r="U166" s="351"/>
      <c r="V166" s="351"/>
      <c r="W166" s="351"/>
      <c r="X166" s="351"/>
      <c r="Y166" s="350">
        <f>'[2]MMMH reszletes'!N321/1000</f>
        <v>0</v>
      </c>
      <c r="Z166" s="351">
        <f>'[2]MMMH reszletes'!O321/1000</f>
        <v>0</v>
      </c>
    </row>
    <row r="167" spans="1:26" ht="14.1" customHeight="1">
      <c r="A167" s="348" t="s">
        <v>328</v>
      </c>
      <c r="B167" s="348" t="s">
        <v>944</v>
      </c>
      <c r="C167" s="349" t="s">
        <v>329</v>
      </c>
      <c r="D167" s="350"/>
      <c r="E167" s="350">
        <f t="shared" si="199"/>
        <v>0</v>
      </c>
      <c r="F167" s="351">
        <f t="shared" si="198"/>
        <v>0</v>
      </c>
      <c r="G167" s="350">
        <f>'[2]MMMH reszletes'!D322/1000</f>
        <v>0</v>
      </c>
      <c r="H167" s="351">
        <f>'[2]MMMH reszletes'!E322/1000</f>
        <v>0</v>
      </c>
      <c r="I167" s="351"/>
      <c r="J167" s="351"/>
      <c r="K167" s="350">
        <f>'[2]MMMH reszletes'!F322/1000</f>
        <v>0</v>
      </c>
      <c r="L167" s="351">
        <f>'[2]MMMH reszletes'!G322/1000</f>
        <v>0</v>
      </c>
      <c r="M167" s="350">
        <f>'[2]MMMH reszletes'!H322/1000</f>
        <v>0</v>
      </c>
      <c r="N167" s="351">
        <f>'[2]MMMH reszletes'!I322/1000</f>
        <v>0</v>
      </c>
      <c r="O167" s="351"/>
      <c r="P167" s="351"/>
      <c r="Q167" s="350">
        <f>'[2]MMMH reszletes'!J322/1000</f>
        <v>0</v>
      </c>
      <c r="R167" s="351">
        <f>'[2]MMMH reszletes'!K322/1000</f>
        <v>0</v>
      </c>
      <c r="S167" s="350">
        <f>'[2]MMMH reszletes'!L322/1000</f>
        <v>0</v>
      </c>
      <c r="T167" s="351">
        <f>'[2]MMMH reszletes'!M322/1000</f>
        <v>0</v>
      </c>
      <c r="U167" s="351"/>
      <c r="V167" s="351"/>
      <c r="W167" s="351"/>
      <c r="X167" s="351"/>
      <c r="Y167" s="350">
        <f>'[2]MMMH reszletes'!N322/1000</f>
        <v>0</v>
      </c>
      <c r="Z167" s="351">
        <f>'[2]MMMH reszletes'!O322/1000</f>
        <v>0</v>
      </c>
    </row>
    <row r="168" spans="1:26" ht="14.1" customHeight="1">
      <c r="A168" s="348" t="s">
        <v>330</v>
      </c>
      <c r="B168" s="348" t="s">
        <v>945</v>
      </c>
      <c r="C168" s="349" t="s">
        <v>946</v>
      </c>
      <c r="D168" s="350"/>
      <c r="E168" s="350">
        <f t="shared" si="199"/>
        <v>0</v>
      </c>
      <c r="F168" s="351">
        <f t="shared" si="198"/>
        <v>0</v>
      </c>
      <c r="G168" s="350">
        <f>'[2]MMMH reszletes'!D323/1000</f>
        <v>0</v>
      </c>
      <c r="H168" s="351">
        <f>'[2]MMMH reszletes'!E323/1000</f>
        <v>0</v>
      </c>
      <c r="I168" s="351"/>
      <c r="J168" s="351"/>
      <c r="K168" s="350">
        <f>'[2]MMMH reszletes'!F323/1000</f>
        <v>0</v>
      </c>
      <c r="L168" s="351">
        <f>'[2]MMMH reszletes'!G323/1000</f>
        <v>0</v>
      </c>
      <c r="M168" s="350">
        <f>'[2]MMMH reszletes'!H323/1000</f>
        <v>0</v>
      </c>
      <c r="N168" s="351">
        <f>'[2]MMMH reszletes'!I323/1000</f>
        <v>0</v>
      </c>
      <c r="O168" s="351"/>
      <c r="P168" s="351"/>
      <c r="Q168" s="350">
        <f>'[2]MMMH reszletes'!J323/1000</f>
        <v>0</v>
      </c>
      <c r="R168" s="351">
        <f>'[2]MMMH reszletes'!K323/1000</f>
        <v>0</v>
      </c>
      <c r="S168" s="350">
        <f>'[2]MMMH reszletes'!L323/1000</f>
        <v>0</v>
      </c>
      <c r="T168" s="351">
        <f>'[2]MMMH reszletes'!M323/1000</f>
        <v>0</v>
      </c>
      <c r="U168" s="351"/>
      <c r="V168" s="351"/>
      <c r="W168" s="351"/>
      <c r="X168" s="351"/>
      <c r="Y168" s="350">
        <f>'[2]MMMH reszletes'!N323/1000</f>
        <v>0</v>
      </c>
      <c r="Z168" s="351">
        <f>'[2]MMMH reszletes'!O323/1000</f>
        <v>0</v>
      </c>
    </row>
    <row r="169" spans="1:26" ht="14.1" customHeight="1">
      <c r="A169" s="348" t="s">
        <v>332</v>
      </c>
      <c r="B169" s="348" t="s">
        <v>843</v>
      </c>
      <c r="C169" s="349" t="s">
        <v>947</v>
      </c>
      <c r="D169" s="350"/>
      <c r="E169" s="350">
        <f t="shared" si="199"/>
        <v>297</v>
      </c>
      <c r="F169" s="351">
        <f t="shared" si="198"/>
        <v>0</v>
      </c>
      <c r="G169" s="350">
        <f>ROUND((G162+G163+G164+G165+G166)*0.27,0)</f>
        <v>297</v>
      </c>
      <c r="H169" s="351">
        <f>'[2]MMMH reszletes'!E324/1000</f>
        <v>0</v>
      </c>
      <c r="I169" s="351"/>
      <c r="J169" s="351"/>
      <c r="K169" s="350">
        <v>0</v>
      </c>
      <c r="L169" s="351">
        <f>'[2]MMMH reszletes'!G324/1000</f>
        <v>0</v>
      </c>
      <c r="M169" s="350">
        <f>'[2]MMMH reszletes'!H324/1000</f>
        <v>0</v>
      </c>
      <c r="N169" s="351">
        <f>'[2]MMMH reszletes'!I324/1000</f>
        <v>0</v>
      </c>
      <c r="O169" s="351"/>
      <c r="P169" s="351"/>
      <c r="Q169" s="350">
        <f>'[2]MMMH reszletes'!J324/1000</f>
        <v>0</v>
      </c>
      <c r="R169" s="351">
        <f>'[2]MMMH reszletes'!K324/1000</f>
        <v>0</v>
      </c>
      <c r="S169" s="350">
        <f>'[2]MMMH reszletes'!L324/1000</f>
        <v>0</v>
      </c>
      <c r="T169" s="351">
        <f>'[2]MMMH reszletes'!M324/1000</f>
        <v>0</v>
      </c>
      <c r="U169" s="351"/>
      <c r="V169" s="351"/>
      <c r="W169" s="351"/>
      <c r="X169" s="351"/>
      <c r="Y169" s="350">
        <f>'[2]MMMH reszletes'!N324/1000</f>
        <v>0</v>
      </c>
      <c r="Z169" s="351">
        <f>'[2]MMMH reszletes'!O324/1000</f>
        <v>0</v>
      </c>
    </row>
    <row r="170" spans="1:26" s="317" customFormat="1" ht="14.1" customHeight="1">
      <c r="A170" s="335" t="s">
        <v>334</v>
      </c>
      <c r="B170" s="335" t="s">
        <v>845</v>
      </c>
      <c r="C170" s="336" t="s">
        <v>846</v>
      </c>
      <c r="D170" s="339">
        <f>SUM(D162:D169)</f>
        <v>0</v>
      </c>
      <c r="E170" s="339">
        <f>SUM(E162:E169)</f>
        <v>1397</v>
      </c>
      <c r="F170" s="339">
        <f>SUM(F162:F169)</f>
        <v>0</v>
      </c>
      <c r="G170" s="339">
        <f t="shared" ref="G170:T170" si="200">SUM(G162:G169)</f>
        <v>1397</v>
      </c>
      <c r="H170" s="339">
        <f t="shared" si="200"/>
        <v>0</v>
      </c>
      <c r="I170" s="339"/>
      <c r="J170" s="339"/>
      <c r="K170" s="339">
        <f t="shared" si="200"/>
        <v>0</v>
      </c>
      <c r="L170" s="339">
        <f t="shared" si="200"/>
        <v>0</v>
      </c>
      <c r="M170" s="339">
        <f t="shared" si="200"/>
        <v>0</v>
      </c>
      <c r="N170" s="339">
        <f t="shared" si="200"/>
        <v>0</v>
      </c>
      <c r="O170" s="339"/>
      <c r="P170" s="339"/>
      <c r="Q170" s="339">
        <f t="shared" si="200"/>
        <v>0</v>
      </c>
      <c r="R170" s="339">
        <f t="shared" si="200"/>
        <v>0</v>
      </c>
      <c r="S170" s="339">
        <f t="shared" si="200"/>
        <v>0</v>
      </c>
      <c r="T170" s="339">
        <f t="shared" si="200"/>
        <v>0</v>
      </c>
      <c r="U170" s="339"/>
      <c r="V170" s="339"/>
      <c r="W170" s="339"/>
      <c r="X170" s="339"/>
      <c r="Y170" s="339">
        <f t="shared" ref="Y170:Z170" si="201">SUM(Y162:Y169)</f>
        <v>0</v>
      </c>
      <c r="Z170" s="339">
        <f t="shared" si="201"/>
        <v>0</v>
      </c>
    </row>
    <row r="171" spans="1:26" ht="14.1" customHeight="1">
      <c r="A171" s="348" t="s">
        <v>335</v>
      </c>
      <c r="B171" s="348" t="s">
        <v>948</v>
      </c>
      <c r="C171" s="349" t="s">
        <v>336</v>
      </c>
      <c r="D171" s="350"/>
      <c r="E171" s="350">
        <f t="shared" si="199"/>
        <v>0</v>
      </c>
      <c r="F171" s="351">
        <f t="shared" ref="F171:F175" si="202">H171+L171+N171</f>
        <v>0</v>
      </c>
      <c r="G171" s="350">
        <f>'[2]MMMH reszletes'!D326/1000</f>
        <v>0</v>
      </c>
      <c r="H171" s="351">
        <f>'[2]MMMH reszletes'!E326/1000</f>
        <v>0</v>
      </c>
      <c r="I171" s="351"/>
      <c r="J171" s="351"/>
      <c r="K171" s="350">
        <f>'[2]MMMH reszletes'!F326/1000</f>
        <v>0</v>
      </c>
      <c r="L171" s="351">
        <f>'[2]MMMH reszletes'!G326/1000</f>
        <v>0</v>
      </c>
      <c r="M171" s="350">
        <f>'[2]MMMH reszletes'!H326/1000</f>
        <v>0</v>
      </c>
      <c r="N171" s="351">
        <f>'[2]MMMH reszletes'!I326/1000</f>
        <v>0</v>
      </c>
      <c r="O171" s="351"/>
      <c r="P171" s="351"/>
      <c r="Q171" s="350">
        <f>'[2]MMMH reszletes'!J326/1000</f>
        <v>0</v>
      </c>
      <c r="R171" s="351">
        <f>'[2]MMMH reszletes'!K326/1000</f>
        <v>0</v>
      </c>
      <c r="S171" s="350">
        <f>'[2]MMMH reszletes'!L326/1000</f>
        <v>0</v>
      </c>
      <c r="T171" s="351">
        <f>'[2]MMMH reszletes'!M326/1000</f>
        <v>0</v>
      </c>
      <c r="U171" s="351"/>
      <c r="V171" s="351"/>
      <c r="W171" s="351"/>
      <c r="X171" s="351"/>
      <c r="Y171" s="350">
        <f>'[2]MMMH reszletes'!N326/1000</f>
        <v>0</v>
      </c>
      <c r="Z171" s="351">
        <f>'[2]MMMH reszletes'!O326/1000</f>
        <v>0</v>
      </c>
    </row>
    <row r="172" spans="1:26" ht="14.1" customHeight="1">
      <c r="A172" s="348" t="s">
        <v>337</v>
      </c>
      <c r="B172" s="348" t="s">
        <v>847</v>
      </c>
      <c r="C172" s="349" t="s">
        <v>848</v>
      </c>
      <c r="D172" s="350"/>
      <c r="E172" s="350">
        <f t="shared" si="199"/>
        <v>0</v>
      </c>
      <c r="F172" s="351">
        <f t="shared" si="202"/>
        <v>0</v>
      </c>
      <c r="G172" s="350">
        <f>'[2]MMMH reszletes'!D327/1000</f>
        <v>0</v>
      </c>
      <c r="H172" s="351">
        <f>'[2]MMMH reszletes'!E327/1000</f>
        <v>0</v>
      </c>
      <c r="I172" s="351"/>
      <c r="J172" s="351"/>
      <c r="K172" s="350">
        <f>'[2]MMMH reszletes'!F327/1000</f>
        <v>0</v>
      </c>
      <c r="L172" s="351">
        <f>'[2]MMMH reszletes'!G327/1000</f>
        <v>0</v>
      </c>
      <c r="M172" s="350">
        <f>'[2]MMMH reszletes'!H327/1000</f>
        <v>0</v>
      </c>
      <c r="N172" s="351">
        <f>'[2]MMMH reszletes'!I327/1000</f>
        <v>0</v>
      </c>
      <c r="O172" s="351"/>
      <c r="P172" s="351"/>
      <c r="Q172" s="350">
        <f>'[2]MMMH reszletes'!J327/1000</f>
        <v>0</v>
      </c>
      <c r="R172" s="351">
        <f>'[2]MMMH reszletes'!K327/1000</f>
        <v>0</v>
      </c>
      <c r="S172" s="350">
        <f>'[2]MMMH reszletes'!L327/1000</f>
        <v>0</v>
      </c>
      <c r="T172" s="351">
        <f>'[2]MMMH reszletes'!M327/1000</f>
        <v>0</v>
      </c>
      <c r="U172" s="351"/>
      <c r="V172" s="351"/>
      <c r="W172" s="351"/>
      <c r="X172" s="351"/>
      <c r="Y172" s="350">
        <f>'[2]MMMH reszletes'!N327/1000</f>
        <v>0</v>
      </c>
      <c r="Z172" s="351">
        <f>'[2]MMMH reszletes'!O327/1000</f>
        <v>0</v>
      </c>
    </row>
    <row r="173" spans="1:26" ht="14.1" customHeight="1">
      <c r="A173" s="348" t="s">
        <v>339</v>
      </c>
      <c r="B173" s="348" t="s">
        <v>849</v>
      </c>
      <c r="C173" s="349" t="s">
        <v>949</v>
      </c>
      <c r="D173" s="350"/>
      <c r="E173" s="350">
        <f t="shared" si="199"/>
        <v>0</v>
      </c>
      <c r="F173" s="351">
        <f t="shared" si="202"/>
        <v>0</v>
      </c>
      <c r="G173" s="350">
        <f>'[2]MMMH reszletes'!D328/1000</f>
        <v>0</v>
      </c>
      <c r="H173" s="351">
        <f>'[2]MMMH reszletes'!E328/1000</f>
        <v>0</v>
      </c>
      <c r="I173" s="351"/>
      <c r="J173" s="351"/>
      <c r="K173" s="350">
        <f>'[2]MMMH reszletes'!F328/1000</f>
        <v>0</v>
      </c>
      <c r="L173" s="351">
        <f>'[2]MMMH reszletes'!G328/1000</f>
        <v>0</v>
      </c>
      <c r="M173" s="350">
        <f>'[2]MMMH reszletes'!H328/1000</f>
        <v>0</v>
      </c>
      <c r="N173" s="351">
        <f>'[2]MMMH reszletes'!I328/1000</f>
        <v>0</v>
      </c>
      <c r="O173" s="351"/>
      <c r="P173" s="351"/>
      <c r="Q173" s="350">
        <f>'[2]MMMH reszletes'!J328/1000</f>
        <v>0</v>
      </c>
      <c r="R173" s="351">
        <f>'[2]MMMH reszletes'!K328/1000</f>
        <v>0</v>
      </c>
      <c r="S173" s="350">
        <f>'[2]MMMH reszletes'!L328/1000</f>
        <v>0</v>
      </c>
      <c r="T173" s="351">
        <f>'[2]MMMH reszletes'!M328/1000</f>
        <v>0</v>
      </c>
      <c r="U173" s="351"/>
      <c r="V173" s="351"/>
      <c r="W173" s="351"/>
      <c r="X173" s="351"/>
      <c r="Y173" s="350">
        <f>'[2]MMMH reszletes'!N328/1000</f>
        <v>0</v>
      </c>
      <c r="Z173" s="351">
        <f>'[2]MMMH reszletes'!O328/1000</f>
        <v>0</v>
      </c>
    </row>
    <row r="174" spans="1:26" ht="14.1" customHeight="1">
      <c r="A174" s="348"/>
      <c r="B174" s="348" t="s">
        <v>851</v>
      </c>
      <c r="C174" s="349" t="s">
        <v>852</v>
      </c>
      <c r="D174" s="350"/>
      <c r="E174" s="350">
        <f t="shared" si="199"/>
        <v>0</v>
      </c>
      <c r="F174" s="351">
        <f t="shared" si="202"/>
        <v>0</v>
      </c>
      <c r="G174" s="350">
        <f>'[2]MMMH reszletes'!D329/1000</f>
        <v>0</v>
      </c>
      <c r="H174" s="351">
        <f>'[2]MMMH reszletes'!E329/1000</f>
        <v>0</v>
      </c>
      <c r="I174" s="351"/>
      <c r="J174" s="351"/>
      <c r="K174" s="350">
        <f>'[2]MMMH reszletes'!F329/1000</f>
        <v>0</v>
      </c>
      <c r="L174" s="351">
        <f>'[2]MMMH reszletes'!G329/1000</f>
        <v>0</v>
      </c>
      <c r="M174" s="350">
        <f>'[2]MMMH reszletes'!H329/1000</f>
        <v>0</v>
      </c>
      <c r="N174" s="351">
        <f>'[2]MMMH reszletes'!I329/1000</f>
        <v>0</v>
      </c>
      <c r="O174" s="351"/>
      <c r="P174" s="351"/>
      <c r="Q174" s="350">
        <f>'[2]MMMH reszletes'!J329/1000</f>
        <v>0</v>
      </c>
      <c r="R174" s="351">
        <f>'[2]MMMH reszletes'!K329/1000</f>
        <v>0</v>
      </c>
      <c r="S174" s="350">
        <f>'[2]MMMH reszletes'!L329/1000</f>
        <v>0</v>
      </c>
      <c r="T174" s="351">
        <f>'[2]MMMH reszletes'!M329/1000</f>
        <v>0</v>
      </c>
      <c r="U174" s="351"/>
      <c r="V174" s="351"/>
      <c r="W174" s="351"/>
      <c r="X174" s="351"/>
      <c r="Y174" s="350">
        <f>'[2]MMMH reszletes'!N329/1000</f>
        <v>0</v>
      </c>
      <c r="Z174" s="351">
        <f>'[2]MMMH reszletes'!O329/1000</f>
        <v>0</v>
      </c>
    </row>
    <row r="175" spans="1:26" ht="14.1" customHeight="1">
      <c r="A175" s="348" t="s">
        <v>341</v>
      </c>
      <c r="B175" s="348" t="s">
        <v>853</v>
      </c>
      <c r="C175" s="349" t="s">
        <v>950</v>
      </c>
      <c r="D175" s="350"/>
      <c r="E175" s="350">
        <f t="shared" si="199"/>
        <v>0</v>
      </c>
      <c r="F175" s="351">
        <f t="shared" si="202"/>
        <v>0</v>
      </c>
      <c r="G175" s="350">
        <f>'[2]MMMH reszletes'!D330/1000</f>
        <v>0</v>
      </c>
      <c r="H175" s="351">
        <f>'[2]MMMH reszletes'!E330/1000</f>
        <v>0</v>
      </c>
      <c r="I175" s="351"/>
      <c r="J175" s="351"/>
      <c r="K175" s="350">
        <f>'[2]MMMH reszletes'!F330/1000</f>
        <v>0</v>
      </c>
      <c r="L175" s="351">
        <f>'[2]MMMH reszletes'!G330/1000</f>
        <v>0</v>
      </c>
      <c r="M175" s="350">
        <f>'[2]MMMH reszletes'!H330/1000</f>
        <v>0</v>
      </c>
      <c r="N175" s="351">
        <f>'[2]MMMH reszletes'!I330/1000</f>
        <v>0</v>
      </c>
      <c r="O175" s="351"/>
      <c r="P175" s="351"/>
      <c r="Q175" s="350">
        <f>'[2]MMMH reszletes'!J330/1000</f>
        <v>0</v>
      </c>
      <c r="R175" s="351">
        <f>'[2]MMMH reszletes'!K330/1000</f>
        <v>0</v>
      </c>
      <c r="S175" s="350">
        <f>'[2]MMMH reszletes'!L330/1000</f>
        <v>0</v>
      </c>
      <c r="T175" s="351">
        <f>'[2]MMMH reszletes'!M330/1000</f>
        <v>0</v>
      </c>
      <c r="U175" s="351"/>
      <c r="V175" s="351"/>
      <c r="W175" s="351"/>
      <c r="X175" s="351"/>
      <c r="Y175" s="350">
        <f>'[2]MMMH reszletes'!N330/1000</f>
        <v>0</v>
      </c>
      <c r="Z175" s="351">
        <f>'[2]MMMH reszletes'!O330/1000</f>
        <v>0</v>
      </c>
    </row>
    <row r="176" spans="1:26" s="317" customFormat="1" ht="14.1" customHeight="1">
      <c r="A176" s="335" t="s">
        <v>343</v>
      </c>
      <c r="B176" s="335" t="s">
        <v>855</v>
      </c>
      <c r="C176" s="336" t="s">
        <v>856</v>
      </c>
      <c r="D176" s="339">
        <f>SUM(D171:D175)</f>
        <v>0</v>
      </c>
      <c r="E176" s="339">
        <f>SUM(E171:E175)</f>
        <v>0</v>
      </c>
      <c r="F176" s="339">
        <f>SUM(F171:F175)</f>
        <v>0</v>
      </c>
      <c r="G176" s="339">
        <f t="shared" ref="G176:T176" si="203">SUM(G171:G175)</f>
        <v>0</v>
      </c>
      <c r="H176" s="339">
        <f t="shared" si="203"/>
        <v>0</v>
      </c>
      <c r="I176" s="339"/>
      <c r="J176" s="339"/>
      <c r="K176" s="339">
        <f t="shared" si="203"/>
        <v>0</v>
      </c>
      <c r="L176" s="339">
        <f t="shared" si="203"/>
        <v>0</v>
      </c>
      <c r="M176" s="339">
        <f t="shared" si="203"/>
        <v>0</v>
      </c>
      <c r="N176" s="339">
        <f t="shared" si="203"/>
        <v>0</v>
      </c>
      <c r="O176" s="339"/>
      <c r="P176" s="339"/>
      <c r="Q176" s="339">
        <f t="shared" si="203"/>
        <v>0</v>
      </c>
      <c r="R176" s="339">
        <f t="shared" si="203"/>
        <v>0</v>
      </c>
      <c r="S176" s="339">
        <f t="shared" si="203"/>
        <v>0</v>
      </c>
      <c r="T176" s="339">
        <f t="shared" si="203"/>
        <v>0</v>
      </c>
      <c r="U176" s="339"/>
      <c r="V176" s="339"/>
      <c r="W176" s="339"/>
      <c r="X176" s="339"/>
      <c r="Y176" s="339">
        <f t="shared" ref="Y176:Z176" si="204">SUM(Y171:Y175)</f>
        <v>0</v>
      </c>
      <c r="Z176" s="339">
        <f t="shared" si="204"/>
        <v>0</v>
      </c>
    </row>
    <row r="177" spans="1:26" s="317" customFormat="1" ht="14.1" customHeight="1">
      <c r="A177" s="340"/>
      <c r="B177" s="340"/>
      <c r="C177" s="341" t="s">
        <v>857</v>
      </c>
      <c r="D177" s="344">
        <f t="shared" ref="D177:T177" si="205">D170+D176</f>
        <v>0</v>
      </c>
      <c r="E177" s="344">
        <f t="shared" si="205"/>
        <v>1397</v>
      </c>
      <c r="F177" s="344">
        <f t="shared" si="205"/>
        <v>0</v>
      </c>
      <c r="G177" s="344">
        <f t="shared" si="205"/>
        <v>1397</v>
      </c>
      <c r="H177" s="344">
        <f t="shared" si="205"/>
        <v>0</v>
      </c>
      <c r="I177" s="344"/>
      <c r="J177" s="344"/>
      <c r="K177" s="344">
        <f t="shared" si="205"/>
        <v>0</v>
      </c>
      <c r="L177" s="344">
        <f t="shared" si="205"/>
        <v>0</v>
      </c>
      <c r="M177" s="344">
        <f t="shared" si="205"/>
        <v>0</v>
      </c>
      <c r="N177" s="344">
        <f t="shared" si="205"/>
        <v>0</v>
      </c>
      <c r="O177" s="344"/>
      <c r="P177" s="344"/>
      <c r="Q177" s="344">
        <f t="shared" si="205"/>
        <v>0</v>
      </c>
      <c r="R177" s="344">
        <f t="shared" si="205"/>
        <v>0</v>
      </c>
      <c r="S177" s="344">
        <f t="shared" si="205"/>
        <v>0</v>
      </c>
      <c r="T177" s="344">
        <f t="shared" si="205"/>
        <v>0</v>
      </c>
      <c r="U177" s="344"/>
      <c r="V177" s="344"/>
      <c r="W177" s="344"/>
      <c r="X177" s="344"/>
      <c r="Y177" s="344">
        <f t="shared" ref="Y177:Z177" si="206">Y170+Y176</f>
        <v>0</v>
      </c>
      <c r="Z177" s="344">
        <f t="shared" si="206"/>
        <v>0</v>
      </c>
    </row>
    <row r="178" spans="1:26" s="317" customFormat="1" ht="14.1" customHeight="1">
      <c r="A178" s="701" t="s">
        <v>1364</v>
      </c>
      <c r="B178" s="701"/>
      <c r="C178" s="701"/>
      <c r="D178" s="354">
        <f t="shared" ref="D178" si="207">D58+D67+D152+D177</f>
        <v>0</v>
      </c>
      <c r="E178" s="354">
        <f>E58+E67+E152+E177+E187</f>
        <v>782831</v>
      </c>
      <c r="F178" s="354">
        <f t="shared" ref="F178:Z178" si="208">F58+F67+F152+F177+F187</f>
        <v>0</v>
      </c>
      <c r="G178" s="354">
        <f t="shared" si="208"/>
        <v>599740</v>
      </c>
      <c r="H178" s="354">
        <f t="shared" si="208"/>
        <v>0</v>
      </c>
      <c r="I178" s="354"/>
      <c r="J178" s="354"/>
      <c r="K178" s="354">
        <f t="shared" si="208"/>
        <v>27272</v>
      </c>
      <c r="L178" s="354">
        <f t="shared" si="208"/>
        <v>0</v>
      </c>
      <c r="M178" s="354">
        <f t="shared" si="208"/>
        <v>2540</v>
      </c>
      <c r="N178" s="354">
        <f t="shared" si="208"/>
        <v>0</v>
      </c>
      <c r="O178" s="354"/>
      <c r="P178" s="354"/>
      <c r="Q178" s="354">
        <f t="shared" si="208"/>
        <v>23023</v>
      </c>
      <c r="R178" s="354">
        <f t="shared" si="208"/>
        <v>0</v>
      </c>
      <c r="S178" s="354">
        <f t="shared" si="208"/>
        <v>7062</v>
      </c>
      <c r="T178" s="354">
        <f t="shared" si="208"/>
        <v>0</v>
      </c>
      <c r="U178" s="354"/>
      <c r="V178" s="354"/>
      <c r="W178" s="354"/>
      <c r="X178" s="354"/>
      <c r="Y178" s="354">
        <f t="shared" si="208"/>
        <v>34638</v>
      </c>
      <c r="Z178" s="354">
        <f t="shared" si="208"/>
        <v>0</v>
      </c>
    </row>
    <row r="179" spans="1:26" ht="14.1" customHeight="1">
      <c r="A179" s="348" t="s">
        <v>278</v>
      </c>
      <c r="B179" s="348"/>
      <c r="C179" s="349" t="s">
        <v>279</v>
      </c>
      <c r="D179" s="350"/>
      <c r="E179" s="350">
        <f>Y179</f>
        <v>0</v>
      </c>
      <c r="F179" s="351"/>
      <c r="G179" s="350"/>
      <c r="H179" s="351"/>
      <c r="I179" s="351"/>
      <c r="J179" s="351"/>
      <c r="K179" s="350"/>
      <c r="L179" s="351"/>
      <c r="M179" s="350"/>
      <c r="N179" s="351"/>
      <c r="O179" s="351"/>
      <c r="P179" s="351"/>
      <c r="Q179" s="350"/>
      <c r="R179" s="351"/>
      <c r="S179" s="350"/>
      <c r="T179" s="351"/>
      <c r="U179" s="351"/>
      <c r="V179" s="351"/>
      <c r="W179" s="351"/>
      <c r="X179" s="351"/>
      <c r="Y179" s="350"/>
      <c r="Z179" s="351"/>
    </row>
    <row r="180" spans="1:26" ht="14.1" customHeight="1">
      <c r="A180" s="348" t="s">
        <v>280</v>
      </c>
      <c r="B180" s="348"/>
      <c r="C180" s="349" t="s">
        <v>281</v>
      </c>
      <c r="D180" s="350"/>
      <c r="E180" s="350">
        <f t="shared" ref="E180:E186" si="209">Y180</f>
        <v>0</v>
      </c>
      <c r="F180" s="351"/>
      <c r="G180" s="350"/>
      <c r="H180" s="351"/>
      <c r="I180" s="351"/>
      <c r="J180" s="351"/>
      <c r="K180" s="350"/>
      <c r="L180" s="351"/>
      <c r="M180" s="350"/>
      <c r="N180" s="351"/>
      <c r="O180" s="351"/>
      <c r="P180" s="351"/>
      <c r="Q180" s="350"/>
      <c r="R180" s="351"/>
      <c r="S180" s="350"/>
      <c r="T180" s="351"/>
      <c r="U180" s="351"/>
      <c r="V180" s="351"/>
      <c r="W180" s="351"/>
      <c r="X180" s="351"/>
      <c r="Y180" s="350"/>
      <c r="Z180" s="351"/>
    </row>
    <row r="181" spans="1:26" ht="14.1" customHeight="1">
      <c r="A181" s="348" t="s">
        <v>282</v>
      </c>
      <c r="B181" s="348"/>
      <c r="C181" s="349" t="s">
        <v>283</v>
      </c>
      <c r="D181" s="350"/>
      <c r="E181" s="350">
        <f t="shared" si="209"/>
        <v>0</v>
      </c>
      <c r="F181" s="351"/>
      <c r="G181" s="350"/>
      <c r="H181" s="351"/>
      <c r="I181" s="351"/>
      <c r="J181" s="351"/>
      <c r="K181" s="350"/>
      <c r="L181" s="351"/>
      <c r="M181" s="350"/>
      <c r="N181" s="351"/>
      <c r="O181" s="351"/>
      <c r="P181" s="351"/>
      <c r="Q181" s="350"/>
      <c r="R181" s="351"/>
      <c r="S181" s="350"/>
      <c r="T181" s="351"/>
      <c r="U181" s="351"/>
      <c r="V181" s="351"/>
      <c r="W181" s="351"/>
      <c r="X181" s="351"/>
      <c r="Y181" s="350"/>
      <c r="Z181" s="351"/>
    </row>
    <row r="182" spans="1:26" ht="14.1" customHeight="1">
      <c r="A182" s="348" t="s">
        <v>284</v>
      </c>
      <c r="B182" s="348"/>
      <c r="C182" s="349" t="s">
        <v>1362</v>
      </c>
      <c r="D182" s="350"/>
      <c r="E182" s="350">
        <f t="shared" si="209"/>
        <v>3860</v>
      </c>
      <c r="F182" s="351"/>
      <c r="G182" s="350"/>
      <c r="H182" s="351"/>
      <c r="I182" s="351"/>
      <c r="J182" s="351"/>
      <c r="K182" s="350"/>
      <c r="L182" s="351"/>
      <c r="M182" s="350"/>
      <c r="N182" s="351"/>
      <c r="O182" s="351"/>
      <c r="P182" s="351"/>
      <c r="Q182" s="350"/>
      <c r="R182" s="351"/>
      <c r="S182" s="350"/>
      <c r="T182" s="351"/>
      <c r="U182" s="351"/>
      <c r="V182" s="351"/>
      <c r="W182" s="351"/>
      <c r="X182" s="351"/>
      <c r="Y182" s="350">
        <v>3860</v>
      </c>
      <c r="Z182" s="351"/>
    </row>
    <row r="183" spans="1:26" ht="14.1" customHeight="1">
      <c r="A183" s="348" t="s">
        <v>286</v>
      </c>
      <c r="B183" s="348"/>
      <c r="C183" s="349" t="s">
        <v>1363</v>
      </c>
      <c r="D183" s="350"/>
      <c r="E183" s="350">
        <f t="shared" si="209"/>
        <v>28240</v>
      </c>
      <c r="F183" s="351"/>
      <c r="G183" s="350"/>
      <c r="H183" s="351"/>
      <c r="I183" s="351"/>
      <c r="J183" s="351"/>
      <c r="K183" s="350"/>
      <c r="L183" s="351"/>
      <c r="M183" s="350"/>
      <c r="N183" s="351"/>
      <c r="O183" s="351"/>
      <c r="P183" s="351"/>
      <c r="Q183" s="350"/>
      <c r="R183" s="351"/>
      <c r="S183" s="350"/>
      <c r="T183" s="351"/>
      <c r="U183" s="351"/>
      <c r="V183" s="351"/>
      <c r="W183" s="351"/>
      <c r="X183" s="351"/>
      <c r="Y183" s="350">
        <f>20761+7479</f>
        <v>28240</v>
      </c>
      <c r="Z183" s="351"/>
    </row>
    <row r="184" spans="1:26" ht="14.1" customHeight="1">
      <c r="A184" s="348" t="s">
        <v>288</v>
      </c>
      <c r="B184" s="348"/>
      <c r="C184" s="349" t="s">
        <v>289</v>
      </c>
      <c r="D184" s="350"/>
      <c r="E184" s="350">
        <f t="shared" si="209"/>
        <v>2468</v>
      </c>
      <c r="F184" s="351"/>
      <c r="G184" s="350"/>
      <c r="H184" s="351"/>
      <c r="I184" s="351"/>
      <c r="J184" s="351"/>
      <c r="K184" s="350"/>
      <c r="L184" s="351"/>
      <c r="M184" s="350"/>
      <c r="N184" s="351"/>
      <c r="O184" s="351"/>
      <c r="P184" s="351"/>
      <c r="Q184" s="350"/>
      <c r="R184" s="351"/>
      <c r="S184" s="350"/>
      <c r="T184" s="351"/>
      <c r="U184" s="351"/>
      <c r="V184" s="351"/>
      <c r="W184" s="351"/>
      <c r="X184" s="351"/>
      <c r="Y184" s="350">
        <f>2468</f>
        <v>2468</v>
      </c>
      <c r="Z184" s="351"/>
    </row>
    <row r="185" spans="1:26" ht="14.1" customHeight="1">
      <c r="A185" s="348" t="s">
        <v>290</v>
      </c>
      <c r="B185" s="348"/>
      <c r="C185" s="349" t="s">
        <v>291</v>
      </c>
      <c r="D185" s="350"/>
      <c r="E185" s="350">
        <f t="shared" si="209"/>
        <v>0</v>
      </c>
      <c r="F185" s="351"/>
      <c r="G185" s="350"/>
      <c r="H185" s="351"/>
      <c r="I185" s="351"/>
      <c r="J185" s="351"/>
      <c r="K185" s="350"/>
      <c r="L185" s="351"/>
      <c r="M185" s="350"/>
      <c r="N185" s="351"/>
      <c r="O185" s="351"/>
      <c r="P185" s="351"/>
      <c r="Q185" s="350"/>
      <c r="R185" s="351"/>
      <c r="S185" s="350"/>
      <c r="T185" s="351"/>
      <c r="U185" s="351"/>
      <c r="V185" s="351"/>
      <c r="W185" s="351"/>
      <c r="X185" s="351"/>
      <c r="Y185" s="350"/>
      <c r="Z185" s="351"/>
    </row>
    <row r="186" spans="1:26" ht="14.1" customHeight="1">
      <c r="A186" s="348" t="s">
        <v>292</v>
      </c>
      <c r="B186" s="348"/>
      <c r="C186" s="349" t="s">
        <v>293</v>
      </c>
      <c r="D186" s="350"/>
      <c r="E186" s="350">
        <f t="shared" si="209"/>
        <v>70</v>
      </c>
      <c r="F186" s="351"/>
      <c r="G186" s="350"/>
      <c r="H186" s="351"/>
      <c r="I186" s="351"/>
      <c r="J186" s="351"/>
      <c r="K186" s="350"/>
      <c r="L186" s="351"/>
      <c r="M186" s="350"/>
      <c r="N186" s="351"/>
      <c r="O186" s="351"/>
      <c r="P186" s="351"/>
      <c r="Q186" s="350"/>
      <c r="R186" s="351"/>
      <c r="S186" s="350"/>
      <c r="T186" s="351"/>
      <c r="U186" s="351"/>
      <c r="V186" s="351"/>
      <c r="W186" s="351"/>
      <c r="X186" s="351"/>
      <c r="Y186" s="350">
        <f>70</f>
        <v>70</v>
      </c>
      <c r="Z186" s="351"/>
    </row>
    <row r="187" spans="1:26" ht="14.1" customHeight="1">
      <c r="A187" s="335" t="s">
        <v>294</v>
      </c>
      <c r="B187" s="335"/>
      <c r="C187" s="336" t="s">
        <v>1361</v>
      </c>
      <c r="D187" s="339"/>
      <c r="E187" s="339">
        <f>SUM(E179:E186)</f>
        <v>34638</v>
      </c>
      <c r="F187" s="339">
        <f t="shared" ref="F187:Z187" si="210">SUM(F179:F186)</f>
        <v>0</v>
      </c>
      <c r="G187" s="339">
        <f t="shared" si="210"/>
        <v>0</v>
      </c>
      <c r="H187" s="339">
        <f t="shared" si="210"/>
        <v>0</v>
      </c>
      <c r="I187" s="339"/>
      <c r="J187" s="339"/>
      <c r="K187" s="339">
        <f t="shared" si="210"/>
        <v>0</v>
      </c>
      <c r="L187" s="339">
        <f t="shared" si="210"/>
        <v>0</v>
      </c>
      <c r="M187" s="339">
        <f t="shared" si="210"/>
        <v>0</v>
      </c>
      <c r="N187" s="339">
        <f t="shared" si="210"/>
        <v>0</v>
      </c>
      <c r="O187" s="339"/>
      <c r="P187" s="339"/>
      <c r="Q187" s="339">
        <f t="shared" si="210"/>
        <v>0</v>
      </c>
      <c r="R187" s="339">
        <f t="shared" si="210"/>
        <v>0</v>
      </c>
      <c r="S187" s="339">
        <f t="shared" si="210"/>
        <v>0</v>
      </c>
      <c r="T187" s="339">
        <f t="shared" si="210"/>
        <v>0</v>
      </c>
      <c r="U187" s="339"/>
      <c r="V187" s="339"/>
      <c r="W187" s="339"/>
      <c r="X187" s="339"/>
      <c r="Y187" s="339">
        <f t="shared" si="210"/>
        <v>34638</v>
      </c>
      <c r="Z187" s="339">
        <f t="shared" si="210"/>
        <v>0</v>
      </c>
    </row>
    <row r="189" spans="1:26" s="315" customFormat="1" ht="12.75" customHeight="1">
      <c r="A189" s="699" t="s">
        <v>886</v>
      </c>
      <c r="B189" s="699"/>
      <c r="C189" s="699"/>
      <c r="D189" s="699"/>
      <c r="E189" s="699"/>
      <c r="F189" s="699"/>
      <c r="G189" s="699"/>
      <c r="H189" s="699"/>
      <c r="I189" s="699"/>
      <c r="J189" s="699"/>
      <c r="K189" s="699"/>
      <c r="L189" s="699"/>
      <c r="M189" s="699"/>
      <c r="N189" s="699"/>
      <c r="O189" s="420"/>
      <c r="P189" s="420"/>
      <c r="Q189" s="420"/>
      <c r="R189" s="420"/>
      <c r="S189" s="420"/>
      <c r="T189" s="420"/>
      <c r="U189" s="420"/>
      <c r="V189" s="420"/>
      <c r="W189" s="420"/>
      <c r="X189" s="420"/>
      <c r="Y189" s="420"/>
      <c r="Z189" s="420"/>
    </row>
    <row r="190" spans="1:26" s="315" customFormat="1" ht="14.1" customHeight="1">
      <c r="A190" s="699" t="s">
        <v>887</v>
      </c>
      <c r="B190" s="702" t="s">
        <v>888</v>
      </c>
      <c r="C190" s="699" t="s">
        <v>889</v>
      </c>
      <c r="D190" s="695" t="s">
        <v>890</v>
      </c>
      <c r="E190" s="695" t="s">
        <v>891</v>
      </c>
      <c r="F190" s="695" t="s">
        <v>892</v>
      </c>
      <c r="G190" s="695" t="s">
        <v>894</v>
      </c>
      <c r="H190" s="695"/>
      <c r="I190" s="454"/>
      <c r="J190" s="454"/>
      <c r="K190" s="695" t="s">
        <v>895</v>
      </c>
      <c r="L190" s="695"/>
      <c r="M190" s="695" t="s">
        <v>896</v>
      </c>
      <c r="N190" s="695"/>
      <c r="O190" s="392"/>
      <c r="P190" s="392"/>
      <c r="Q190" s="695" t="s">
        <v>896</v>
      </c>
      <c r="R190" s="695"/>
      <c r="S190" s="695" t="s">
        <v>896</v>
      </c>
      <c r="T190" s="695"/>
      <c r="U190" s="454"/>
      <c r="V190" s="454"/>
      <c r="W190" s="531"/>
      <c r="X190" s="531"/>
      <c r="Y190" s="695" t="s">
        <v>896</v>
      </c>
      <c r="Z190" s="695"/>
    </row>
    <row r="191" spans="1:26" s="317" customFormat="1" ht="14.1" customHeight="1">
      <c r="A191" s="699"/>
      <c r="B191" s="702"/>
      <c r="C191" s="699"/>
      <c r="D191" s="695"/>
      <c r="E191" s="695"/>
      <c r="F191" s="695"/>
      <c r="G191" s="392" t="s">
        <v>897</v>
      </c>
      <c r="H191" s="392" t="s">
        <v>898</v>
      </c>
      <c r="I191" s="454"/>
      <c r="J191" s="454"/>
      <c r="K191" s="392" t="s">
        <v>897</v>
      </c>
      <c r="L191" s="392" t="s">
        <v>898</v>
      </c>
      <c r="M191" s="392" t="s">
        <v>897</v>
      </c>
      <c r="N191" s="392" t="s">
        <v>898</v>
      </c>
      <c r="O191" s="392"/>
      <c r="P191" s="392"/>
      <c r="Q191" s="392" t="s">
        <v>897</v>
      </c>
      <c r="R191" s="392" t="s">
        <v>898</v>
      </c>
      <c r="S191" s="392" t="s">
        <v>897</v>
      </c>
      <c r="T191" s="392" t="s">
        <v>898</v>
      </c>
      <c r="U191" s="454"/>
      <c r="V191" s="454"/>
      <c r="W191" s="531"/>
      <c r="X191" s="531"/>
      <c r="Y191" s="392" t="s">
        <v>897</v>
      </c>
      <c r="Z191" s="392" t="s">
        <v>898</v>
      </c>
    </row>
    <row r="192" spans="1:26" ht="5.65" customHeight="1"/>
    <row r="193" spans="1:26" ht="14.1" customHeight="1">
      <c r="A193" s="700" t="s">
        <v>952</v>
      </c>
      <c r="B193" s="700"/>
      <c r="C193" s="700"/>
      <c r="D193" s="700"/>
      <c r="E193" s="700"/>
      <c r="F193" s="700"/>
      <c r="G193" s="700"/>
      <c r="H193" s="700"/>
      <c r="I193" s="700"/>
      <c r="J193" s="700"/>
      <c r="K193" s="700"/>
      <c r="L193" s="700"/>
      <c r="M193" s="700"/>
      <c r="N193" s="700"/>
      <c r="O193" s="419"/>
      <c r="P193" s="419"/>
      <c r="Q193" s="419"/>
      <c r="R193" s="419"/>
      <c r="S193" s="419"/>
      <c r="T193" s="419"/>
      <c r="U193" s="419"/>
      <c r="V193" s="419"/>
      <c r="W193" s="419"/>
      <c r="X193" s="419"/>
      <c r="Y193" s="419"/>
      <c r="Z193" s="419"/>
    </row>
    <row r="194" spans="1:26" s="317" customFormat="1" ht="14.1" customHeight="1">
      <c r="A194" s="340" t="s">
        <v>953</v>
      </c>
      <c r="B194" s="340"/>
      <c r="C194" s="341" t="s">
        <v>954</v>
      </c>
      <c r="D194" s="344">
        <f>SUM(D195:D202)</f>
        <v>0</v>
      </c>
      <c r="E194" s="344">
        <f t="shared" ref="E194:Z194" si="211">SUM(E195:E202)</f>
        <v>1000</v>
      </c>
      <c r="F194" s="344">
        <f t="shared" si="211"/>
        <v>0</v>
      </c>
      <c r="G194" s="344">
        <f t="shared" si="211"/>
        <v>1000</v>
      </c>
      <c r="H194" s="344">
        <f t="shared" si="211"/>
        <v>0</v>
      </c>
      <c r="I194" s="344"/>
      <c r="J194" s="344"/>
      <c r="K194" s="344">
        <f t="shared" si="211"/>
        <v>0</v>
      </c>
      <c r="L194" s="344">
        <f t="shared" si="211"/>
        <v>0</v>
      </c>
      <c r="M194" s="344">
        <f t="shared" si="211"/>
        <v>0</v>
      </c>
      <c r="N194" s="344">
        <f t="shared" si="211"/>
        <v>0</v>
      </c>
      <c r="O194" s="344">
        <f t="shared" si="211"/>
        <v>0</v>
      </c>
      <c r="P194" s="344">
        <f t="shared" si="211"/>
        <v>0</v>
      </c>
      <c r="Q194" s="344">
        <f t="shared" si="211"/>
        <v>0</v>
      </c>
      <c r="R194" s="344">
        <f t="shared" si="211"/>
        <v>0</v>
      </c>
      <c r="S194" s="344">
        <f t="shared" si="211"/>
        <v>0</v>
      </c>
      <c r="T194" s="344">
        <f t="shared" si="211"/>
        <v>0</v>
      </c>
      <c r="U194" s="344"/>
      <c r="V194" s="344"/>
      <c r="W194" s="344"/>
      <c r="X194" s="344"/>
      <c r="Y194" s="344">
        <f t="shared" si="211"/>
        <v>0</v>
      </c>
      <c r="Z194" s="344">
        <f t="shared" si="211"/>
        <v>0</v>
      </c>
    </row>
    <row r="195" spans="1:26" s="317" customFormat="1" ht="14.1" customHeight="1">
      <c r="A195" s="348" t="s">
        <v>1369</v>
      </c>
      <c r="B195" s="348"/>
      <c r="C195" s="349" t="s">
        <v>1370</v>
      </c>
      <c r="D195" s="350"/>
      <c r="E195" s="350">
        <f>G195+K195+M195+O195+Q195+S195+Y195</f>
        <v>1000</v>
      </c>
      <c r="F195" s="351"/>
      <c r="G195" s="350">
        <v>1000</v>
      </c>
      <c r="H195" s="351"/>
      <c r="I195" s="351"/>
      <c r="J195" s="351"/>
      <c r="K195" s="350"/>
      <c r="L195" s="351"/>
      <c r="M195" s="350"/>
      <c r="N195" s="351"/>
      <c r="O195" s="350"/>
      <c r="P195" s="351"/>
      <c r="Q195" s="350"/>
      <c r="R195" s="351"/>
      <c r="S195" s="350"/>
      <c r="T195" s="351"/>
      <c r="U195" s="351"/>
      <c r="V195" s="351"/>
      <c r="W195" s="351"/>
      <c r="X195" s="351"/>
      <c r="Y195" s="350"/>
      <c r="Z195" s="351"/>
    </row>
    <row r="196" spans="1:26" ht="14.1" customHeight="1">
      <c r="A196" s="348" t="s">
        <v>955</v>
      </c>
      <c r="B196" s="348"/>
      <c r="C196" s="349" t="s">
        <v>956</v>
      </c>
      <c r="D196" s="350">
        <v>0</v>
      </c>
      <c r="E196" s="350">
        <f>G196+K196+M196+O196+Q196+S196+Y196</f>
        <v>0</v>
      </c>
      <c r="F196" s="351">
        <f t="shared" ref="F196:F203" si="212">H196+L196+N196</f>
        <v>0</v>
      </c>
      <c r="G196" s="350">
        <f>'[2]MMMH reszletes'!D341/1000</f>
        <v>0</v>
      </c>
      <c r="H196" s="351">
        <f>'[2]MMMH reszletes'!E341/1000</f>
        <v>0</v>
      </c>
      <c r="I196" s="351"/>
      <c r="J196" s="351"/>
      <c r="K196" s="350">
        <f>'[2]MMMH reszletes'!F341/1000</f>
        <v>0</v>
      </c>
      <c r="L196" s="351">
        <f>'[2]MMMH reszletes'!G341/1000</f>
        <v>0</v>
      </c>
      <c r="M196" s="350">
        <f>'[2]MMMH reszletes'!H341/1000</f>
        <v>0</v>
      </c>
      <c r="N196" s="351">
        <f>'[2]MMMH reszletes'!I341/1000</f>
        <v>0</v>
      </c>
      <c r="O196" s="350">
        <f>'[2]MMMH reszletes'!J341/1000</f>
        <v>0</v>
      </c>
      <c r="P196" s="351">
        <f>'[2]MMMH reszletes'!K341/1000</f>
        <v>0</v>
      </c>
      <c r="Q196" s="350">
        <f>'[2]MMMH reszletes'!J341/1000</f>
        <v>0</v>
      </c>
      <c r="R196" s="351">
        <f>'[2]MMMH reszletes'!K341/1000</f>
        <v>0</v>
      </c>
      <c r="S196" s="350">
        <f>'[2]MMMH reszletes'!L341/1000</f>
        <v>0</v>
      </c>
      <c r="T196" s="351">
        <f>'[2]MMMH reszletes'!M341/1000</f>
        <v>0</v>
      </c>
      <c r="U196" s="351"/>
      <c r="V196" s="351"/>
      <c r="W196" s="351"/>
      <c r="X196" s="351"/>
      <c r="Y196" s="350">
        <f>'[2]MMMH reszletes'!N341/1000</f>
        <v>0</v>
      </c>
      <c r="Z196" s="351">
        <f>'[2]MMMH reszletes'!O341/1000</f>
        <v>0</v>
      </c>
    </row>
    <row r="197" spans="1:26" ht="14.1" customHeight="1">
      <c r="A197" s="348" t="s">
        <v>957</v>
      </c>
      <c r="B197" s="348"/>
      <c r="C197" s="349" t="s">
        <v>958</v>
      </c>
      <c r="D197" s="350">
        <v>0</v>
      </c>
      <c r="E197" s="350">
        <f t="shared" ref="E197:E202" si="213">G197+K197+M197+O197+Q197+S197+Y197</f>
        <v>0</v>
      </c>
      <c r="F197" s="351">
        <f t="shared" si="212"/>
        <v>0</v>
      </c>
      <c r="G197" s="350">
        <v>0</v>
      </c>
      <c r="H197" s="351">
        <f>'[2]MMMH reszletes'!E342/1000</f>
        <v>0</v>
      </c>
      <c r="I197" s="351"/>
      <c r="J197" s="351"/>
      <c r="K197" s="350">
        <f>'[2]MMMH reszletes'!F342/1000</f>
        <v>0</v>
      </c>
      <c r="L197" s="351">
        <f>'[2]MMMH reszletes'!G342/1000</f>
        <v>0</v>
      </c>
      <c r="M197" s="350">
        <f>'[2]MMMH reszletes'!H342/1000</f>
        <v>0</v>
      </c>
      <c r="N197" s="351">
        <f>'[2]MMMH reszletes'!I342/1000</f>
        <v>0</v>
      </c>
      <c r="O197" s="350">
        <f>'[2]MMMH reszletes'!J342/1000</f>
        <v>0</v>
      </c>
      <c r="P197" s="351">
        <f>'[2]MMMH reszletes'!K342/1000</f>
        <v>0</v>
      </c>
      <c r="Q197" s="350">
        <f>'[2]MMMH reszletes'!J342/1000</f>
        <v>0</v>
      </c>
      <c r="R197" s="351">
        <f>'[2]MMMH reszletes'!K342/1000</f>
        <v>0</v>
      </c>
      <c r="S197" s="350">
        <f>'[2]MMMH reszletes'!L342/1000</f>
        <v>0</v>
      </c>
      <c r="T197" s="351">
        <f>'[2]MMMH reszletes'!M342/1000</f>
        <v>0</v>
      </c>
      <c r="U197" s="351"/>
      <c r="V197" s="351"/>
      <c r="W197" s="351"/>
      <c r="X197" s="351"/>
      <c r="Y197" s="350">
        <f>'[2]MMMH reszletes'!N342/1000</f>
        <v>0</v>
      </c>
      <c r="Z197" s="351">
        <f>'[2]MMMH reszletes'!O342/1000</f>
        <v>0</v>
      </c>
    </row>
    <row r="198" spans="1:26" ht="14.1" customHeight="1">
      <c r="A198" s="348" t="s">
        <v>959</v>
      </c>
      <c r="B198" s="348"/>
      <c r="C198" s="349" t="s">
        <v>960</v>
      </c>
      <c r="D198" s="350">
        <v>0</v>
      </c>
      <c r="E198" s="350">
        <f t="shared" si="213"/>
        <v>0</v>
      </c>
      <c r="F198" s="351">
        <f t="shared" si="212"/>
        <v>0</v>
      </c>
      <c r="G198" s="350">
        <f>'[2]MMMH reszletes'!D360/1000</f>
        <v>0</v>
      </c>
      <c r="H198" s="351">
        <f>'[2]MMMH reszletes'!E360/1000</f>
        <v>0</v>
      </c>
      <c r="I198" s="351"/>
      <c r="J198" s="351"/>
      <c r="K198" s="350">
        <v>0</v>
      </c>
      <c r="L198" s="351">
        <f>'[2]MMMH reszletes'!G360/1000</f>
        <v>0</v>
      </c>
      <c r="M198" s="350">
        <f>'[2]MMMH reszletes'!H360/1000</f>
        <v>0</v>
      </c>
      <c r="N198" s="351">
        <f>'[2]MMMH reszletes'!I360/1000</f>
        <v>0</v>
      </c>
      <c r="O198" s="350">
        <f>'[2]MMMH reszletes'!J360/1000</f>
        <v>0</v>
      </c>
      <c r="P198" s="351">
        <f>'[2]MMMH reszletes'!K360/1000</f>
        <v>0</v>
      </c>
      <c r="Q198" s="350">
        <f>'[2]MMMH reszletes'!J360/1000</f>
        <v>0</v>
      </c>
      <c r="R198" s="351">
        <f>'[2]MMMH reszletes'!K360/1000</f>
        <v>0</v>
      </c>
      <c r="S198" s="350">
        <f>'[2]MMMH reszletes'!L360/1000</f>
        <v>0</v>
      </c>
      <c r="T198" s="351">
        <f>'[2]MMMH reszletes'!M360/1000</f>
        <v>0</v>
      </c>
      <c r="U198" s="351"/>
      <c r="V198" s="351"/>
      <c r="W198" s="351"/>
      <c r="X198" s="351"/>
      <c r="Y198" s="350">
        <f>'[2]MMMH reszletes'!N360/1000</f>
        <v>0</v>
      </c>
      <c r="Z198" s="351">
        <f>'[2]MMMH reszletes'!O360/1000</f>
        <v>0</v>
      </c>
    </row>
    <row r="199" spans="1:26" ht="14.1" customHeight="1">
      <c r="A199" s="348" t="s">
        <v>961</v>
      </c>
      <c r="B199" s="348"/>
      <c r="C199" s="349" t="s">
        <v>962</v>
      </c>
      <c r="D199" s="350">
        <v>0</v>
      </c>
      <c r="E199" s="350">
        <f t="shared" si="213"/>
        <v>0</v>
      </c>
      <c r="F199" s="351">
        <f t="shared" si="212"/>
        <v>0</v>
      </c>
      <c r="G199" s="350">
        <f>'[2]MMMH reszletes'!D364/1000</f>
        <v>0</v>
      </c>
      <c r="H199" s="351">
        <f>'[2]MMMH reszletes'!E364/1000</f>
        <v>0</v>
      </c>
      <c r="I199" s="351"/>
      <c r="J199" s="351"/>
      <c r="K199" s="350">
        <v>0</v>
      </c>
      <c r="L199" s="351">
        <f>'[2]MMMH reszletes'!G364/1000</f>
        <v>0</v>
      </c>
      <c r="M199" s="350">
        <f>'[2]MMMH reszletes'!H364/1000</f>
        <v>0</v>
      </c>
      <c r="N199" s="351">
        <f>'[2]MMMH reszletes'!I364/1000</f>
        <v>0</v>
      </c>
      <c r="O199" s="350">
        <f>'[2]MMMH reszletes'!J364/1000</f>
        <v>0</v>
      </c>
      <c r="P199" s="351">
        <f>'[2]MMMH reszletes'!K364/1000</f>
        <v>0</v>
      </c>
      <c r="Q199" s="350">
        <f>'[2]MMMH reszletes'!J364/1000</f>
        <v>0</v>
      </c>
      <c r="R199" s="351">
        <f>'[2]MMMH reszletes'!K364/1000</f>
        <v>0</v>
      </c>
      <c r="S199" s="350">
        <f>'[2]MMMH reszletes'!L364/1000</f>
        <v>0</v>
      </c>
      <c r="T199" s="351">
        <f>'[2]MMMH reszletes'!M364/1000</f>
        <v>0</v>
      </c>
      <c r="U199" s="351"/>
      <c r="V199" s="351"/>
      <c r="W199" s="351"/>
      <c r="X199" s="351"/>
      <c r="Y199" s="350">
        <f>'[2]MMMH reszletes'!N364/1000</f>
        <v>0</v>
      </c>
      <c r="Z199" s="351">
        <f>'[2]MMMH reszletes'!O364/1000</f>
        <v>0</v>
      </c>
    </row>
    <row r="200" spans="1:26" ht="14.1" customHeight="1">
      <c r="A200" s="348" t="s">
        <v>963</v>
      </c>
      <c r="B200" s="348"/>
      <c r="C200" s="349" t="s">
        <v>964</v>
      </c>
      <c r="D200" s="350">
        <v>0</v>
      </c>
      <c r="E200" s="350">
        <f t="shared" si="213"/>
        <v>0</v>
      </c>
      <c r="F200" s="351">
        <f t="shared" si="212"/>
        <v>0</v>
      </c>
      <c r="G200" s="350">
        <v>0</v>
      </c>
      <c r="H200" s="351">
        <f>'[2]MMMH reszletes'!E369/1000</f>
        <v>0</v>
      </c>
      <c r="I200" s="351"/>
      <c r="J200" s="351"/>
      <c r="K200" s="350">
        <v>0</v>
      </c>
      <c r="L200" s="351">
        <f>'[2]MMMH reszletes'!G369/1000</f>
        <v>0</v>
      </c>
      <c r="M200" s="350">
        <f>'[2]MMMH reszletes'!H369/1000</f>
        <v>0</v>
      </c>
      <c r="N200" s="351">
        <f>'[2]MMMH reszletes'!I369/1000</f>
        <v>0</v>
      </c>
      <c r="O200" s="350">
        <f>'[2]MMMH reszletes'!J369/1000</f>
        <v>0</v>
      </c>
      <c r="P200" s="351">
        <f>'[2]MMMH reszletes'!K369/1000</f>
        <v>0</v>
      </c>
      <c r="Q200" s="350">
        <f>'[2]MMMH reszletes'!J369/1000</f>
        <v>0</v>
      </c>
      <c r="R200" s="351">
        <f>'[2]MMMH reszletes'!K369/1000</f>
        <v>0</v>
      </c>
      <c r="S200" s="350">
        <f>'[2]MMMH reszletes'!L369/1000</f>
        <v>0</v>
      </c>
      <c r="T200" s="351">
        <f>'[2]MMMH reszletes'!M369/1000</f>
        <v>0</v>
      </c>
      <c r="U200" s="351"/>
      <c r="V200" s="351"/>
      <c r="W200" s="351"/>
      <c r="X200" s="351"/>
      <c r="Y200" s="350">
        <f>'[2]MMMH reszletes'!N369/1000</f>
        <v>0</v>
      </c>
      <c r="Z200" s="351">
        <f>'[2]MMMH reszletes'!O369/1000</f>
        <v>0</v>
      </c>
    </row>
    <row r="201" spans="1:26" ht="14.1" customHeight="1">
      <c r="A201" s="348" t="s">
        <v>965</v>
      </c>
      <c r="B201" s="348"/>
      <c r="C201" s="349" t="s">
        <v>966</v>
      </c>
      <c r="D201" s="350">
        <v>0</v>
      </c>
      <c r="E201" s="350">
        <f t="shared" si="213"/>
        <v>0</v>
      </c>
      <c r="F201" s="351">
        <f t="shared" si="212"/>
        <v>0</v>
      </c>
      <c r="G201" s="350">
        <f>'[2]MMMH reszletes'!D370/1000</f>
        <v>0</v>
      </c>
      <c r="H201" s="351">
        <f>'[2]MMMH reszletes'!E370/1000</f>
        <v>0</v>
      </c>
      <c r="I201" s="351"/>
      <c r="J201" s="351"/>
      <c r="K201" s="350">
        <v>0</v>
      </c>
      <c r="L201" s="351">
        <f>'[2]MMMH reszletes'!G370/1000</f>
        <v>0</v>
      </c>
      <c r="M201" s="350">
        <f>'[2]MMMH reszletes'!H370/1000</f>
        <v>0</v>
      </c>
      <c r="N201" s="351">
        <f>'[2]MMMH reszletes'!I370/1000</f>
        <v>0</v>
      </c>
      <c r="O201" s="350">
        <f>'[2]MMMH reszletes'!J370/1000</f>
        <v>0</v>
      </c>
      <c r="P201" s="351">
        <f>'[2]MMMH reszletes'!K370/1000</f>
        <v>0</v>
      </c>
      <c r="Q201" s="350">
        <f>'[2]MMMH reszletes'!J370/1000</f>
        <v>0</v>
      </c>
      <c r="R201" s="351">
        <f>'[2]MMMH reszletes'!K370/1000</f>
        <v>0</v>
      </c>
      <c r="S201" s="350">
        <f>'[2]MMMH reszletes'!L370/1000</f>
        <v>0</v>
      </c>
      <c r="T201" s="351">
        <f>'[2]MMMH reszletes'!M370/1000</f>
        <v>0</v>
      </c>
      <c r="U201" s="351"/>
      <c r="V201" s="351"/>
      <c r="W201" s="351"/>
      <c r="X201" s="351"/>
      <c r="Y201" s="350">
        <f>'[2]MMMH reszletes'!N370/1000</f>
        <v>0</v>
      </c>
      <c r="Z201" s="351">
        <f>'[2]MMMH reszletes'!O370/1000</f>
        <v>0</v>
      </c>
    </row>
    <row r="202" spans="1:26" ht="14.1" customHeight="1">
      <c r="A202" s="348" t="s">
        <v>967</v>
      </c>
      <c r="B202" s="348"/>
      <c r="C202" s="349" t="s">
        <v>968</v>
      </c>
      <c r="D202" s="350">
        <v>0</v>
      </c>
      <c r="E202" s="350">
        <f t="shared" si="213"/>
        <v>0</v>
      </c>
      <c r="F202" s="351">
        <f t="shared" si="212"/>
        <v>0</v>
      </c>
      <c r="G202" s="350">
        <v>0</v>
      </c>
      <c r="H202" s="351">
        <f>'[2]MMMH reszletes'!E371/1000</f>
        <v>0</v>
      </c>
      <c r="I202" s="351"/>
      <c r="J202" s="351"/>
      <c r="K202" s="350">
        <f>'[2]MMMH reszletes'!F371/1000</f>
        <v>0</v>
      </c>
      <c r="L202" s="351">
        <f>'[2]MMMH reszletes'!G371/1000</f>
        <v>0</v>
      </c>
      <c r="M202" s="350">
        <f>'[2]MMMH reszletes'!H371/1000</f>
        <v>0</v>
      </c>
      <c r="N202" s="351">
        <f>'[2]MMMH reszletes'!I371/1000</f>
        <v>0</v>
      </c>
      <c r="O202" s="350">
        <f>'[2]MMMH reszletes'!J371/1000</f>
        <v>0</v>
      </c>
      <c r="P202" s="351">
        <f>'[2]MMMH reszletes'!K371/1000</f>
        <v>0</v>
      </c>
      <c r="Q202" s="350">
        <f>'[2]MMMH reszletes'!J371/1000</f>
        <v>0</v>
      </c>
      <c r="R202" s="351">
        <f>'[2]MMMH reszletes'!K371/1000</f>
        <v>0</v>
      </c>
      <c r="S202" s="350">
        <f>'[2]MMMH reszletes'!L371/1000</f>
        <v>0</v>
      </c>
      <c r="T202" s="351">
        <f>'[2]MMMH reszletes'!M371/1000</f>
        <v>0</v>
      </c>
      <c r="U202" s="351"/>
      <c r="V202" s="351"/>
      <c r="W202" s="351"/>
      <c r="X202" s="351"/>
      <c r="Y202" s="350">
        <f>'[2]MMMH reszletes'!N371/1000</f>
        <v>0</v>
      </c>
      <c r="Z202" s="351">
        <f>'[2]MMMH reszletes'!O371/1000</f>
        <v>0</v>
      </c>
    </row>
    <row r="203" spans="1:26" s="317" customFormat="1" ht="14.1" customHeight="1">
      <c r="A203" s="340" t="s">
        <v>969</v>
      </c>
      <c r="B203" s="340"/>
      <c r="C203" s="341" t="s">
        <v>40</v>
      </c>
      <c r="D203" s="344">
        <v>0</v>
      </c>
      <c r="E203" s="344">
        <f>G203+K203+M203</f>
        <v>0</v>
      </c>
      <c r="F203" s="344">
        <f t="shared" si="212"/>
        <v>0</v>
      </c>
      <c r="G203" s="344">
        <f>'[2]MMMH reszletes'!D374/1000</f>
        <v>0</v>
      </c>
      <c r="H203" s="344">
        <f>'[2]MMMH reszletes'!E374/1000</f>
        <v>0</v>
      </c>
      <c r="I203" s="344"/>
      <c r="J203" s="344"/>
      <c r="K203" s="344">
        <f>'[2]MMMH reszletes'!F374/1000</f>
        <v>0</v>
      </c>
      <c r="L203" s="344">
        <f>'[2]MMMH reszletes'!G374/1000</f>
        <v>0</v>
      </c>
      <c r="M203" s="344">
        <f>'[2]MMMH reszletes'!H374/1000</f>
        <v>0</v>
      </c>
      <c r="N203" s="344">
        <f>'[2]MMMH reszletes'!I374/1000</f>
        <v>0</v>
      </c>
      <c r="O203" s="344"/>
      <c r="P203" s="344"/>
      <c r="Q203" s="344">
        <f>'[2]MMMH reszletes'!J374/1000</f>
        <v>0</v>
      </c>
      <c r="R203" s="344">
        <f>'[2]MMMH reszletes'!K374/1000</f>
        <v>0</v>
      </c>
      <c r="S203" s="344">
        <f>'[2]MMMH reszletes'!L374/1000</f>
        <v>0</v>
      </c>
      <c r="T203" s="344">
        <f>'[2]MMMH reszletes'!M374/1000</f>
        <v>0</v>
      </c>
      <c r="U203" s="344"/>
      <c r="V203" s="344"/>
      <c r="W203" s="344"/>
      <c r="X203" s="344"/>
      <c r="Y203" s="344">
        <f>'[2]MMMH reszletes'!N374/1000</f>
        <v>0</v>
      </c>
      <c r="Z203" s="344">
        <f>'[2]MMMH reszletes'!O374/1000</f>
        <v>0</v>
      </c>
    </row>
    <row r="204" spans="1:26" s="317" customFormat="1" ht="14.1" customHeight="1">
      <c r="A204" s="393"/>
      <c r="B204" s="393"/>
      <c r="C204" s="356" t="s">
        <v>970</v>
      </c>
      <c r="D204" s="354">
        <f t="shared" ref="D204:T204" si="214">D194+D203</f>
        <v>0</v>
      </c>
      <c r="E204" s="354">
        <f t="shared" si="214"/>
        <v>1000</v>
      </c>
      <c r="F204" s="354">
        <f t="shared" si="214"/>
        <v>0</v>
      </c>
      <c r="G204" s="354">
        <f t="shared" si="214"/>
        <v>1000</v>
      </c>
      <c r="H204" s="354">
        <f t="shared" si="214"/>
        <v>0</v>
      </c>
      <c r="I204" s="354"/>
      <c r="J204" s="354"/>
      <c r="K204" s="354">
        <f t="shared" si="214"/>
        <v>0</v>
      </c>
      <c r="L204" s="354">
        <f t="shared" si="214"/>
        <v>0</v>
      </c>
      <c r="M204" s="354">
        <f t="shared" si="214"/>
        <v>0</v>
      </c>
      <c r="N204" s="354">
        <f t="shared" si="214"/>
        <v>0</v>
      </c>
      <c r="O204" s="354"/>
      <c r="P204" s="354"/>
      <c r="Q204" s="354">
        <f t="shared" si="214"/>
        <v>0</v>
      </c>
      <c r="R204" s="354">
        <f t="shared" si="214"/>
        <v>0</v>
      </c>
      <c r="S204" s="354">
        <f t="shared" si="214"/>
        <v>0</v>
      </c>
      <c r="T204" s="354">
        <f t="shared" si="214"/>
        <v>0</v>
      </c>
      <c r="U204" s="354"/>
      <c r="V204" s="354"/>
      <c r="W204" s="354"/>
      <c r="X204" s="354"/>
      <c r="Y204" s="354">
        <f t="shared" ref="Y204:Z204" si="215">Y194+Y203</f>
        <v>0</v>
      </c>
      <c r="Z204" s="354">
        <f t="shared" si="215"/>
        <v>0</v>
      </c>
    </row>
  </sheetData>
  <sheetProtection selectLockedCells="1" selectUnlockedCells="1"/>
  <mergeCells count="62">
    <mergeCell ref="W2:X2"/>
    <mergeCell ref="U2:V2"/>
    <mergeCell ref="K2:L2"/>
    <mergeCell ref="M2:N2"/>
    <mergeCell ref="A2:A3"/>
    <mergeCell ref="B2:B3"/>
    <mergeCell ref="C2:C3"/>
    <mergeCell ref="D2:D3"/>
    <mergeCell ref="E2:E3"/>
    <mergeCell ref="I2:J2"/>
    <mergeCell ref="A69:N69"/>
    <mergeCell ref="A70:A71"/>
    <mergeCell ref="B70:B71"/>
    <mergeCell ref="C70:C71"/>
    <mergeCell ref="D70:D71"/>
    <mergeCell ref="E70:E71"/>
    <mergeCell ref="A1:Z1"/>
    <mergeCell ref="O2:P2"/>
    <mergeCell ref="A193:N193"/>
    <mergeCell ref="A190:A191"/>
    <mergeCell ref="B190:B191"/>
    <mergeCell ref="C190:C191"/>
    <mergeCell ref="D190:D191"/>
    <mergeCell ref="E190:E191"/>
    <mergeCell ref="F190:F191"/>
    <mergeCell ref="G190:H190"/>
    <mergeCell ref="K190:L190"/>
    <mergeCell ref="M190:N190"/>
    <mergeCell ref="S70:T70"/>
    <mergeCell ref="Q2:R2"/>
    <mergeCell ref="A73:N73"/>
    <mergeCell ref="A158:A159"/>
    <mergeCell ref="Y2:Z2"/>
    <mergeCell ref="Y70:Z70"/>
    <mergeCell ref="Y158:Z158"/>
    <mergeCell ref="F70:F71"/>
    <mergeCell ref="G70:H70"/>
    <mergeCell ref="K70:L70"/>
    <mergeCell ref="M70:N70"/>
    <mergeCell ref="Q70:R70"/>
    <mergeCell ref="M158:N158"/>
    <mergeCell ref="Q158:R158"/>
    <mergeCell ref="S158:T158"/>
    <mergeCell ref="F2:F3"/>
    <mergeCell ref="G2:H2"/>
    <mergeCell ref="S2:T2"/>
    <mergeCell ref="A5:N5"/>
    <mergeCell ref="A68:C68"/>
    <mergeCell ref="Y190:Z190"/>
    <mergeCell ref="A157:Z157"/>
    <mergeCell ref="C158:C159"/>
    <mergeCell ref="D158:D159"/>
    <mergeCell ref="E158:E159"/>
    <mergeCell ref="F158:F159"/>
    <mergeCell ref="G158:H158"/>
    <mergeCell ref="K158:L158"/>
    <mergeCell ref="Q190:R190"/>
    <mergeCell ref="S190:T190"/>
    <mergeCell ref="A161:N161"/>
    <mergeCell ref="A178:C178"/>
    <mergeCell ref="A189:N189"/>
    <mergeCell ref="B158:B159"/>
  </mergeCells>
  <pageMargins left="0.15763888888888888" right="0.15763888888888888" top="0.19652777777777777" bottom="0.16527777777777777" header="0.51180555555555551" footer="0.51180555555555551"/>
  <pageSetup paperSize="9" orientation="portrait" useFirstPageNumber="1" r:id="rId1"/>
  <headerFooter alignWithMargins="0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BF89"/>
  <sheetViews>
    <sheetView workbookViewId="0">
      <pane xSplit="2" ySplit="1" topLeftCell="AP35" activePane="bottomRight" state="frozen"/>
      <selection pane="topRight" activeCell="C1" sqref="C1"/>
      <selection pane="bottomLeft" activeCell="A2" sqref="A2"/>
      <selection pane="bottomRight" activeCell="AG15" sqref="AG15"/>
    </sheetView>
  </sheetViews>
  <sheetFormatPr defaultColWidth="11.5703125" defaultRowHeight="12.75"/>
  <cols>
    <col min="1" max="1" width="11.5703125" style="133"/>
    <col min="2" max="2" width="54.85546875" style="133" customWidth="1"/>
    <col min="3" max="6" width="11.5703125" style="142"/>
    <col min="7" max="8" width="21.42578125" style="142" customWidth="1"/>
    <col min="9" max="9" width="15" style="133" customWidth="1"/>
    <col min="10" max="16384" width="11.5703125" style="133"/>
  </cols>
  <sheetData>
    <row r="1" spans="1:58" ht="63.75">
      <c r="A1" s="129" t="s">
        <v>215</v>
      </c>
      <c r="B1" s="129" t="s">
        <v>58</v>
      </c>
      <c r="C1" s="130" t="s">
        <v>216</v>
      </c>
      <c r="D1" s="130" t="s">
        <v>217</v>
      </c>
      <c r="E1" s="130" t="s">
        <v>218</v>
      </c>
      <c r="F1" s="130" t="s">
        <v>531</v>
      </c>
      <c r="G1" s="130" t="s">
        <v>219</v>
      </c>
      <c r="H1" s="131" t="s">
        <v>220</v>
      </c>
      <c r="I1" s="132" t="s">
        <v>221</v>
      </c>
      <c r="J1" s="132" t="s">
        <v>222</v>
      </c>
      <c r="K1" s="132" t="s">
        <v>223</v>
      </c>
      <c r="L1" s="132" t="s">
        <v>224</v>
      </c>
      <c r="M1" s="132" t="s">
        <v>225</v>
      </c>
      <c r="N1" s="132" t="s">
        <v>226</v>
      </c>
      <c r="O1" s="132" t="s">
        <v>227</v>
      </c>
      <c r="P1" s="132" t="s">
        <v>1366</v>
      </c>
      <c r="Q1" s="132" t="s">
        <v>1367</v>
      </c>
      <c r="R1" s="256" t="s">
        <v>529</v>
      </c>
      <c r="S1" s="148" t="s">
        <v>402</v>
      </c>
      <c r="T1" s="148" t="s">
        <v>403</v>
      </c>
      <c r="U1" s="148" t="s">
        <v>404</v>
      </c>
      <c r="V1" s="148" t="s">
        <v>530</v>
      </c>
      <c r="W1" s="257" t="s">
        <v>532</v>
      </c>
      <c r="X1" s="257" t="s">
        <v>533</v>
      </c>
      <c r="Y1" s="257" t="s">
        <v>534</v>
      </c>
      <c r="Z1" s="257" t="s">
        <v>535</v>
      </c>
      <c r="AA1" s="257" t="s">
        <v>536</v>
      </c>
      <c r="AB1" s="257" t="s">
        <v>538</v>
      </c>
      <c r="AC1" s="257" t="s">
        <v>539</v>
      </c>
      <c r="AD1" s="257" t="s">
        <v>541</v>
      </c>
      <c r="AE1" s="257" t="s">
        <v>540</v>
      </c>
      <c r="AF1" s="257" t="s">
        <v>542</v>
      </c>
      <c r="AG1" s="257" t="s">
        <v>543</v>
      </c>
      <c r="AH1" s="257" t="s">
        <v>544</v>
      </c>
      <c r="AI1" s="257" t="s">
        <v>545</v>
      </c>
      <c r="AJ1" s="257" t="s">
        <v>546</v>
      </c>
      <c r="AK1" s="257" t="s">
        <v>547</v>
      </c>
      <c r="AL1" s="257" t="s">
        <v>548</v>
      </c>
      <c r="AM1" s="257" t="s">
        <v>1338</v>
      </c>
      <c r="AN1" s="257" t="s">
        <v>1339</v>
      </c>
      <c r="AO1" s="257" t="s">
        <v>1340</v>
      </c>
      <c r="AP1" s="257" t="s">
        <v>1341</v>
      </c>
      <c r="AQ1" s="257" t="s">
        <v>1342</v>
      </c>
      <c r="AR1" s="257" t="s">
        <v>1343</v>
      </c>
      <c r="AS1" s="257" t="s">
        <v>1344</v>
      </c>
      <c r="AT1" s="257" t="s">
        <v>1345</v>
      </c>
      <c r="AU1" s="257" t="s">
        <v>1346</v>
      </c>
      <c r="AV1" s="257" t="s">
        <v>1347</v>
      </c>
      <c r="AW1" s="257" t="s">
        <v>1348</v>
      </c>
      <c r="AX1" s="257" t="s">
        <v>1349</v>
      </c>
      <c r="AY1" s="257" t="s">
        <v>1350</v>
      </c>
      <c r="AZ1" s="257" t="s">
        <v>1351</v>
      </c>
      <c r="BA1" s="257" t="s">
        <v>1352</v>
      </c>
      <c r="BB1" s="257" t="s">
        <v>130</v>
      </c>
      <c r="BC1" s="257" t="s">
        <v>110</v>
      </c>
      <c r="BD1" s="257" t="s">
        <v>537</v>
      </c>
      <c r="BE1" s="257" t="s">
        <v>1826</v>
      </c>
      <c r="BF1" s="257" t="s">
        <v>1819</v>
      </c>
    </row>
    <row r="2" spans="1:58">
      <c r="A2" s="134" t="s">
        <v>228</v>
      </c>
      <c r="B2" s="134" t="s">
        <v>229</v>
      </c>
      <c r="C2" s="135">
        <f>D2+E2+F2</f>
        <v>180</v>
      </c>
      <c r="D2" s="135">
        <f>SUM(G2:R2)</f>
        <v>180</v>
      </c>
      <c r="E2" s="135">
        <f>SUM(S2:BE2)</f>
        <v>0</v>
      </c>
      <c r="F2" s="253"/>
      <c r="G2" s="135"/>
      <c r="H2" s="135"/>
      <c r="I2" s="135"/>
      <c r="J2" s="135">
        <f>20+60</f>
        <v>80</v>
      </c>
      <c r="K2" s="135"/>
      <c r="L2" s="135"/>
      <c r="M2" s="135"/>
      <c r="N2" s="135"/>
      <c r="O2" s="135"/>
      <c r="P2" s="135"/>
      <c r="Q2" s="135">
        <v>100</v>
      </c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</row>
    <row r="3" spans="1:58">
      <c r="A3" s="134" t="s">
        <v>230</v>
      </c>
      <c r="B3" s="134" t="s">
        <v>231</v>
      </c>
      <c r="C3" s="135">
        <f t="shared" ref="C3:C4" si="0">D3+E3+F3</f>
        <v>3064</v>
      </c>
      <c r="D3" s="135">
        <f t="shared" ref="D3:D4" si="1">SUM(G3:R3)</f>
        <v>2677</v>
      </c>
      <c r="E3" s="135">
        <f t="shared" ref="E3:E24" si="2">SUM(S3:BE3)</f>
        <v>387</v>
      </c>
      <c r="F3" s="253"/>
      <c r="G3" s="135"/>
      <c r="H3" s="135"/>
      <c r="I3" s="135"/>
      <c r="J3" s="135">
        <f>100+40+40</f>
        <v>180</v>
      </c>
      <c r="K3" s="135"/>
      <c r="L3" s="135">
        <f>300+200</f>
        <v>500</v>
      </c>
      <c r="M3" s="135"/>
      <c r="N3" s="135"/>
      <c r="O3" s="135">
        <v>1575</v>
      </c>
      <c r="P3" s="135">
        <v>280</v>
      </c>
      <c r="Q3" s="135">
        <v>142</v>
      </c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>
        <v>387</v>
      </c>
      <c r="BE3" s="135"/>
      <c r="BF3" s="135"/>
    </row>
    <row r="4" spans="1:58">
      <c r="A4" s="134" t="s">
        <v>232</v>
      </c>
      <c r="B4" s="134" t="s">
        <v>233</v>
      </c>
      <c r="C4" s="135">
        <f t="shared" si="0"/>
        <v>0</v>
      </c>
      <c r="D4" s="135">
        <f t="shared" si="1"/>
        <v>0</v>
      </c>
      <c r="E4" s="135">
        <f t="shared" si="2"/>
        <v>0</v>
      </c>
      <c r="F4" s="253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</row>
    <row r="5" spans="1:58">
      <c r="A5" s="136" t="s">
        <v>234</v>
      </c>
      <c r="B5" s="136" t="s">
        <v>235</v>
      </c>
      <c r="C5" s="137">
        <f>SUM(C2:C4)</f>
        <v>3244</v>
      </c>
      <c r="D5" s="137">
        <f t="shared" ref="D5:E5" si="3">SUM(D2:D4)</f>
        <v>2857</v>
      </c>
      <c r="E5" s="137">
        <f t="shared" si="3"/>
        <v>387</v>
      </c>
      <c r="F5" s="254"/>
      <c r="G5" s="137">
        <f t="shared" ref="G5:U5" si="4">SUM(G2:G4)</f>
        <v>0</v>
      </c>
      <c r="H5" s="137">
        <f t="shared" si="4"/>
        <v>0</v>
      </c>
      <c r="I5" s="137">
        <f t="shared" si="4"/>
        <v>0</v>
      </c>
      <c r="J5" s="137">
        <f t="shared" si="4"/>
        <v>260</v>
      </c>
      <c r="K5" s="137">
        <f t="shared" si="4"/>
        <v>0</v>
      </c>
      <c r="L5" s="137">
        <f t="shared" si="4"/>
        <v>500</v>
      </c>
      <c r="M5" s="137">
        <f t="shared" si="4"/>
        <v>0</v>
      </c>
      <c r="N5" s="137">
        <f t="shared" si="4"/>
        <v>0</v>
      </c>
      <c r="O5" s="137">
        <f t="shared" si="4"/>
        <v>1575</v>
      </c>
      <c r="P5" s="137">
        <f t="shared" si="4"/>
        <v>280</v>
      </c>
      <c r="Q5" s="137">
        <f t="shared" si="4"/>
        <v>242</v>
      </c>
      <c r="R5" s="137">
        <f t="shared" ref="R5" si="5">SUM(R2:R4)</f>
        <v>0</v>
      </c>
      <c r="S5" s="137">
        <f t="shared" si="4"/>
        <v>0</v>
      </c>
      <c r="T5" s="137">
        <f t="shared" si="4"/>
        <v>0</v>
      </c>
      <c r="U5" s="137">
        <f t="shared" si="4"/>
        <v>0</v>
      </c>
      <c r="V5" s="137">
        <f t="shared" ref="V5:W5" si="6">SUM(V2:V4)</f>
        <v>0</v>
      </c>
      <c r="W5" s="137">
        <f t="shared" si="6"/>
        <v>0</v>
      </c>
      <c r="X5" s="137">
        <f t="shared" ref="X5:Y5" si="7">SUM(X2:X4)</f>
        <v>0</v>
      </c>
      <c r="Y5" s="137">
        <f t="shared" si="7"/>
        <v>0</v>
      </c>
      <c r="Z5" s="137">
        <f t="shared" ref="Z5:AA5" si="8">SUM(Z2:Z4)</f>
        <v>0</v>
      </c>
      <c r="AA5" s="137">
        <f t="shared" si="8"/>
        <v>0</v>
      </c>
      <c r="AB5" s="137">
        <f t="shared" ref="AB5:AC5" si="9">SUM(AB2:AB4)</f>
        <v>0</v>
      </c>
      <c r="AC5" s="137">
        <f t="shared" si="9"/>
        <v>0</v>
      </c>
      <c r="AD5" s="137">
        <f t="shared" ref="AD5" si="10">SUM(AD2:AD4)</f>
        <v>0</v>
      </c>
      <c r="AE5" s="137">
        <f t="shared" ref="AE5:AF5" si="11">SUM(AE2:AE4)</f>
        <v>0</v>
      </c>
      <c r="AF5" s="137">
        <f t="shared" si="11"/>
        <v>0</v>
      </c>
      <c r="AG5" s="137">
        <f t="shared" ref="AG5:AH5" si="12">SUM(AG2:AG4)</f>
        <v>0</v>
      </c>
      <c r="AH5" s="137">
        <f t="shared" si="12"/>
        <v>0</v>
      </c>
      <c r="AI5" s="137">
        <f t="shared" ref="AI5:AJ5" si="13">SUM(AI2:AI4)</f>
        <v>0</v>
      </c>
      <c r="AJ5" s="137">
        <f t="shared" si="13"/>
        <v>0</v>
      </c>
      <c r="AK5" s="137">
        <f t="shared" ref="AK5:AL5" si="14">SUM(AK2:AK4)</f>
        <v>0</v>
      </c>
      <c r="AL5" s="137">
        <f t="shared" si="14"/>
        <v>0</v>
      </c>
      <c r="AM5" s="137">
        <f t="shared" ref="AM5:AO5" si="15">SUM(AM2:AM4)</f>
        <v>0</v>
      </c>
      <c r="AN5" s="137">
        <f t="shared" si="15"/>
        <v>0</v>
      </c>
      <c r="AO5" s="137">
        <f t="shared" si="15"/>
        <v>0</v>
      </c>
      <c r="AP5" s="137">
        <f t="shared" ref="AP5:AQ5" si="16">SUM(AP2:AP4)</f>
        <v>0</v>
      </c>
      <c r="AQ5" s="137">
        <f t="shared" si="16"/>
        <v>0</v>
      </c>
      <c r="AR5" s="137">
        <f t="shared" ref="AR5:AS5" si="17">SUM(AR2:AR4)</f>
        <v>0</v>
      </c>
      <c r="AS5" s="137">
        <f t="shared" si="17"/>
        <v>0</v>
      </c>
      <c r="AT5" s="137">
        <f t="shared" ref="AT5:AU5" si="18">SUM(AT2:AT4)</f>
        <v>0</v>
      </c>
      <c r="AU5" s="137">
        <f t="shared" si="18"/>
        <v>0</v>
      </c>
      <c r="AV5" s="137">
        <f t="shared" ref="AV5:AW5" si="19">SUM(AV2:AV4)</f>
        <v>0</v>
      </c>
      <c r="AW5" s="137">
        <f t="shared" si="19"/>
        <v>0</v>
      </c>
      <c r="AX5" s="137">
        <f t="shared" ref="AX5:AY5" si="20">SUM(AX2:AX4)</f>
        <v>0</v>
      </c>
      <c r="AY5" s="137">
        <f t="shared" si="20"/>
        <v>0</v>
      </c>
      <c r="AZ5" s="137">
        <f t="shared" ref="AZ5:BA5" si="21">SUM(AZ2:AZ4)</f>
        <v>0</v>
      </c>
      <c r="BA5" s="137">
        <f t="shared" si="21"/>
        <v>0</v>
      </c>
      <c r="BB5" s="137">
        <f t="shared" ref="BB5:BC5" si="22">SUM(BB2:BB4)</f>
        <v>0</v>
      </c>
      <c r="BC5" s="137">
        <f t="shared" si="22"/>
        <v>0</v>
      </c>
      <c r="BD5" s="137">
        <f t="shared" ref="BD5" si="23">SUM(BD2:BD4)</f>
        <v>387</v>
      </c>
      <c r="BE5" s="137"/>
      <c r="BF5" s="137"/>
    </row>
    <row r="6" spans="1:58">
      <c r="A6" s="134" t="s">
        <v>236</v>
      </c>
      <c r="B6" s="134" t="s">
        <v>237</v>
      </c>
      <c r="C6" s="135">
        <f t="shared" ref="C6:C7" si="24">D6+E6+F6</f>
        <v>14633</v>
      </c>
      <c r="D6" s="135">
        <f t="shared" ref="D6:D7" si="25">SUM(G6:R6)</f>
        <v>14613</v>
      </c>
      <c r="E6" s="135">
        <f t="shared" si="2"/>
        <v>20</v>
      </c>
      <c r="F6" s="253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>
        <v>14613</v>
      </c>
      <c r="R6" s="135"/>
      <c r="S6" s="135"/>
      <c r="T6" s="135"/>
      <c r="U6" s="135"/>
      <c r="V6" s="135">
        <v>20</v>
      </c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</row>
    <row r="7" spans="1:58">
      <c r="A7" s="134" t="s">
        <v>238</v>
      </c>
      <c r="B7" s="134" t="s">
        <v>239</v>
      </c>
      <c r="C7" s="135">
        <f t="shared" si="24"/>
        <v>310</v>
      </c>
      <c r="D7" s="135">
        <f t="shared" si="25"/>
        <v>290</v>
      </c>
      <c r="E7" s="135">
        <f t="shared" si="2"/>
        <v>20</v>
      </c>
      <c r="F7" s="253"/>
      <c r="G7" s="135"/>
      <c r="H7" s="135"/>
      <c r="I7" s="135"/>
      <c r="J7" s="135">
        <v>90</v>
      </c>
      <c r="K7" s="135"/>
      <c r="L7" s="135">
        <v>200</v>
      </c>
      <c r="M7" s="135"/>
      <c r="N7" s="135"/>
      <c r="O7" s="135"/>
      <c r="P7" s="135"/>
      <c r="Q7" s="135"/>
      <c r="R7" s="135"/>
      <c r="S7" s="135"/>
      <c r="T7" s="135"/>
      <c r="U7" s="135"/>
      <c r="V7" s="135">
        <v>20</v>
      </c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</row>
    <row r="8" spans="1:58">
      <c r="A8" s="136" t="s">
        <v>240</v>
      </c>
      <c r="B8" s="136" t="s">
        <v>241</v>
      </c>
      <c r="C8" s="137">
        <f>SUM(C6:C7)</f>
        <v>14943</v>
      </c>
      <c r="D8" s="137">
        <f t="shared" ref="D8:E8" si="26">SUM(D6:D7)</f>
        <v>14903</v>
      </c>
      <c r="E8" s="137">
        <f t="shared" si="26"/>
        <v>40</v>
      </c>
      <c r="F8" s="254"/>
      <c r="G8" s="137">
        <f t="shared" ref="G8:U8" si="27">SUM(G6:G7)</f>
        <v>0</v>
      </c>
      <c r="H8" s="137">
        <f t="shared" si="27"/>
        <v>0</v>
      </c>
      <c r="I8" s="137">
        <f t="shared" si="27"/>
        <v>0</v>
      </c>
      <c r="J8" s="137">
        <f t="shared" si="27"/>
        <v>90</v>
      </c>
      <c r="K8" s="137">
        <f t="shared" si="27"/>
        <v>0</v>
      </c>
      <c r="L8" s="137">
        <f t="shared" si="27"/>
        <v>200</v>
      </c>
      <c r="M8" s="137">
        <f t="shared" si="27"/>
        <v>0</v>
      </c>
      <c r="N8" s="137">
        <f t="shared" si="27"/>
        <v>0</v>
      </c>
      <c r="O8" s="137">
        <f t="shared" si="27"/>
        <v>0</v>
      </c>
      <c r="P8" s="137">
        <f t="shared" si="27"/>
        <v>0</v>
      </c>
      <c r="Q8" s="137">
        <f t="shared" si="27"/>
        <v>14613</v>
      </c>
      <c r="R8" s="137">
        <f t="shared" ref="R8" si="28">SUM(R6:R7)</f>
        <v>0</v>
      </c>
      <c r="S8" s="137">
        <f t="shared" si="27"/>
        <v>0</v>
      </c>
      <c r="T8" s="137">
        <f t="shared" si="27"/>
        <v>0</v>
      </c>
      <c r="U8" s="137">
        <f t="shared" si="27"/>
        <v>0</v>
      </c>
      <c r="V8" s="137">
        <f t="shared" ref="V8:W8" si="29">SUM(V6:V7)</f>
        <v>40</v>
      </c>
      <c r="W8" s="137">
        <f t="shared" si="29"/>
        <v>0</v>
      </c>
      <c r="X8" s="137">
        <f t="shared" ref="X8:Y8" si="30">SUM(X6:X7)</f>
        <v>0</v>
      </c>
      <c r="Y8" s="137">
        <f t="shared" si="30"/>
        <v>0</v>
      </c>
      <c r="Z8" s="137">
        <f t="shared" ref="Z8:AA8" si="31">SUM(Z6:Z7)</f>
        <v>0</v>
      </c>
      <c r="AA8" s="137">
        <f t="shared" si="31"/>
        <v>0</v>
      </c>
      <c r="AB8" s="137">
        <f t="shared" ref="AB8:AC8" si="32">SUM(AB6:AB7)</f>
        <v>0</v>
      </c>
      <c r="AC8" s="137">
        <f t="shared" si="32"/>
        <v>0</v>
      </c>
      <c r="AD8" s="137">
        <f t="shared" ref="AD8" si="33">SUM(AD6:AD7)</f>
        <v>0</v>
      </c>
      <c r="AE8" s="137">
        <f t="shared" ref="AE8:AF8" si="34">SUM(AE6:AE7)</f>
        <v>0</v>
      </c>
      <c r="AF8" s="137">
        <f t="shared" si="34"/>
        <v>0</v>
      </c>
      <c r="AG8" s="137">
        <f t="shared" ref="AG8:AH8" si="35">SUM(AG6:AG7)</f>
        <v>0</v>
      </c>
      <c r="AH8" s="137">
        <f t="shared" si="35"/>
        <v>0</v>
      </c>
      <c r="AI8" s="137">
        <f t="shared" ref="AI8:AJ8" si="36">SUM(AI6:AI7)</f>
        <v>0</v>
      </c>
      <c r="AJ8" s="137">
        <f t="shared" si="36"/>
        <v>0</v>
      </c>
      <c r="AK8" s="137">
        <f t="shared" ref="AK8:AL8" si="37">SUM(AK6:AK7)</f>
        <v>0</v>
      </c>
      <c r="AL8" s="137">
        <f t="shared" si="37"/>
        <v>0</v>
      </c>
      <c r="AM8" s="137">
        <f t="shared" ref="AM8:AO8" si="38">SUM(AM6:AM7)</f>
        <v>0</v>
      </c>
      <c r="AN8" s="137">
        <f t="shared" si="38"/>
        <v>0</v>
      </c>
      <c r="AO8" s="137">
        <f t="shared" si="38"/>
        <v>0</v>
      </c>
      <c r="AP8" s="137">
        <f t="shared" ref="AP8:AQ8" si="39">SUM(AP6:AP7)</f>
        <v>0</v>
      </c>
      <c r="AQ8" s="137">
        <f t="shared" si="39"/>
        <v>0</v>
      </c>
      <c r="AR8" s="137">
        <f t="shared" ref="AR8:AS8" si="40">SUM(AR6:AR7)</f>
        <v>0</v>
      </c>
      <c r="AS8" s="137">
        <f t="shared" si="40"/>
        <v>0</v>
      </c>
      <c r="AT8" s="137">
        <f t="shared" ref="AT8:AU8" si="41">SUM(AT6:AT7)</f>
        <v>0</v>
      </c>
      <c r="AU8" s="137">
        <f t="shared" si="41"/>
        <v>0</v>
      </c>
      <c r="AV8" s="137">
        <f t="shared" ref="AV8:AW8" si="42">SUM(AV6:AV7)</f>
        <v>0</v>
      </c>
      <c r="AW8" s="137">
        <f t="shared" si="42"/>
        <v>0</v>
      </c>
      <c r="AX8" s="137">
        <f t="shared" ref="AX8:AY8" si="43">SUM(AX6:AX7)</f>
        <v>0</v>
      </c>
      <c r="AY8" s="137">
        <f t="shared" si="43"/>
        <v>0</v>
      </c>
      <c r="AZ8" s="137">
        <f t="shared" ref="AZ8:BA8" si="44">SUM(AZ6:AZ7)</f>
        <v>0</v>
      </c>
      <c r="BA8" s="137">
        <f t="shared" si="44"/>
        <v>0</v>
      </c>
      <c r="BB8" s="137">
        <f t="shared" ref="BB8:BC8" si="45">SUM(BB6:BB7)</f>
        <v>0</v>
      </c>
      <c r="BC8" s="137">
        <f t="shared" si="45"/>
        <v>0</v>
      </c>
      <c r="BD8" s="137">
        <f t="shared" ref="BD8" si="46">SUM(BD6:BD7)</f>
        <v>0</v>
      </c>
      <c r="BE8" s="137"/>
      <c r="BF8" s="137"/>
    </row>
    <row r="9" spans="1:58">
      <c r="A9" s="134" t="s">
        <v>242</v>
      </c>
      <c r="B9" s="134" t="s">
        <v>243</v>
      </c>
      <c r="C9" s="135">
        <f t="shared" ref="C9:C15" si="47">D9+E9+F9</f>
        <v>5089</v>
      </c>
      <c r="D9" s="135">
        <f t="shared" ref="D9:D15" si="48">SUM(G9:R9)</f>
        <v>5089</v>
      </c>
      <c r="E9" s="135">
        <f t="shared" si="2"/>
        <v>0</v>
      </c>
      <c r="F9" s="253"/>
      <c r="G9" s="135"/>
      <c r="H9" s="135"/>
      <c r="I9" s="135">
        <f>20*12</f>
        <v>240</v>
      </c>
      <c r="J9" s="135"/>
      <c r="K9" s="135"/>
      <c r="L9" s="135"/>
      <c r="M9" s="135">
        <v>440</v>
      </c>
      <c r="N9" s="135"/>
      <c r="O9" s="135"/>
      <c r="P9" s="135"/>
      <c r="Q9" s="135">
        <v>4409</v>
      </c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</row>
    <row r="10" spans="1:58">
      <c r="A10" s="134" t="s">
        <v>244</v>
      </c>
      <c r="B10" s="134" t="s">
        <v>245</v>
      </c>
      <c r="C10" s="135">
        <f t="shared" si="47"/>
        <v>0</v>
      </c>
      <c r="D10" s="135">
        <f t="shared" si="48"/>
        <v>0</v>
      </c>
      <c r="E10" s="135">
        <f t="shared" si="2"/>
        <v>0</v>
      </c>
      <c r="F10" s="253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</row>
    <row r="11" spans="1:58">
      <c r="A11" s="134" t="s">
        <v>246</v>
      </c>
      <c r="B11" s="134" t="s">
        <v>247</v>
      </c>
      <c r="C11" s="135">
        <f t="shared" si="47"/>
        <v>4091</v>
      </c>
      <c r="D11" s="135">
        <f t="shared" si="48"/>
        <v>4091</v>
      </c>
      <c r="E11" s="135">
        <f t="shared" si="2"/>
        <v>0</v>
      </c>
      <c r="F11" s="253"/>
      <c r="G11" s="135"/>
      <c r="H11" s="135"/>
      <c r="I11" s="135">
        <f>1021+1320</f>
        <v>2341</v>
      </c>
      <c r="J11" s="135"/>
      <c r="K11" s="135"/>
      <c r="L11" s="135"/>
      <c r="M11" s="135"/>
      <c r="N11" s="135"/>
      <c r="O11" s="135"/>
      <c r="P11" s="135"/>
      <c r="Q11" s="135">
        <v>1750</v>
      </c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</row>
    <row r="12" spans="1:58">
      <c r="A12" s="134" t="s">
        <v>248</v>
      </c>
      <c r="B12" s="134" t="s">
        <v>249</v>
      </c>
      <c r="C12" s="135">
        <f t="shared" si="47"/>
        <v>60</v>
      </c>
      <c r="D12" s="135">
        <f t="shared" si="48"/>
        <v>60</v>
      </c>
      <c r="E12" s="135">
        <f t="shared" si="2"/>
        <v>0</v>
      </c>
      <c r="F12" s="253"/>
      <c r="G12" s="135"/>
      <c r="H12" s="135"/>
      <c r="I12" s="135"/>
      <c r="J12" s="135">
        <v>60</v>
      </c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</row>
    <row r="13" spans="1:58">
      <c r="A13" s="134" t="s">
        <v>250</v>
      </c>
      <c r="B13" s="134" t="s">
        <v>251</v>
      </c>
      <c r="C13" s="135">
        <f t="shared" si="47"/>
        <v>0</v>
      </c>
      <c r="D13" s="135">
        <f t="shared" si="48"/>
        <v>0</v>
      </c>
      <c r="E13" s="135">
        <f t="shared" si="2"/>
        <v>0</v>
      </c>
      <c r="F13" s="253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</row>
    <row r="14" spans="1:58">
      <c r="A14" s="134" t="s">
        <v>252</v>
      </c>
      <c r="B14" s="134" t="s">
        <v>253</v>
      </c>
      <c r="C14" s="135">
        <f t="shared" si="47"/>
        <v>87760</v>
      </c>
      <c r="D14" s="135">
        <f t="shared" si="48"/>
        <v>47629</v>
      </c>
      <c r="E14" s="135">
        <f t="shared" si="2"/>
        <v>40131</v>
      </c>
      <c r="F14" s="253"/>
      <c r="G14" s="135">
        <v>7950</v>
      </c>
      <c r="H14" s="135"/>
      <c r="I14" s="135">
        <v>14263</v>
      </c>
      <c r="J14" s="135"/>
      <c r="K14" s="135"/>
      <c r="L14" s="135"/>
      <c r="M14" s="135"/>
      <c r="N14" s="135"/>
      <c r="O14" s="135">
        <f>2700</f>
        <v>2700</v>
      </c>
      <c r="P14" s="135"/>
      <c r="Q14" s="135">
        <v>22716</v>
      </c>
      <c r="R14" s="135"/>
      <c r="S14" s="135"/>
      <c r="T14" s="135"/>
      <c r="U14" s="135"/>
      <c r="V14" s="135"/>
      <c r="W14" s="135"/>
      <c r="X14" s="135">
        <v>1050</v>
      </c>
      <c r="Y14" s="135">
        <v>3811</v>
      </c>
      <c r="Z14" s="135">
        <v>2500</v>
      </c>
      <c r="AA14" s="135">
        <v>9000</v>
      </c>
      <c r="AB14" s="135">
        <v>1750</v>
      </c>
      <c r="AC14" s="135">
        <v>720</v>
      </c>
      <c r="AD14" s="135">
        <v>2400</v>
      </c>
      <c r="AE14" s="135"/>
      <c r="AF14" s="135">
        <v>1500</v>
      </c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>
        <v>17400</v>
      </c>
      <c r="BF14" s="135"/>
    </row>
    <row r="15" spans="1:58">
      <c r="A15" s="134" t="s">
        <v>254</v>
      </c>
      <c r="B15" s="134" t="s">
        <v>255</v>
      </c>
      <c r="C15" s="135">
        <f t="shared" si="47"/>
        <v>324534</v>
      </c>
      <c r="D15" s="135">
        <f t="shared" si="48"/>
        <v>43319</v>
      </c>
      <c r="E15" s="135">
        <f t="shared" si="2"/>
        <v>281215</v>
      </c>
      <c r="F15" s="253"/>
      <c r="G15" s="135"/>
      <c r="H15" s="135">
        <v>11289</v>
      </c>
      <c r="I15" s="135">
        <f>727+473</f>
        <v>1200</v>
      </c>
      <c r="J15" s="135">
        <v>60</v>
      </c>
      <c r="K15" s="135">
        <v>2185</v>
      </c>
      <c r="L15" s="135">
        <v>2200</v>
      </c>
      <c r="M15" s="135"/>
      <c r="N15" s="135">
        <v>14394</v>
      </c>
      <c r="O15" s="135">
        <v>787</v>
      </c>
      <c r="P15" s="135">
        <v>12</v>
      </c>
      <c r="Q15" s="135">
        <v>11192</v>
      </c>
      <c r="R15" s="135"/>
      <c r="S15" s="135">
        <v>3744</v>
      </c>
      <c r="T15" s="135"/>
      <c r="U15" s="135">
        <f>1970+1181</f>
        <v>3151</v>
      </c>
      <c r="V15" s="135">
        <v>1000</v>
      </c>
      <c r="W15" s="135"/>
      <c r="X15" s="135"/>
      <c r="Y15" s="135"/>
      <c r="Z15" s="135"/>
      <c r="AA15" s="135"/>
      <c r="AB15" s="135"/>
      <c r="AC15" s="135"/>
      <c r="AD15" s="135"/>
      <c r="AE15" s="135">
        <v>1648</v>
      </c>
      <c r="AF15" s="135"/>
      <c r="AG15" s="135">
        <f>4550+6300+2000+7000</f>
        <v>19850</v>
      </c>
      <c r="AH15" s="135"/>
      <c r="AI15" s="135"/>
      <c r="AJ15" s="135"/>
      <c r="AK15" s="135"/>
      <c r="AL15" s="135"/>
      <c r="AM15" s="135"/>
      <c r="AN15" s="135"/>
      <c r="AO15" s="135"/>
      <c r="AP15" s="135">
        <v>251422</v>
      </c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>
        <v>400</v>
      </c>
      <c r="BE15" s="135"/>
      <c r="BF15" s="135"/>
    </row>
    <row r="16" spans="1:58">
      <c r="A16" s="136" t="s">
        <v>256</v>
      </c>
      <c r="B16" s="136" t="s">
        <v>257</v>
      </c>
      <c r="C16" s="137">
        <f>SUM(C9:C15)</f>
        <v>421534</v>
      </c>
      <c r="D16" s="137">
        <f t="shared" ref="D16:Q16" si="49">SUM(D9:D15)</f>
        <v>100188</v>
      </c>
      <c r="E16" s="137">
        <f t="shared" si="49"/>
        <v>321346</v>
      </c>
      <c r="F16" s="254"/>
      <c r="G16" s="137">
        <f t="shared" si="49"/>
        <v>7950</v>
      </c>
      <c r="H16" s="137">
        <f t="shared" si="49"/>
        <v>11289</v>
      </c>
      <c r="I16" s="137">
        <f t="shared" si="49"/>
        <v>18044</v>
      </c>
      <c r="J16" s="137">
        <f t="shared" si="49"/>
        <v>120</v>
      </c>
      <c r="K16" s="137">
        <f t="shared" si="49"/>
        <v>2185</v>
      </c>
      <c r="L16" s="137">
        <f t="shared" si="49"/>
        <v>2200</v>
      </c>
      <c r="M16" s="137">
        <f t="shared" si="49"/>
        <v>440</v>
      </c>
      <c r="N16" s="137">
        <f t="shared" si="49"/>
        <v>14394</v>
      </c>
      <c r="O16" s="137">
        <f t="shared" si="49"/>
        <v>3487</v>
      </c>
      <c r="P16" s="137">
        <f t="shared" si="49"/>
        <v>12</v>
      </c>
      <c r="Q16" s="137">
        <f t="shared" si="49"/>
        <v>40067</v>
      </c>
      <c r="R16" s="137">
        <f t="shared" ref="R16" si="50">SUM(R9:R15)</f>
        <v>0</v>
      </c>
      <c r="S16" s="137">
        <f t="shared" ref="S16:T16" si="51">SUM(S9:S15)</f>
        <v>3744</v>
      </c>
      <c r="T16" s="137">
        <f t="shared" si="51"/>
        <v>0</v>
      </c>
      <c r="U16" s="137">
        <f t="shared" ref="U16:V16" si="52">SUM(U9:U15)</f>
        <v>3151</v>
      </c>
      <c r="V16" s="137">
        <f t="shared" si="52"/>
        <v>1000</v>
      </c>
      <c r="W16" s="137">
        <f t="shared" ref="W16:X16" si="53">SUM(W9:W15)</f>
        <v>0</v>
      </c>
      <c r="X16" s="137">
        <f t="shared" si="53"/>
        <v>1050</v>
      </c>
      <c r="Y16" s="137">
        <f t="shared" ref="Y16:Z16" si="54">SUM(Y9:Y15)</f>
        <v>3811</v>
      </c>
      <c r="Z16" s="137">
        <f t="shared" si="54"/>
        <v>2500</v>
      </c>
      <c r="AA16" s="137">
        <f t="shared" ref="AA16:BE16" si="55">SUM(AA9:AA15)</f>
        <v>9000</v>
      </c>
      <c r="AB16" s="137">
        <f t="shared" ref="AB16:AC16" si="56">SUM(AB9:AB15)</f>
        <v>1750</v>
      </c>
      <c r="AC16" s="137">
        <f t="shared" si="56"/>
        <v>720</v>
      </c>
      <c r="AD16" s="137">
        <f t="shared" ref="AD16" si="57">SUM(AD9:AD15)</f>
        <v>2400</v>
      </c>
      <c r="AE16" s="137">
        <f t="shared" ref="AE16:AF16" si="58">SUM(AE9:AE15)</f>
        <v>1648</v>
      </c>
      <c r="AF16" s="137">
        <f t="shared" si="58"/>
        <v>1500</v>
      </c>
      <c r="AG16" s="137">
        <f t="shared" ref="AG16:AH16" si="59">SUM(AG9:AG15)</f>
        <v>19850</v>
      </c>
      <c r="AH16" s="137">
        <f t="shared" si="59"/>
        <v>0</v>
      </c>
      <c r="AI16" s="137">
        <f t="shared" ref="AI16:AJ16" si="60">SUM(AI9:AI15)</f>
        <v>0</v>
      </c>
      <c r="AJ16" s="137">
        <f t="shared" si="60"/>
        <v>0</v>
      </c>
      <c r="AK16" s="137">
        <f t="shared" ref="AK16:AL16" si="61">SUM(AK9:AK15)</f>
        <v>0</v>
      </c>
      <c r="AL16" s="137">
        <f t="shared" si="61"/>
        <v>0</v>
      </c>
      <c r="AM16" s="137">
        <f t="shared" ref="AM16:AO16" si="62">SUM(AM9:AM15)</f>
        <v>0</v>
      </c>
      <c r="AN16" s="137">
        <f t="shared" si="62"/>
        <v>0</v>
      </c>
      <c r="AO16" s="137">
        <f t="shared" si="62"/>
        <v>0</v>
      </c>
      <c r="AP16" s="137">
        <f t="shared" ref="AP16:AQ16" si="63">SUM(AP9:AP15)</f>
        <v>251422</v>
      </c>
      <c r="AQ16" s="137">
        <f t="shared" si="63"/>
        <v>0</v>
      </c>
      <c r="AR16" s="137">
        <f t="shared" ref="AR16:AS16" si="64">SUM(AR9:AR15)</f>
        <v>0</v>
      </c>
      <c r="AS16" s="137">
        <f t="shared" si="64"/>
        <v>0</v>
      </c>
      <c r="AT16" s="137">
        <f t="shared" ref="AT16:AU16" si="65">SUM(AT9:AT15)</f>
        <v>0</v>
      </c>
      <c r="AU16" s="137">
        <f t="shared" si="65"/>
        <v>0</v>
      </c>
      <c r="AV16" s="137">
        <f t="shared" ref="AV16:AW16" si="66">SUM(AV9:AV15)</f>
        <v>0</v>
      </c>
      <c r="AW16" s="137">
        <f t="shared" si="66"/>
        <v>0</v>
      </c>
      <c r="AX16" s="137">
        <f t="shared" ref="AX16:AY16" si="67">SUM(AX9:AX15)</f>
        <v>0</v>
      </c>
      <c r="AY16" s="137">
        <f t="shared" si="67"/>
        <v>0</v>
      </c>
      <c r="AZ16" s="137">
        <f t="shared" ref="AZ16:BA16" si="68">SUM(AZ9:AZ15)</f>
        <v>0</v>
      </c>
      <c r="BA16" s="137">
        <f t="shared" si="68"/>
        <v>0</v>
      </c>
      <c r="BB16" s="137">
        <f t="shared" ref="BB16:BC16" si="69">SUM(BB9:BB15)</f>
        <v>0</v>
      </c>
      <c r="BC16" s="137">
        <f t="shared" si="69"/>
        <v>0</v>
      </c>
      <c r="BD16" s="137">
        <f t="shared" si="55"/>
        <v>400</v>
      </c>
      <c r="BE16" s="137">
        <f t="shared" si="55"/>
        <v>17400</v>
      </c>
      <c r="BF16" s="137">
        <f t="shared" ref="BF16" si="70">SUM(BF9:BF15)</f>
        <v>0</v>
      </c>
    </row>
    <row r="17" spans="1:58">
      <c r="A17" s="134" t="s">
        <v>258</v>
      </c>
      <c r="B17" s="134" t="s">
        <v>259</v>
      </c>
      <c r="C17" s="135">
        <f t="shared" ref="C17:C18" si="71">D17+E17+F17</f>
        <v>2479</v>
      </c>
      <c r="D17" s="135">
        <f t="shared" ref="D17:D18" si="72">SUM(G17:R17)</f>
        <v>2100</v>
      </c>
      <c r="E17" s="135">
        <f t="shared" si="2"/>
        <v>379</v>
      </c>
      <c r="F17" s="253"/>
      <c r="G17" s="135"/>
      <c r="H17" s="135"/>
      <c r="I17" s="135"/>
      <c r="J17" s="135">
        <v>200</v>
      </c>
      <c r="K17" s="135"/>
      <c r="L17" s="135"/>
      <c r="M17" s="135"/>
      <c r="N17" s="135"/>
      <c r="O17" s="135"/>
      <c r="P17" s="135"/>
      <c r="Q17" s="135">
        <v>1900</v>
      </c>
      <c r="R17" s="135"/>
      <c r="S17" s="135"/>
      <c r="T17" s="135"/>
      <c r="U17" s="135"/>
      <c r="V17" s="135">
        <v>379</v>
      </c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</row>
    <row r="18" spans="1:58">
      <c r="A18" s="134" t="s">
        <v>260</v>
      </c>
      <c r="B18" s="134" t="s">
        <v>261</v>
      </c>
      <c r="C18" s="135">
        <f t="shared" si="71"/>
        <v>700</v>
      </c>
      <c r="D18" s="135">
        <f t="shared" si="72"/>
        <v>700</v>
      </c>
      <c r="E18" s="135">
        <f t="shared" si="2"/>
        <v>0</v>
      </c>
      <c r="F18" s="253"/>
      <c r="G18" s="135"/>
      <c r="H18" s="135"/>
      <c r="I18" s="135"/>
      <c r="J18" s="135"/>
      <c r="K18" s="135"/>
      <c r="L18" s="135">
        <v>200</v>
      </c>
      <c r="M18" s="135"/>
      <c r="N18" s="135"/>
      <c r="O18" s="135"/>
      <c r="P18" s="135"/>
      <c r="Q18" s="135">
        <v>500</v>
      </c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</row>
    <row r="19" spans="1:58">
      <c r="A19" s="136" t="s">
        <v>262</v>
      </c>
      <c r="B19" s="136" t="s">
        <v>263</v>
      </c>
      <c r="C19" s="137">
        <f>SUM(C17:C18)</f>
        <v>3179</v>
      </c>
      <c r="D19" s="137">
        <f t="shared" ref="D19:E19" si="73">SUM(D17:D18)</f>
        <v>2800</v>
      </c>
      <c r="E19" s="137">
        <f t="shared" si="73"/>
        <v>379</v>
      </c>
      <c r="F19" s="254"/>
      <c r="G19" s="137">
        <f t="shared" ref="G19:U19" si="74">SUM(G17:G18)</f>
        <v>0</v>
      </c>
      <c r="H19" s="137">
        <f t="shared" si="74"/>
        <v>0</v>
      </c>
      <c r="I19" s="137">
        <f t="shared" si="74"/>
        <v>0</v>
      </c>
      <c r="J19" s="137">
        <f t="shared" si="74"/>
        <v>200</v>
      </c>
      <c r="K19" s="137">
        <f t="shared" si="74"/>
        <v>0</v>
      </c>
      <c r="L19" s="137">
        <f t="shared" si="74"/>
        <v>200</v>
      </c>
      <c r="M19" s="137">
        <f t="shared" si="74"/>
        <v>0</v>
      </c>
      <c r="N19" s="137">
        <f t="shared" si="74"/>
        <v>0</v>
      </c>
      <c r="O19" s="137">
        <f t="shared" si="74"/>
        <v>0</v>
      </c>
      <c r="P19" s="137">
        <f t="shared" si="74"/>
        <v>0</v>
      </c>
      <c r="Q19" s="137">
        <f t="shared" si="74"/>
        <v>2400</v>
      </c>
      <c r="R19" s="137">
        <f t="shared" ref="R19" si="75">SUM(R17:R18)</f>
        <v>0</v>
      </c>
      <c r="S19" s="137">
        <f t="shared" si="74"/>
        <v>0</v>
      </c>
      <c r="T19" s="137">
        <f t="shared" si="74"/>
        <v>0</v>
      </c>
      <c r="U19" s="137">
        <f t="shared" si="74"/>
        <v>0</v>
      </c>
      <c r="V19" s="137">
        <f t="shared" ref="V19:W19" si="76">SUM(V17:V18)</f>
        <v>379</v>
      </c>
      <c r="W19" s="137">
        <f t="shared" si="76"/>
        <v>0</v>
      </c>
      <c r="X19" s="137">
        <f t="shared" ref="X19:Y19" si="77">SUM(X17:X18)</f>
        <v>0</v>
      </c>
      <c r="Y19" s="137">
        <f t="shared" si="77"/>
        <v>0</v>
      </c>
      <c r="Z19" s="137">
        <f t="shared" ref="Z19:AA19" si="78">SUM(Z17:Z18)</f>
        <v>0</v>
      </c>
      <c r="AA19" s="137">
        <f t="shared" si="78"/>
        <v>0</v>
      </c>
      <c r="AB19" s="137">
        <f t="shared" ref="AB19:AC19" si="79">SUM(AB17:AB18)</f>
        <v>0</v>
      </c>
      <c r="AC19" s="137">
        <f t="shared" si="79"/>
        <v>0</v>
      </c>
      <c r="AD19" s="137">
        <f t="shared" ref="AD19" si="80">SUM(AD17:AD18)</f>
        <v>0</v>
      </c>
      <c r="AE19" s="137">
        <f t="shared" ref="AE19:AF19" si="81">SUM(AE17:AE18)</f>
        <v>0</v>
      </c>
      <c r="AF19" s="137">
        <f t="shared" si="81"/>
        <v>0</v>
      </c>
      <c r="AG19" s="137">
        <f t="shared" ref="AG19:AH19" si="82">SUM(AG17:AG18)</f>
        <v>0</v>
      </c>
      <c r="AH19" s="137">
        <f t="shared" si="82"/>
        <v>0</v>
      </c>
      <c r="AI19" s="137">
        <f t="shared" ref="AI19:AJ19" si="83">SUM(AI17:AI18)</f>
        <v>0</v>
      </c>
      <c r="AJ19" s="137">
        <f t="shared" si="83"/>
        <v>0</v>
      </c>
      <c r="AK19" s="137">
        <f t="shared" ref="AK19:AL19" si="84">SUM(AK17:AK18)</f>
        <v>0</v>
      </c>
      <c r="AL19" s="137">
        <f t="shared" si="84"/>
        <v>0</v>
      </c>
      <c r="AM19" s="137">
        <f t="shared" ref="AM19:AO19" si="85">SUM(AM17:AM18)</f>
        <v>0</v>
      </c>
      <c r="AN19" s="137">
        <f t="shared" si="85"/>
        <v>0</v>
      </c>
      <c r="AO19" s="137">
        <f t="shared" si="85"/>
        <v>0</v>
      </c>
      <c r="AP19" s="137">
        <f t="shared" ref="AP19:AQ19" si="86">SUM(AP17:AP18)</f>
        <v>0</v>
      </c>
      <c r="AQ19" s="137">
        <f t="shared" si="86"/>
        <v>0</v>
      </c>
      <c r="AR19" s="137">
        <f t="shared" ref="AR19:AS19" si="87">SUM(AR17:AR18)</f>
        <v>0</v>
      </c>
      <c r="AS19" s="137">
        <f t="shared" si="87"/>
        <v>0</v>
      </c>
      <c r="AT19" s="137">
        <f t="shared" ref="AT19:AU19" si="88">SUM(AT17:AT18)</f>
        <v>0</v>
      </c>
      <c r="AU19" s="137">
        <f t="shared" si="88"/>
        <v>0</v>
      </c>
      <c r="AV19" s="137">
        <f t="shared" ref="AV19:AW19" si="89">SUM(AV17:AV18)</f>
        <v>0</v>
      </c>
      <c r="AW19" s="137">
        <f t="shared" si="89"/>
        <v>0</v>
      </c>
      <c r="AX19" s="137">
        <f t="shared" ref="AX19:AY19" si="90">SUM(AX17:AX18)</f>
        <v>0</v>
      </c>
      <c r="AY19" s="137">
        <f t="shared" si="90"/>
        <v>0</v>
      </c>
      <c r="AZ19" s="137">
        <f t="shared" ref="AZ19:BA19" si="91">SUM(AZ17:AZ18)</f>
        <v>0</v>
      </c>
      <c r="BA19" s="137">
        <f t="shared" si="91"/>
        <v>0</v>
      </c>
      <c r="BB19" s="137">
        <f t="shared" ref="BB19:BC19" si="92">SUM(BB17:BB18)</f>
        <v>0</v>
      </c>
      <c r="BC19" s="137">
        <f t="shared" si="92"/>
        <v>0</v>
      </c>
      <c r="BD19" s="137">
        <f t="shared" ref="BD19:BE19" si="93">SUM(BD17:BD18)</f>
        <v>0</v>
      </c>
      <c r="BE19" s="137">
        <f t="shared" si="93"/>
        <v>0</v>
      </c>
      <c r="BF19" s="137">
        <f t="shared" ref="BF19" si="94">SUM(BF17:BF18)</f>
        <v>0</v>
      </c>
    </row>
    <row r="20" spans="1:58">
      <c r="A20" s="134" t="s">
        <v>264</v>
      </c>
      <c r="B20" s="134" t="s">
        <v>265</v>
      </c>
      <c r="C20" s="135">
        <f t="shared" ref="C20:C24" si="95">D20+E20+F20</f>
        <v>104334</v>
      </c>
      <c r="D20" s="135">
        <f t="shared" ref="D20:D24" si="96">SUM(G20:R20)</f>
        <v>26293</v>
      </c>
      <c r="E20" s="135">
        <f t="shared" si="2"/>
        <v>78041</v>
      </c>
      <c r="F20" s="253"/>
      <c r="G20" s="135">
        <f>1782+365</f>
        <v>2147</v>
      </c>
      <c r="H20" s="135">
        <v>3048</v>
      </c>
      <c r="I20" s="135">
        <f>276+357+17</f>
        <v>650</v>
      </c>
      <c r="J20" s="135">
        <v>216</v>
      </c>
      <c r="K20" s="135"/>
      <c r="L20" s="135">
        <v>1000</v>
      </c>
      <c r="M20" s="135">
        <v>119</v>
      </c>
      <c r="N20" s="135">
        <v>3887</v>
      </c>
      <c r="O20" s="135">
        <v>1367</v>
      </c>
      <c r="P20" s="135">
        <v>78</v>
      </c>
      <c r="Q20" s="135">
        <v>13781</v>
      </c>
      <c r="R20" s="135"/>
      <c r="S20" s="135"/>
      <c r="T20" s="135"/>
      <c r="U20" s="135">
        <f>849</f>
        <v>849</v>
      </c>
      <c r="V20" s="135">
        <f>ROUND((V5+V8+V16+V19)*0.27,0)</f>
        <v>383</v>
      </c>
      <c r="W20" s="135"/>
      <c r="X20" s="135">
        <f>ROUND((X5+X8+X16+X19)*0.27,0)</f>
        <v>284</v>
      </c>
      <c r="Y20" s="135"/>
      <c r="Z20" s="135"/>
      <c r="AA20" s="135">
        <f>ROUND((AA5+AA8+AA16+AA19)*0.27,0)</f>
        <v>2430</v>
      </c>
      <c r="AB20" s="135"/>
      <c r="AC20" s="135">
        <f>ROUND((AC5+AC8+AC16+AC19)*0.27,0)</f>
        <v>194</v>
      </c>
      <c r="AD20" s="135"/>
      <c r="AE20" s="135">
        <f>ROUND((AE5+AE8+AE16+AE19)*0.27,0)</f>
        <v>445</v>
      </c>
      <c r="AF20" s="135"/>
      <c r="AG20" s="135">
        <f>ROUND((AG5+AG8+AG16+AG19)*0.27,0)</f>
        <v>5360</v>
      </c>
      <c r="AH20" s="135"/>
      <c r="AI20" s="135"/>
      <c r="AJ20" s="135"/>
      <c r="AK20" s="135"/>
      <c r="AL20" s="135"/>
      <c r="AM20" s="135"/>
      <c r="AN20" s="135"/>
      <c r="AO20" s="135"/>
      <c r="AP20" s="135">
        <v>67884</v>
      </c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>
        <f>ROUND((BD5+BD16+BD8+BD19)*0.27,0)</f>
        <v>212</v>
      </c>
      <c r="BE20" s="135"/>
      <c r="BF20" s="135"/>
    </row>
    <row r="21" spans="1:58">
      <c r="A21" s="134" t="s">
        <v>266</v>
      </c>
      <c r="B21" s="134" t="s">
        <v>267</v>
      </c>
      <c r="C21" s="135">
        <f t="shared" si="95"/>
        <v>0</v>
      </c>
      <c r="D21" s="135">
        <f t="shared" si="96"/>
        <v>0</v>
      </c>
      <c r="E21" s="135">
        <f t="shared" si="2"/>
        <v>0</v>
      </c>
      <c r="F21" s="253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>
        <f t="shared" ref="AH21:AL21" si="97">ROUND((AH8+AH16)*0.27,0)</f>
        <v>0</v>
      </c>
      <c r="AI21" s="135">
        <f t="shared" si="97"/>
        <v>0</v>
      </c>
      <c r="AJ21" s="135">
        <f t="shared" si="97"/>
        <v>0</v>
      </c>
      <c r="AK21" s="135">
        <f t="shared" si="97"/>
        <v>0</v>
      </c>
      <c r="AL21" s="135">
        <f t="shared" si="97"/>
        <v>0</v>
      </c>
      <c r="AM21" s="135">
        <f t="shared" ref="AM21:AO21" si="98">ROUND((AM8+AM16)*0.27,0)</f>
        <v>0</v>
      </c>
      <c r="AN21" s="135">
        <f t="shared" si="98"/>
        <v>0</v>
      </c>
      <c r="AO21" s="135">
        <f t="shared" si="98"/>
        <v>0</v>
      </c>
      <c r="AP21" s="135"/>
      <c r="AQ21" s="135">
        <f t="shared" ref="AQ21" si="99">ROUND((AQ8+AQ16)*0.27,0)</f>
        <v>0</v>
      </c>
      <c r="AR21" s="135">
        <f t="shared" ref="AR21:AS21" si="100">ROUND((AR8+AR16)*0.27,0)</f>
        <v>0</v>
      </c>
      <c r="AS21" s="135">
        <f t="shared" si="100"/>
        <v>0</v>
      </c>
      <c r="AT21" s="135">
        <f t="shared" ref="AT21:AU21" si="101">ROUND((AT8+AT16)*0.27,0)</f>
        <v>0</v>
      </c>
      <c r="AU21" s="135">
        <f t="shared" si="101"/>
        <v>0</v>
      </c>
      <c r="AV21" s="135">
        <f t="shared" ref="AV21:AW21" si="102">ROUND((AV8+AV16)*0.27,0)</f>
        <v>0</v>
      </c>
      <c r="AW21" s="135">
        <f t="shared" si="102"/>
        <v>0</v>
      </c>
      <c r="AX21" s="135">
        <f t="shared" ref="AX21:AY21" si="103">ROUND((AX8+AX16)*0.27,0)</f>
        <v>0</v>
      </c>
      <c r="AY21" s="135">
        <f t="shared" si="103"/>
        <v>0</v>
      </c>
      <c r="AZ21" s="135">
        <f t="shared" ref="AZ21:BA21" si="104">ROUND((AZ8+AZ16)*0.27,0)</f>
        <v>0</v>
      </c>
      <c r="BA21" s="135">
        <f t="shared" si="104"/>
        <v>0</v>
      </c>
      <c r="BB21" s="135">
        <f t="shared" ref="BB21:BC21" si="105">ROUND((BB8+BB16)*0.27,0)</f>
        <v>0</v>
      </c>
      <c r="BC21" s="135">
        <f t="shared" si="105"/>
        <v>0</v>
      </c>
      <c r="BD21" s="135"/>
      <c r="BE21" s="135"/>
      <c r="BF21" s="135"/>
    </row>
    <row r="22" spans="1:58">
      <c r="A22" s="134" t="s">
        <v>268</v>
      </c>
      <c r="B22" s="134" t="s">
        <v>269</v>
      </c>
      <c r="C22" s="135">
        <f t="shared" si="95"/>
        <v>500</v>
      </c>
      <c r="D22" s="135">
        <f t="shared" si="96"/>
        <v>500</v>
      </c>
      <c r="E22" s="135">
        <f t="shared" si="2"/>
        <v>0</v>
      </c>
      <c r="F22" s="253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>
        <v>500</v>
      </c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</row>
    <row r="23" spans="1:58">
      <c r="A23" s="134" t="s">
        <v>270</v>
      </c>
      <c r="B23" s="134" t="s">
        <v>271</v>
      </c>
      <c r="C23" s="135">
        <f t="shared" si="95"/>
        <v>0</v>
      </c>
      <c r="D23" s="135">
        <f t="shared" si="96"/>
        <v>0</v>
      </c>
      <c r="E23" s="135">
        <f t="shared" si="2"/>
        <v>0</v>
      </c>
      <c r="F23" s="253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</row>
    <row r="24" spans="1:58">
      <c r="A24" s="134" t="s">
        <v>272</v>
      </c>
      <c r="B24" s="134" t="s">
        <v>273</v>
      </c>
      <c r="C24" s="135">
        <f t="shared" si="95"/>
        <v>224820</v>
      </c>
      <c r="D24" s="135">
        <f t="shared" si="96"/>
        <v>123820</v>
      </c>
      <c r="E24" s="135">
        <f t="shared" si="2"/>
        <v>101000</v>
      </c>
      <c r="F24" s="253"/>
      <c r="G24" s="135"/>
      <c r="H24" s="135"/>
      <c r="I24" s="135"/>
      <c r="J24" s="135">
        <f>50+60</f>
        <v>110</v>
      </c>
      <c r="K24" s="135"/>
      <c r="L24" s="135"/>
      <c r="M24" s="135"/>
      <c r="N24" s="135"/>
      <c r="O24" s="135"/>
      <c r="P24" s="135"/>
      <c r="Q24" s="135">
        <f>12600+120000-8890</f>
        <v>123710</v>
      </c>
      <c r="R24" s="135"/>
      <c r="S24" s="135"/>
      <c r="T24" s="135">
        <v>100000</v>
      </c>
      <c r="U24" s="135"/>
      <c r="V24" s="135"/>
      <c r="W24" s="135">
        <v>1000</v>
      </c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</row>
    <row r="25" spans="1:58">
      <c r="A25" s="136" t="s">
        <v>274</v>
      </c>
      <c r="B25" s="136" t="s">
        <v>275</v>
      </c>
      <c r="C25" s="137">
        <f>SUM(C20:C24)</f>
        <v>329654</v>
      </c>
      <c r="D25" s="137">
        <f t="shared" ref="D25:E25" si="106">SUM(D20:D24)</f>
        <v>150613</v>
      </c>
      <c r="E25" s="137">
        <f t="shared" si="106"/>
        <v>179041</v>
      </c>
      <c r="F25" s="254"/>
      <c r="G25" s="137">
        <f t="shared" ref="G25:U25" si="107">SUM(G20:G24)</f>
        <v>2147</v>
      </c>
      <c r="H25" s="137">
        <f t="shared" si="107"/>
        <v>3048</v>
      </c>
      <c r="I25" s="137">
        <f t="shared" si="107"/>
        <v>650</v>
      </c>
      <c r="J25" s="137">
        <f t="shared" si="107"/>
        <v>326</v>
      </c>
      <c r="K25" s="137">
        <f t="shared" si="107"/>
        <v>0</v>
      </c>
      <c r="L25" s="137">
        <f t="shared" si="107"/>
        <v>1000</v>
      </c>
      <c r="M25" s="137">
        <f t="shared" si="107"/>
        <v>119</v>
      </c>
      <c r="N25" s="137">
        <f t="shared" si="107"/>
        <v>3887</v>
      </c>
      <c r="O25" s="137">
        <f t="shared" si="107"/>
        <v>1367</v>
      </c>
      <c r="P25" s="137">
        <f t="shared" si="107"/>
        <v>78</v>
      </c>
      <c r="Q25" s="137">
        <f t="shared" si="107"/>
        <v>137991</v>
      </c>
      <c r="R25" s="137">
        <f t="shared" ref="R25" si="108">SUM(R20:R24)</f>
        <v>0</v>
      </c>
      <c r="S25" s="137">
        <f t="shared" si="107"/>
        <v>0</v>
      </c>
      <c r="T25" s="137">
        <f t="shared" si="107"/>
        <v>100000</v>
      </c>
      <c r="U25" s="137">
        <f t="shared" si="107"/>
        <v>849</v>
      </c>
      <c r="V25" s="137">
        <f t="shared" ref="V25:W25" si="109">SUM(V20:V24)</f>
        <v>383</v>
      </c>
      <c r="W25" s="137">
        <f t="shared" si="109"/>
        <v>1000</v>
      </c>
      <c r="X25" s="137">
        <f t="shared" ref="X25:Y25" si="110">SUM(X20:X24)</f>
        <v>284</v>
      </c>
      <c r="Y25" s="137">
        <f t="shared" si="110"/>
        <v>0</v>
      </c>
      <c r="Z25" s="137">
        <f t="shared" ref="Z25:AA25" si="111">SUM(Z20:Z24)</f>
        <v>0</v>
      </c>
      <c r="AA25" s="137">
        <f t="shared" si="111"/>
        <v>2430</v>
      </c>
      <c r="AB25" s="137">
        <f t="shared" ref="AB25:AC25" si="112">SUM(AB20:AB24)</f>
        <v>0</v>
      </c>
      <c r="AC25" s="137">
        <f t="shared" si="112"/>
        <v>194</v>
      </c>
      <c r="AD25" s="137">
        <f t="shared" ref="AD25" si="113">SUM(AD20:AD24)</f>
        <v>0</v>
      </c>
      <c r="AE25" s="137">
        <f t="shared" ref="AE25:AF25" si="114">SUM(AE20:AE24)</f>
        <v>445</v>
      </c>
      <c r="AF25" s="137">
        <f t="shared" si="114"/>
        <v>0</v>
      </c>
      <c r="AG25" s="137">
        <f t="shared" ref="AG25:AH25" si="115">SUM(AG20:AG24)</f>
        <v>5360</v>
      </c>
      <c r="AH25" s="137">
        <f t="shared" si="115"/>
        <v>0</v>
      </c>
      <c r="AI25" s="137">
        <f t="shared" ref="AI25:AJ25" si="116">SUM(AI20:AI24)</f>
        <v>0</v>
      </c>
      <c r="AJ25" s="137">
        <f t="shared" si="116"/>
        <v>0</v>
      </c>
      <c r="AK25" s="137">
        <f t="shared" ref="AK25:AL25" si="117">SUM(AK20:AK24)</f>
        <v>0</v>
      </c>
      <c r="AL25" s="137">
        <f t="shared" si="117"/>
        <v>0</v>
      </c>
      <c r="AM25" s="137">
        <f t="shared" ref="AM25:AO25" si="118">SUM(AM20:AM24)</f>
        <v>0</v>
      </c>
      <c r="AN25" s="137">
        <f t="shared" si="118"/>
        <v>0</v>
      </c>
      <c r="AO25" s="137">
        <f t="shared" si="118"/>
        <v>0</v>
      </c>
      <c r="AP25" s="137">
        <f t="shared" ref="AP25:AQ25" si="119">SUM(AP20:AP24)</f>
        <v>67884</v>
      </c>
      <c r="AQ25" s="137">
        <f t="shared" si="119"/>
        <v>0</v>
      </c>
      <c r="AR25" s="137">
        <f t="shared" ref="AR25:AS25" si="120">SUM(AR20:AR24)</f>
        <v>0</v>
      </c>
      <c r="AS25" s="137">
        <f t="shared" si="120"/>
        <v>0</v>
      </c>
      <c r="AT25" s="137">
        <f t="shared" ref="AT25:AU25" si="121">SUM(AT20:AT24)</f>
        <v>0</v>
      </c>
      <c r="AU25" s="137">
        <f t="shared" si="121"/>
        <v>0</v>
      </c>
      <c r="AV25" s="137">
        <f t="shared" ref="AV25:AW25" si="122">SUM(AV20:AV24)</f>
        <v>0</v>
      </c>
      <c r="AW25" s="137">
        <f t="shared" si="122"/>
        <v>0</v>
      </c>
      <c r="AX25" s="137">
        <f t="shared" ref="AX25:AY25" si="123">SUM(AX20:AX24)</f>
        <v>0</v>
      </c>
      <c r="AY25" s="137">
        <f t="shared" si="123"/>
        <v>0</v>
      </c>
      <c r="AZ25" s="137">
        <f t="shared" ref="AZ25:BA25" si="124">SUM(AZ20:AZ24)</f>
        <v>0</v>
      </c>
      <c r="BA25" s="137">
        <f t="shared" si="124"/>
        <v>0</v>
      </c>
      <c r="BB25" s="137">
        <f t="shared" ref="BB25:BC25" si="125">SUM(BB20:BB24)</f>
        <v>0</v>
      </c>
      <c r="BC25" s="137">
        <f t="shared" si="125"/>
        <v>0</v>
      </c>
      <c r="BD25" s="137">
        <f t="shared" ref="BD25:BE25" si="126">SUM(BD20:BD24)</f>
        <v>212</v>
      </c>
      <c r="BE25" s="137">
        <f t="shared" si="126"/>
        <v>0</v>
      </c>
      <c r="BF25" s="137">
        <f t="shared" ref="BF25" si="127">SUM(BF20:BF24)</f>
        <v>0</v>
      </c>
    </row>
    <row r="26" spans="1:58">
      <c r="A26" s="138" t="s">
        <v>276</v>
      </c>
      <c r="B26" s="138" t="s">
        <v>277</v>
      </c>
      <c r="C26" s="139">
        <f>C5+C8+C16+C19+C25</f>
        <v>772554</v>
      </c>
      <c r="D26" s="139">
        <f t="shared" ref="D26:E26" si="128">D5+D8+D16+D19+D25</f>
        <v>271361</v>
      </c>
      <c r="E26" s="139">
        <f t="shared" si="128"/>
        <v>501193</v>
      </c>
      <c r="F26" s="255"/>
      <c r="G26" s="139">
        <f t="shared" ref="G26:U26" si="129">G5+G8+G16+G19+G25</f>
        <v>10097</v>
      </c>
      <c r="H26" s="139">
        <f t="shared" si="129"/>
        <v>14337</v>
      </c>
      <c r="I26" s="139">
        <f t="shared" si="129"/>
        <v>18694</v>
      </c>
      <c r="J26" s="139">
        <f t="shared" si="129"/>
        <v>996</v>
      </c>
      <c r="K26" s="139">
        <f t="shared" si="129"/>
        <v>2185</v>
      </c>
      <c r="L26" s="139">
        <f t="shared" si="129"/>
        <v>4100</v>
      </c>
      <c r="M26" s="139">
        <f t="shared" si="129"/>
        <v>559</v>
      </c>
      <c r="N26" s="139">
        <f t="shared" si="129"/>
        <v>18281</v>
      </c>
      <c r="O26" s="139">
        <f t="shared" si="129"/>
        <v>6429</v>
      </c>
      <c r="P26" s="139">
        <f t="shared" si="129"/>
        <v>370</v>
      </c>
      <c r="Q26" s="139">
        <f t="shared" si="129"/>
        <v>195313</v>
      </c>
      <c r="R26" s="139">
        <f t="shared" ref="R26" si="130">R5+R8+R16+R19+R25</f>
        <v>0</v>
      </c>
      <c r="S26" s="139">
        <f t="shared" si="129"/>
        <v>3744</v>
      </c>
      <c r="T26" s="139">
        <f t="shared" si="129"/>
        <v>100000</v>
      </c>
      <c r="U26" s="139">
        <f t="shared" si="129"/>
        <v>4000</v>
      </c>
      <c r="V26" s="139">
        <f t="shared" ref="V26:W26" si="131">V5+V8+V16+V19+V25</f>
        <v>1802</v>
      </c>
      <c r="W26" s="139">
        <f t="shared" si="131"/>
        <v>1000</v>
      </c>
      <c r="X26" s="139">
        <f t="shared" ref="X26:Y26" si="132">X5+X8+X16+X19+X25</f>
        <v>1334</v>
      </c>
      <c r="Y26" s="139">
        <f t="shared" si="132"/>
        <v>3811</v>
      </c>
      <c r="Z26" s="139">
        <f t="shared" ref="Z26:AA26" si="133">Z5+Z8+Z16+Z19+Z25</f>
        <v>2500</v>
      </c>
      <c r="AA26" s="139">
        <f t="shared" si="133"/>
        <v>11430</v>
      </c>
      <c r="AB26" s="139">
        <f t="shared" ref="AB26:AC26" si="134">AB5+AB8+AB16+AB19+AB25</f>
        <v>1750</v>
      </c>
      <c r="AC26" s="139">
        <f t="shared" si="134"/>
        <v>914</v>
      </c>
      <c r="AD26" s="139">
        <f t="shared" ref="AD26" si="135">AD5+AD8+AD16+AD19+AD25</f>
        <v>2400</v>
      </c>
      <c r="AE26" s="139">
        <f t="shared" ref="AE26:AF26" si="136">AE5+AE8+AE16+AE19+AE25</f>
        <v>2093</v>
      </c>
      <c r="AF26" s="139">
        <f t="shared" si="136"/>
        <v>1500</v>
      </c>
      <c r="AG26" s="139">
        <f t="shared" ref="AG26:AH26" si="137">AG5+AG8+AG16+AG19+AG25</f>
        <v>25210</v>
      </c>
      <c r="AH26" s="139">
        <f t="shared" si="137"/>
        <v>0</v>
      </c>
      <c r="AI26" s="139">
        <f t="shared" ref="AI26:AJ26" si="138">AI5+AI8+AI16+AI19+AI25</f>
        <v>0</v>
      </c>
      <c r="AJ26" s="139">
        <f t="shared" si="138"/>
        <v>0</v>
      </c>
      <c r="AK26" s="139">
        <f t="shared" ref="AK26:AL26" si="139">AK5+AK8+AK16+AK19+AK25</f>
        <v>0</v>
      </c>
      <c r="AL26" s="139">
        <f t="shared" si="139"/>
        <v>0</v>
      </c>
      <c r="AM26" s="139">
        <f t="shared" ref="AM26:AO26" si="140">AM5+AM8+AM16+AM19+AM25</f>
        <v>0</v>
      </c>
      <c r="AN26" s="139">
        <f t="shared" si="140"/>
        <v>0</v>
      </c>
      <c r="AO26" s="139">
        <f t="shared" si="140"/>
        <v>0</v>
      </c>
      <c r="AP26" s="139">
        <f t="shared" ref="AP26:AR26" si="141">AP5+AP8+AP16+AP19+AP25</f>
        <v>319306</v>
      </c>
      <c r="AQ26" s="139">
        <f t="shared" si="141"/>
        <v>0</v>
      </c>
      <c r="AR26" s="139">
        <f t="shared" si="141"/>
        <v>0</v>
      </c>
      <c r="AS26" s="139">
        <f t="shared" ref="AS26:AT26" si="142">AS5+AS8+AS16+AS19+AS25</f>
        <v>0</v>
      </c>
      <c r="AT26" s="139">
        <f t="shared" si="142"/>
        <v>0</v>
      </c>
      <c r="AU26" s="139">
        <f t="shared" ref="AU26:AV26" si="143">AU5+AU8+AU16+AU19+AU25</f>
        <v>0</v>
      </c>
      <c r="AV26" s="139">
        <f t="shared" si="143"/>
        <v>0</v>
      </c>
      <c r="AW26" s="139">
        <f t="shared" ref="AW26:AX26" si="144">AW5+AW8+AW16+AW19+AW25</f>
        <v>0</v>
      </c>
      <c r="AX26" s="139">
        <f t="shared" si="144"/>
        <v>0</v>
      </c>
      <c r="AY26" s="139">
        <f t="shared" ref="AY26:AZ26" si="145">AY5+AY8+AY16+AY19+AY25</f>
        <v>0</v>
      </c>
      <c r="AZ26" s="139">
        <f t="shared" si="145"/>
        <v>0</v>
      </c>
      <c r="BA26" s="139">
        <f t="shared" ref="BA26:BC26" si="146">BA5+BA8+BA16+BA19+BA25</f>
        <v>0</v>
      </c>
      <c r="BB26" s="139">
        <f t="shared" si="146"/>
        <v>0</v>
      </c>
      <c r="BC26" s="139">
        <f t="shared" si="146"/>
        <v>0</v>
      </c>
      <c r="BD26" s="139">
        <f t="shared" ref="BD26:BE26" si="147">BD5+BD8+BD16+BD19+BD25</f>
        <v>999</v>
      </c>
      <c r="BE26" s="139">
        <f t="shared" si="147"/>
        <v>17400</v>
      </c>
      <c r="BF26" s="139">
        <f t="shared" ref="BF26" si="148">BF5+BF8+BF16+BF19+BF25</f>
        <v>0</v>
      </c>
    </row>
    <row r="27" spans="1:58">
      <c r="A27" s="134" t="s">
        <v>278</v>
      </c>
      <c r="B27" s="134" t="s">
        <v>279</v>
      </c>
      <c r="C27" s="135">
        <f t="shared" ref="C27:C34" si="149">D27+E27+F27</f>
        <v>0</v>
      </c>
      <c r="D27" s="135">
        <f t="shared" ref="D27:D34" si="150">SUM(G27:R27)</f>
        <v>0</v>
      </c>
      <c r="E27" s="135">
        <f t="shared" ref="E27:E34" si="151">SUM(S27:BE27)</f>
        <v>0</v>
      </c>
      <c r="F27" s="253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</row>
    <row r="28" spans="1:58">
      <c r="A28" s="134" t="s">
        <v>280</v>
      </c>
      <c r="B28" s="134" t="s">
        <v>281</v>
      </c>
      <c r="C28" s="135">
        <f t="shared" si="149"/>
        <v>0</v>
      </c>
      <c r="D28" s="135">
        <f t="shared" si="150"/>
        <v>0</v>
      </c>
      <c r="E28" s="135">
        <f t="shared" si="151"/>
        <v>0</v>
      </c>
      <c r="F28" s="253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</row>
    <row r="29" spans="1:58">
      <c r="A29" s="134" t="s">
        <v>282</v>
      </c>
      <c r="B29" s="134" t="s">
        <v>283</v>
      </c>
      <c r="C29" s="135">
        <f t="shared" si="149"/>
        <v>0</v>
      </c>
      <c r="D29" s="135">
        <f t="shared" si="150"/>
        <v>0</v>
      </c>
      <c r="E29" s="135">
        <f t="shared" si="151"/>
        <v>0</v>
      </c>
      <c r="F29" s="253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</row>
    <row r="30" spans="1:58">
      <c r="A30" s="134" t="s">
        <v>284</v>
      </c>
      <c r="B30" s="134" t="s">
        <v>285</v>
      </c>
      <c r="C30" s="135">
        <f t="shared" si="149"/>
        <v>10028</v>
      </c>
      <c r="D30" s="135">
        <f t="shared" si="150"/>
        <v>0</v>
      </c>
      <c r="E30" s="135">
        <f t="shared" si="151"/>
        <v>10028</v>
      </c>
      <c r="F30" s="253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>
        <v>10028</v>
      </c>
      <c r="BA30" s="135"/>
      <c r="BB30" s="135"/>
      <c r="BC30" s="135"/>
      <c r="BD30" s="135"/>
      <c r="BE30" s="135"/>
      <c r="BF30" s="135"/>
    </row>
    <row r="31" spans="1:58">
      <c r="A31" s="134" t="s">
        <v>286</v>
      </c>
      <c r="B31" s="134" t="s">
        <v>287</v>
      </c>
      <c r="C31" s="135">
        <f t="shared" si="149"/>
        <v>0</v>
      </c>
      <c r="D31" s="135">
        <f t="shared" si="150"/>
        <v>0</v>
      </c>
      <c r="E31" s="135">
        <f t="shared" si="151"/>
        <v>0</v>
      </c>
      <c r="F31" s="253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</row>
    <row r="32" spans="1:58">
      <c r="A32" s="134" t="s">
        <v>288</v>
      </c>
      <c r="B32" s="134" t="s">
        <v>289</v>
      </c>
      <c r="C32" s="135">
        <f t="shared" si="149"/>
        <v>10020</v>
      </c>
      <c r="D32" s="135">
        <f t="shared" si="150"/>
        <v>0</v>
      </c>
      <c r="E32" s="135">
        <f t="shared" si="151"/>
        <v>10020</v>
      </c>
      <c r="F32" s="253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>
        <v>10020</v>
      </c>
      <c r="BA32" s="135"/>
      <c r="BB32" s="135"/>
      <c r="BC32" s="135"/>
      <c r="BD32" s="135"/>
      <c r="BE32" s="135"/>
      <c r="BF32" s="135"/>
    </row>
    <row r="33" spans="1:58">
      <c r="A33" s="134" t="s">
        <v>290</v>
      </c>
      <c r="B33" s="134" t="s">
        <v>291</v>
      </c>
      <c r="C33" s="135">
        <f t="shared" si="149"/>
        <v>0</v>
      </c>
      <c r="D33" s="135">
        <f t="shared" si="150"/>
        <v>0</v>
      </c>
      <c r="E33" s="135">
        <f t="shared" si="151"/>
        <v>0</v>
      </c>
      <c r="F33" s="253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</row>
    <row r="34" spans="1:58">
      <c r="A34" s="134" t="s">
        <v>292</v>
      </c>
      <c r="B34" s="134" t="s">
        <v>293</v>
      </c>
      <c r="C34" s="135">
        <f t="shared" si="149"/>
        <v>20767</v>
      </c>
      <c r="D34" s="135">
        <f t="shared" si="150"/>
        <v>20767</v>
      </c>
      <c r="E34" s="135">
        <f t="shared" si="151"/>
        <v>0</v>
      </c>
      <c r="F34" s="253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>
        <v>20767</v>
      </c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</row>
    <row r="35" spans="1:58">
      <c r="A35" s="138" t="s">
        <v>294</v>
      </c>
      <c r="B35" s="138" t="s">
        <v>105</v>
      </c>
      <c r="C35" s="139">
        <f>SUM(C27:C34)</f>
        <v>40815</v>
      </c>
      <c r="D35" s="139">
        <f t="shared" ref="D35:E35" si="152">SUM(D27:D34)</f>
        <v>20767</v>
      </c>
      <c r="E35" s="139">
        <f t="shared" si="152"/>
        <v>20048</v>
      </c>
      <c r="F35" s="139">
        <f t="shared" ref="F35" si="153">SUM(F27:F34)</f>
        <v>0</v>
      </c>
      <c r="G35" s="139">
        <f t="shared" ref="G35:U35" si="154">SUM(G27:G34)</f>
        <v>0</v>
      </c>
      <c r="H35" s="139">
        <f t="shared" si="154"/>
        <v>0</v>
      </c>
      <c r="I35" s="139">
        <f t="shared" si="154"/>
        <v>0</v>
      </c>
      <c r="J35" s="139">
        <f t="shared" si="154"/>
        <v>0</v>
      </c>
      <c r="K35" s="139">
        <f t="shared" si="154"/>
        <v>0</v>
      </c>
      <c r="L35" s="139">
        <f t="shared" si="154"/>
        <v>0</v>
      </c>
      <c r="M35" s="139">
        <f t="shared" si="154"/>
        <v>0</v>
      </c>
      <c r="N35" s="139">
        <f t="shared" si="154"/>
        <v>0</v>
      </c>
      <c r="O35" s="139">
        <f t="shared" si="154"/>
        <v>0</v>
      </c>
      <c r="P35" s="139">
        <f t="shared" si="154"/>
        <v>0</v>
      </c>
      <c r="Q35" s="139">
        <f t="shared" si="154"/>
        <v>0</v>
      </c>
      <c r="R35" s="139">
        <f t="shared" ref="R35" si="155">SUM(R27:R34)</f>
        <v>20767</v>
      </c>
      <c r="S35" s="139">
        <f t="shared" si="154"/>
        <v>0</v>
      </c>
      <c r="T35" s="139">
        <f t="shared" si="154"/>
        <v>0</v>
      </c>
      <c r="U35" s="139">
        <f t="shared" si="154"/>
        <v>0</v>
      </c>
      <c r="V35" s="139">
        <f t="shared" ref="V35:W35" si="156">SUM(V27:V34)</f>
        <v>0</v>
      </c>
      <c r="W35" s="139">
        <f t="shared" si="156"/>
        <v>0</v>
      </c>
      <c r="X35" s="139">
        <f t="shared" ref="X35:Y35" si="157">SUM(X27:X34)</f>
        <v>0</v>
      </c>
      <c r="Y35" s="139">
        <f t="shared" si="157"/>
        <v>0</v>
      </c>
      <c r="Z35" s="139">
        <f t="shared" ref="Z35:AA35" si="158">SUM(Z27:Z34)</f>
        <v>0</v>
      </c>
      <c r="AA35" s="139">
        <f t="shared" si="158"/>
        <v>0</v>
      </c>
      <c r="AB35" s="139">
        <f t="shared" ref="AB35:AC35" si="159">SUM(AB27:AB34)</f>
        <v>0</v>
      </c>
      <c r="AC35" s="139">
        <f t="shared" si="159"/>
        <v>0</v>
      </c>
      <c r="AD35" s="139">
        <f t="shared" ref="AD35" si="160">SUM(AD27:AD34)</f>
        <v>0</v>
      </c>
      <c r="AE35" s="139">
        <f t="shared" ref="AE35:AF35" si="161">SUM(AE27:AE34)</f>
        <v>0</v>
      </c>
      <c r="AF35" s="139">
        <f t="shared" si="161"/>
        <v>0</v>
      </c>
      <c r="AG35" s="139">
        <f t="shared" ref="AG35:AH35" si="162">SUM(AG27:AG34)</f>
        <v>0</v>
      </c>
      <c r="AH35" s="139">
        <f t="shared" si="162"/>
        <v>0</v>
      </c>
      <c r="AI35" s="139">
        <f t="shared" ref="AI35:AJ35" si="163">SUM(AI27:AI34)</f>
        <v>0</v>
      </c>
      <c r="AJ35" s="139">
        <f t="shared" si="163"/>
        <v>0</v>
      </c>
      <c r="AK35" s="139">
        <f t="shared" ref="AK35:AL35" si="164">SUM(AK27:AK34)</f>
        <v>0</v>
      </c>
      <c r="AL35" s="139">
        <f t="shared" si="164"/>
        <v>0</v>
      </c>
      <c r="AM35" s="139">
        <f t="shared" ref="AM35:AO35" si="165">SUM(AM27:AM34)</f>
        <v>0</v>
      </c>
      <c r="AN35" s="139">
        <f t="shared" si="165"/>
        <v>0</v>
      </c>
      <c r="AO35" s="139">
        <f t="shared" si="165"/>
        <v>0</v>
      </c>
      <c r="AP35" s="139">
        <f t="shared" ref="AP35:AR35" si="166">SUM(AP27:AP34)</f>
        <v>0</v>
      </c>
      <c r="AQ35" s="139">
        <f t="shared" si="166"/>
        <v>0</v>
      </c>
      <c r="AR35" s="139">
        <f t="shared" si="166"/>
        <v>0</v>
      </c>
      <c r="AS35" s="139">
        <f t="shared" ref="AS35:AT35" si="167">SUM(AS27:AS34)</f>
        <v>0</v>
      </c>
      <c r="AT35" s="139">
        <f t="shared" si="167"/>
        <v>0</v>
      </c>
      <c r="AU35" s="139">
        <f t="shared" ref="AU35:AV35" si="168">SUM(AU27:AU34)</f>
        <v>0</v>
      </c>
      <c r="AV35" s="139">
        <f t="shared" si="168"/>
        <v>0</v>
      </c>
      <c r="AW35" s="139">
        <f t="shared" ref="AW35:AX35" si="169">SUM(AW27:AW34)</f>
        <v>0</v>
      </c>
      <c r="AX35" s="139">
        <f t="shared" si="169"/>
        <v>0</v>
      </c>
      <c r="AY35" s="139">
        <f t="shared" ref="AY35:AZ35" si="170">SUM(AY27:AY34)</f>
        <v>0</v>
      </c>
      <c r="AZ35" s="139">
        <f t="shared" si="170"/>
        <v>20048</v>
      </c>
      <c r="BA35" s="139">
        <f t="shared" ref="BA35:BC35" si="171">SUM(BA27:BA34)</f>
        <v>0</v>
      </c>
      <c r="BB35" s="139">
        <f t="shared" si="171"/>
        <v>0</v>
      </c>
      <c r="BC35" s="139">
        <f t="shared" si="171"/>
        <v>0</v>
      </c>
      <c r="BD35" s="139">
        <f t="shared" ref="BD35:BE35" si="172">SUM(BD27:BD34)</f>
        <v>0</v>
      </c>
      <c r="BE35" s="139">
        <f t="shared" si="172"/>
        <v>0</v>
      </c>
      <c r="BF35" s="139">
        <f t="shared" ref="BF35" si="173">SUM(BF27:BF34)</f>
        <v>0</v>
      </c>
    </row>
    <row r="36" spans="1:58">
      <c r="A36" s="134" t="s">
        <v>295</v>
      </c>
      <c r="B36" s="134" t="s">
        <v>296</v>
      </c>
      <c r="C36" s="135">
        <f t="shared" ref="C36:C47" si="174">D36+E36+F36</f>
        <v>0</v>
      </c>
      <c r="D36" s="135">
        <f t="shared" ref="D36:D47" si="175">SUM(G36:R36)</f>
        <v>0</v>
      </c>
      <c r="E36" s="135">
        <f t="shared" ref="E36:E47" si="176">SUM(S36:BE36)</f>
        <v>0</v>
      </c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</row>
    <row r="37" spans="1:58">
      <c r="A37" s="134" t="s">
        <v>297</v>
      </c>
      <c r="B37" s="134" t="s">
        <v>298</v>
      </c>
      <c r="C37" s="135">
        <f t="shared" si="174"/>
        <v>0</v>
      </c>
      <c r="D37" s="135">
        <f t="shared" si="175"/>
        <v>0</v>
      </c>
      <c r="E37" s="135">
        <f t="shared" si="176"/>
        <v>0</v>
      </c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</row>
    <row r="38" spans="1:58">
      <c r="A38" s="134" t="s">
        <v>299</v>
      </c>
      <c r="B38" s="140" t="s">
        <v>300</v>
      </c>
      <c r="C38" s="135">
        <f t="shared" si="174"/>
        <v>0</v>
      </c>
      <c r="D38" s="135">
        <f t="shared" si="175"/>
        <v>0</v>
      </c>
      <c r="E38" s="135">
        <f t="shared" si="176"/>
        <v>0</v>
      </c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</row>
    <row r="39" spans="1:58">
      <c r="A39" s="134" t="s">
        <v>301</v>
      </c>
      <c r="B39" s="140" t="s">
        <v>302</v>
      </c>
      <c r="C39" s="135">
        <f t="shared" si="174"/>
        <v>0</v>
      </c>
      <c r="D39" s="135">
        <f t="shared" si="175"/>
        <v>0</v>
      </c>
      <c r="E39" s="135">
        <f t="shared" si="176"/>
        <v>0</v>
      </c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</row>
    <row r="40" spans="1:58">
      <c r="A40" s="134" t="s">
        <v>303</v>
      </c>
      <c r="B40" s="140" t="s">
        <v>304</v>
      </c>
      <c r="C40" s="135">
        <f t="shared" si="174"/>
        <v>0</v>
      </c>
      <c r="D40" s="135">
        <f t="shared" si="175"/>
        <v>0</v>
      </c>
      <c r="E40" s="135">
        <f t="shared" si="176"/>
        <v>0</v>
      </c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</row>
    <row r="41" spans="1:58">
      <c r="A41" s="134" t="s">
        <v>305</v>
      </c>
      <c r="B41" s="140" t="s">
        <v>306</v>
      </c>
      <c r="C41" s="135">
        <f t="shared" si="174"/>
        <v>48737</v>
      </c>
      <c r="D41" s="135">
        <f t="shared" si="175"/>
        <v>0</v>
      </c>
      <c r="E41" s="135">
        <f t="shared" si="176"/>
        <v>48737</v>
      </c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>
        <v>10153</v>
      </c>
      <c r="AI41" s="135">
        <v>2000</v>
      </c>
      <c r="AJ41" s="135">
        <f>8942+18593</f>
        <v>27535</v>
      </c>
      <c r="AK41" s="135">
        <v>3904</v>
      </c>
      <c r="AL41" s="135">
        <v>5145</v>
      </c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</row>
    <row r="42" spans="1:58">
      <c r="A42" s="134" t="s">
        <v>307</v>
      </c>
      <c r="B42" s="140" t="s">
        <v>308</v>
      </c>
      <c r="C42" s="135">
        <f t="shared" si="174"/>
        <v>0</v>
      </c>
      <c r="D42" s="135">
        <f t="shared" si="175"/>
        <v>0</v>
      </c>
      <c r="E42" s="135">
        <f t="shared" si="176"/>
        <v>0</v>
      </c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</row>
    <row r="43" spans="1:58">
      <c r="A43" s="134" t="s">
        <v>309</v>
      </c>
      <c r="B43" s="140" t="s">
        <v>310</v>
      </c>
      <c r="C43" s="135">
        <f t="shared" si="174"/>
        <v>0</v>
      </c>
      <c r="D43" s="135">
        <f t="shared" si="175"/>
        <v>0</v>
      </c>
      <c r="E43" s="135">
        <f t="shared" si="176"/>
        <v>0</v>
      </c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</row>
    <row r="44" spans="1:58">
      <c r="A44" s="134" t="s">
        <v>311</v>
      </c>
      <c r="B44" s="134" t="s">
        <v>312</v>
      </c>
      <c r="C44" s="135">
        <f t="shared" si="174"/>
        <v>0</v>
      </c>
      <c r="D44" s="135">
        <f t="shared" si="175"/>
        <v>0</v>
      </c>
      <c r="E44" s="135">
        <f t="shared" si="176"/>
        <v>0</v>
      </c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135"/>
    </row>
    <row r="45" spans="1:58">
      <c r="A45" s="134" t="s">
        <v>313</v>
      </c>
      <c r="B45" s="134" t="s">
        <v>314</v>
      </c>
      <c r="C45" s="135">
        <f t="shared" si="174"/>
        <v>0</v>
      </c>
      <c r="D45" s="135">
        <f t="shared" si="175"/>
        <v>0</v>
      </c>
      <c r="E45" s="135">
        <f t="shared" si="176"/>
        <v>0</v>
      </c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</row>
    <row r="46" spans="1:58">
      <c r="A46" s="134" t="s">
        <v>315</v>
      </c>
      <c r="B46" s="134" t="s">
        <v>316</v>
      </c>
      <c r="C46" s="135">
        <f t="shared" si="174"/>
        <v>95849</v>
      </c>
      <c r="D46" s="135">
        <f t="shared" si="175"/>
        <v>0</v>
      </c>
      <c r="E46" s="135">
        <f>SUM(S46:BF46)</f>
        <v>95849</v>
      </c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>
        <v>7560</v>
      </c>
      <c r="AN46" s="135">
        <f>6650-475</f>
        <v>6175</v>
      </c>
      <c r="AO46" s="135">
        <v>1631</v>
      </c>
      <c r="AP46" s="135"/>
      <c r="AQ46" s="135">
        <v>27150</v>
      </c>
      <c r="AR46" s="135">
        <v>3000</v>
      </c>
      <c r="AS46" s="135">
        <f>17000+2975+7000</f>
        <v>26975</v>
      </c>
      <c r="AT46" s="135">
        <v>2858</v>
      </c>
      <c r="AU46" s="135">
        <v>0</v>
      </c>
      <c r="AV46" s="135">
        <f>0+6000</f>
        <v>6000</v>
      </c>
      <c r="AW46" s="135">
        <v>8500</v>
      </c>
      <c r="AX46" s="135">
        <v>0</v>
      </c>
      <c r="AY46" s="135">
        <v>0</v>
      </c>
      <c r="AZ46" s="135"/>
      <c r="BA46" s="135"/>
      <c r="BB46" s="135"/>
      <c r="BC46" s="135"/>
      <c r="BD46" s="135"/>
      <c r="BE46" s="135"/>
      <c r="BF46" s="135">
        <f>6000</f>
        <v>6000</v>
      </c>
    </row>
    <row r="47" spans="1:58">
      <c r="A47" s="134" t="s">
        <v>317</v>
      </c>
      <c r="B47" s="134" t="s">
        <v>318</v>
      </c>
      <c r="C47" s="135">
        <f t="shared" si="174"/>
        <v>514065</v>
      </c>
      <c r="D47" s="135">
        <f t="shared" si="175"/>
        <v>514065</v>
      </c>
      <c r="E47" s="135">
        <f t="shared" si="176"/>
        <v>0</v>
      </c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>
        <f>3700+'2D Céltartalék'!C4+'2D Céltartalék'!C13+50000</f>
        <v>514065</v>
      </c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</row>
    <row r="48" spans="1:58">
      <c r="A48" s="138" t="s">
        <v>319</v>
      </c>
      <c r="B48" s="138" t="s">
        <v>107</v>
      </c>
      <c r="C48" s="139">
        <f>SUM(C36:C47)</f>
        <v>658651</v>
      </c>
      <c r="D48" s="139">
        <f t="shared" ref="D48:E48" si="177">SUM(D36:D47)</f>
        <v>514065</v>
      </c>
      <c r="E48" s="139">
        <f t="shared" si="177"/>
        <v>144586</v>
      </c>
      <c r="F48" s="139">
        <f t="shared" ref="F48" si="178">SUM(F36:F47)</f>
        <v>0</v>
      </c>
      <c r="G48" s="139">
        <f t="shared" ref="G48:U48" si="179">SUM(G36:G47)</f>
        <v>0</v>
      </c>
      <c r="H48" s="139">
        <f t="shared" si="179"/>
        <v>0</v>
      </c>
      <c r="I48" s="139">
        <f t="shared" si="179"/>
        <v>0</v>
      </c>
      <c r="J48" s="139">
        <f t="shared" si="179"/>
        <v>0</v>
      </c>
      <c r="K48" s="139">
        <f t="shared" si="179"/>
        <v>0</v>
      </c>
      <c r="L48" s="139">
        <f t="shared" si="179"/>
        <v>0</v>
      </c>
      <c r="M48" s="139">
        <f t="shared" si="179"/>
        <v>0</v>
      </c>
      <c r="N48" s="139">
        <f t="shared" si="179"/>
        <v>0</v>
      </c>
      <c r="O48" s="139">
        <f t="shared" si="179"/>
        <v>0</v>
      </c>
      <c r="P48" s="139">
        <f t="shared" si="179"/>
        <v>0</v>
      </c>
      <c r="Q48" s="139">
        <f t="shared" si="179"/>
        <v>514065</v>
      </c>
      <c r="R48" s="139">
        <f t="shared" ref="R48" si="180">SUM(R36:R47)</f>
        <v>0</v>
      </c>
      <c r="S48" s="139">
        <f t="shared" si="179"/>
        <v>0</v>
      </c>
      <c r="T48" s="139">
        <f t="shared" si="179"/>
        <v>0</v>
      </c>
      <c r="U48" s="139">
        <f t="shared" si="179"/>
        <v>0</v>
      </c>
      <c r="V48" s="139">
        <f t="shared" ref="V48:W48" si="181">SUM(V36:V47)</f>
        <v>0</v>
      </c>
      <c r="W48" s="139">
        <f t="shared" si="181"/>
        <v>0</v>
      </c>
      <c r="X48" s="139">
        <f t="shared" ref="X48:Y48" si="182">SUM(X36:X47)</f>
        <v>0</v>
      </c>
      <c r="Y48" s="139">
        <f t="shared" si="182"/>
        <v>0</v>
      </c>
      <c r="Z48" s="139">
        <f t="shared" ref="Z48:AA48" si="183">SUM(Z36:Z47)</f>
        <v>0</v>
      </c>
      <c r="AA48" s="139">
        <f t="shared" si="183"/>
        <v>0</v>
      </c>
      <c r="AB48" s="139">
        <f t="shared" ref="AB48:AC48" si="184">SUM(AB36:AB47)</f>
        <v>0</v>
      </c>
      <c r="AC48" s="139">
        <f t="shared" si="184"/>
        <v>0</v>
      </c>
      <c r="AD48" s="139">
        <f t="shared" ref="AD48" si="185">SUM(AD36:AD47)</f>
        <v>0</v>
      </c>
      <c r="AE48" s="139">
        <f t="shared" ref="AE48:AF48" si="186">SUM(AE36:AE47)</f>
        <v>0</v>
      </c>
      <c r="AF48" s="139">
        <f t="shared" si="186"/>
        <v>0</v>
      </c>
      <c r="AG48" s="139">
        <f t="shared" ref="AG48:AH48" si="187">SUM(AG36:AG47)</f>
        <v>0</v>
      </c>
      <c r="AH48" s="139">
        <f t="shared" si="187"/>
        <v>10153</v>
      </c>
      <c r="AI48" s="139">
        <f t="shared" ref="AI48:AJ48" si="188">SUM(AI36:AI47)</f>
        <v>2000</v>
      </c>
      <c r="AJ48" s="139">
        <f t="shared" si="188"/>
        <v>27535</v>
      </c>
      <c r="AK48" s="139">
        <f t="shared" ref="AK48:AL48" si="189">SUM(AK36:AK47)</f>
        <v>3904</v>
      </c>
      <c r="AL48" s="139">
        <f t="shared" si="189"/>
        <v>5145</v>
      </c>
      <c r="AM48" s="139">
        <f t="shared" ref="AM48:AO48" si="190">SUM(AM36:AM47)</f>
        <v>7560</v>
      </c>
      <c r="AN48" s="139">
        <f t="shared" si="190"/>
        <v>6175</v>
      </c>
      <c r="AO48" s="139">
        <f t="shared" si="190"/>
        <v>1631</v>
      </c>
      <c r="AP48" s="139">
        <f t="shared" ref="AP48:AR48" si="191">SUM(AP36:AP47)</f>
        <v>0</v>
      </c>
      <c r="AQ48" s="139">
        <f t="shared" si="191"/>
        <v>27150</v>
      </c>
      <c r="AR48" s="139">
        <f t="shared" si="191"/>
        <v>3000</v>
      </c>
      <c r="AS48" s="139">
        <f t="shared" ref="AS48:AT48" si="192">SUM(AS36:AS47)</f>
        <v>26975</v>
      </c>
      <c r="AT48" s="139">
        <f t="shared" si="192"/>
        <v>2858</v>
      </c>
      <c r="AU48" s="139">
        <f t="shared" ref="AU48:AV48" si="193">SUM(AU36:AU47)</f>
        <v>0</v>
      </c>
      <c r="AV48" s="139">
        <f t="shared" si="193"/>
        <v>6000</v>
      </c>
      <c r="AW48" s="139">
        <f t="shared" ref="AW48:AX48" si="194">SUM(AW36:AW47)</f>
        <v>8500</v>
      </c>
      <c r="AX48" s="139">
        <f t="shared" si="194"/>
        <v>0</v>
      </c>
      <c r="AY48" s="139">
        <f t="shared" ref="AY48:AZ48" si="195">SUM(AY36:AY47)</f>
        <v>0</v>
      </c>
      <c r="AZ48" s="139">
        <f t="shared" si="195"/>
        <v>0</v>
      </c>
      <c r="BA48" s="139">
        <f t="shared" ref="BA48:BC48" si="196">SUM(BA36:BA47)</f>
        <v>0</v>
      </c>
      <c r="BB48" s="139">
        <f t="shared" si="196"/>
        <v>0</v>
      </c>
      <c r="BC48" s="139">
        <f t="shared" si="196"/>
        <v>0</v>
      </c>
      <c r="BD48" s="139">
        <f t="shared" ref="BD48:BE48" si="197">SUM(BD36:BD47)</f>
        <v>0</v>
      </c>
      <c r="BE48" s="139">
        <f t="shared" si="197"/>
        <v>0</v>
      </c>
      <c r="BF48" s="139">
        <f t="shared" ref="BF48" si="198">SUM(BF36:BF47)</f>
        <v>6000</v>
      </c>
    </row>
    <row r="49" spans="1:58">
      <c r="A49" s="134" t="s">
        <v>320</v>
      </c>
      <c r="B49" s="134" t="s">
        <v>321</v>
      </c>
      <c r="C49" s="135">
        <f t="shared" ref="C49:C55" si="199">D49+E49+F49</f>
        <v>16716</v>
      </c>
      <c r="D49" s="135">
        <f t="shared" ref="D49:D55" si="200">SUM(G49:R49)</f>
        <v>16716</v>
      </c>
      <c r="E49" s="135">
        <f t="shared" ref="E49:E55" si="201">SUM(S49:BE49)</f>
        <v>0</v>
      </c>
      <c r="F49" s="135"/>
      <c r="G49" s="135">
        <f>13700+3016</f>
        <v>16716</v>
      </c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</row>
    <row r="50" spans="1:58">
      <c r="A50" s="134" t="s">
        <v>322</v>
      </c>
      <c r="B50" s="134" t="s">
        <v>323</v>
      </c>
      <c r="C50" s="135">
        <f t="shared" si="199"/>
        <v>72998</v>
      </c>
      <c r="D50" s="135">
        <f t="shared" si="200"/>
        <v>2835</v>
      </c>
      <c r="E50" s="135">
        <f t="shared" si="201"/>
        <v>70163</v>
      </c>
      <c r="F50" s="135"/>
      <c r="G50" s="135">
        <v>2835</v>
      </c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>
        <f>5930+1384+23832+160+160+23622+150+1181+787+12957</f>
        <v>70163</v>
      </c>
      <c r="BC50" s="135"/>
      <c r="BD50" s="135"/>
      <c r="BE50" s="135"/>
      <c r="BF50" s="135"/>
    </row>
    <row r="51" spans="1:58">
      <c r="A51" s="134" t="s">
        <v>324</v>
      </c>
      <c r="B51" s="134" t="s">
        <v>325</v>
      </c>
      <c r="C51" s="135">
        <f t="shared" si="199"/>
        <v>8174</v>
      </c>
      <c r="D51" s="135">
        <f t="shared" si="200"/>
        <v>300</v>
      </c>
      <c r="E51" s="135">
        <f t="shared" si="201"/>
        <v>7874</v>
      </c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>
        <v>300</v>
      </c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>
        <f>3937*2</f>
        <v>7874</v>
      </c>
      <c r="BC51" s="135"/>
      <c r="BD51" s="135"/>
      <c r="BE51" s="135"/>
      <c r="BF51" s="135"/>
    </row>
    <row r="52" spans="1:58">
      <c r="A52" s="134" t="s">
        <v>326</v>
      </c>
      <c r="B52" s="134" t="s">
        <v>327</v>
      </c>
      <c r="C52" s="135">
        <f t="shared" si="199"/>
        <v>2670</v>
      </c>
      <c r="D52" s="135">
        <f t="shared" si="200"/>
        <v>700</v>
      </c>
      <c r="E52" s="135">
        <f t="shared" si="201"/>
        <v>1970</v>
      </c>
      <c r="F52" s="135"/>
      <c r="G52" s="135"/>
      <c r="H52" s="135"/>
      <c r="I52" s="135"/>
      <c r="J52" s="135"/>
      <c r="K52" s="135"/>
      <c r="L52" s="135">
        <v>200</v>
      </c>
      <c r="M52" s="135"/>
      <c r="N52" s="135"/>
      <c r="O52" s="135"/>
      <c r="P52" s="135"/>
      <c r="Q52" s="135">
        <v>500</v>
      </c>
      <c r="R52" s="135"/>
      <c r="S52" s="135"/>
      <c r="T52" s="135"/>
      <c r="U52" s="135">
        <v>1970</v>
      </c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</row>
    <row r="53" spans="1:58">
      <c r="A53" s="134" t="s">
        <v>328</v>
      </c>
      <c r="B53" s="134" t="s">
        <v>329</v>
      </c>
      <c r="C53" s="135">
        <f t="shared" si="199"/>
        <v>0</v>
      </c>
      <c r="D53" s="135">
        <f t="shared" si="200"/>
        <v>0</v>
      </c>
      <c r="E53" s="135">
        <f t="shared" si="201"/>
        <v>0</v>
      </c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</row>
    <row r="54" spans="1:58">
      <c r="A54" s="134" t="s">
        <v>330</v>
      </c>
      <c r="B54" s="134" t="s">
        <v>331</v>
      </c>
      <c r="C54" s="135">
        <f t="shared" si="199"/>
        <v>0</v>
      </c>
      <c r="D54" s="135">
        <f t="shared" si="200"/>
        <v>0</v>
      </c>
      <c r="E54" s="135">
        <f t="shared" si="201"/>
        <v>0</v>
      </c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</row>
    <row r="55" spans="1:58">
      <c r="A55" s="134" t="s">
        <v>332</v>
      </c>
      <c r="B55" s="134" t="s">
        <v>333</v>
      </c>
      <c r="C55" s="135">
        <f t="shared" si="199"/>
        <v>26933</v>
      </c>
      <c r="D55" s="135">
        <f t="shared" si="200"/>
        <v>5333</v>
      </c>
      <c r="E55" s="135">
        <f t="shared" si="201"/>
        <v>21600</v>
      </c>
      <c r="F55" s="135"/>
      <c r="G55" s="135">
        <f>ROUND((G49+G50+G51+G52)*0.27,0)</f>
        <v>5279</v>
      </c>
      <c r="H55" s="135"/>
      <c r="I55" s="135"/>
      <c r="J55" s="135"/>
      <c r="K55" s="135"/>
      <c r="L55" s="135">
        <v>54</v>
      </c>
      <c r="M55" s="135"/>
      <c r="N55" s="135"/>
      <c r="O55" s="135"/>
      <c r="P55" s="135"/>
      <c r="Q55" s="135"/>
      <c r="R55" s="135"/>
      <c r="S55" s="135"/>
      <c r="T55" s="135"/>
      <c r="U55" s="135">
        <v>530</v>
      </c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>
        <f>ROUND((BB49+BB50+BB51+BB52)*0.27,0)</f>
        <v>21070</v>
      </c>
      <c r="BC55" s="135"/>
      <c r="BD55" s="135"/>
      <c r="BE55" s="135"/>
      <c r="BF55" s="135"/>
    </row>
    <row r="56" spans="1:58">
      <c r="A56" s="138" t="s">
        <v>334</v>
      </c>
      <c r="B56" s="138" t="s">
        <v>130</v>
      </c>
      <c r="C56" s="139">
        <f>SUM(C49:C55)</f>
        <v>127491</v>
      </c>
      <c r="D56" s="139">
        <f t="shared" ref="D56:E56" si="202">SUM(D49:D55)</f>
        <v>25884</v>
      </c>
      <c r="E56" s="139">
        <f t="shared" si="202"/>
        <v>101607</v>
      </c>
      <c r="F56" s="139">
        <f t="shared" ref="F56" si="203">SUM(F49:F55)</f>
        <v>0</v>
      </c>
      <c r="G56" s="139">
        <f t="shared" ref="G56:U56" si="204">SUM(G49:G55)</f>
        <v>24830</v>
      </c>
      <c r="H56" s="139">
        <f t="shared" si="204"/>
        <v>0</v>
      </c>
      <c r="I56" s="139">
        <f t="shared" si="204"/>
        <v>0</v>
      </c>
      <c r="J56" s="139">
        <f t="shared" si="204"/>
        <v>0</v>
      </c>
      <c r="K56" s="139">
        <f t="shared" si="204"/>
        <v>0</v>
      </c>
      <c r="L56" s="139">
        <f t="shared" si="204"/>
        <v>254</v>
      </c>
      <c r="M56" s="139">
        <f t="shared" si="204"/>
        <v>0</v>
      </c>
      <c r="N56" s="139">
        <f t="shared" si="204"/>
        <v>0</v>
      </c>
      <c r="O56" s="139">
        <f t="shared" si="204"/>
        <v>0</v>
      </c>
      <c r="P56" s="139">
        <f t="shared" si="204"/>
        <v>0</v>
      </c>
      <c r="Q56" s="139">
        <f t="shared" si="204"/>
        <v>800</v>
      </c>
      <c r="R56" s="139">
        <f t="shared" ref="R56" si="205">SUM(R49:R55)</f>
        <v>0</v>
      </c>
      <c r="S56" s="139">
        <f t="shared" si="204"/>
        <v>0</v>
      </c>
      <c r="T56" s="139">
        <f t="shared" si="204"/>
        <v>0</v>
      </c>
      <c r="U56" s="139">
        <f t="shared" si="204"/>
        <v>2500</v>
      </c>
      <c r="V56" s="139">
        <f t="shared" ref="V56:W56" si="206">SUM(V49:V55)</f>
        <v>0</v>
      </c>
      <c r="W56" s="139">
        <f t="shared" si="206"/>
        <v>0</v>
      </c>
      <c r="X56" s="139">
        <f t="shared" ref="X56:Y56" si="207">SUM(X49:X55)</f>
        <v>0</v>
      </c>
      <c r="Y56" s="139">
        <f t="shared" si="207"/>
        <v>0</v>
      </c>
      <c r="Z56" s="139">
        <f t="shared" ref="Z56:AA56" si="208">SUM(Z49:Z55)</f>
        <v>0</v>
      </c>
      <c r="AA56" s="139">
        <f t="shared" si="208"/>
        <v>0</v>
      </c>
      <c r="AB56" s="139">
        <f t="shared" ref="AB56:AC56" si="209">SUM(AB49:AB55)</f>
        <v>0</v>
      </c>
      <c r="AC56" s="139">
        <f t="shared" si="209"/>
        <v>0</v>
      </c>
      <c r="AD56" s="139">
        <f t="shared" ref="AD56" si="210">SUM(AD49:AD55)</f>
        <v>0</v>
      </c>
      <c r="AE56" s="139">
        <f t="shared" ref="AE56:AF56" si="211">SUM(AE49:AE55)</f>
        <v>0</v>
      </c>
      <c r="AF56" s="139">
        <f t="shared" si="211"/>
        <v>0</v>
      </c>
      <c r="AG56" s="139">
        <f t="shared" ref="AG56:AH56" si="212">SUM(AG49:AG55)</f>
        <v>0</v>
      </c>
      <c r="AH56" s="139">
        <f t="shared" si="212"/>
        <v>0</v>
      </c>
      <c r="AI56" s="139">
        <f t="shared" ref="AI56:AJ56" si="213">SUM(AI49:AI55)</f>
        <v>0</v>
      </c>
      <c r="AJ56" s="139">
        <f t="shared" si="213"/>
        <v>0</v>
      </c>
      <c r="AK56" s="139">
        <f t="shared" ref="AK56:AL56" si="214">SUM(AK49:AK55)</f>
        <v>0</v>
      </c>
      <c r="AL56" s="139">
        <f t="shared" si="214"/>
        <v>0</v>
      </c>
      <c r="AM56" s="139">
        <f t="shared" ref="AM56:AO56" si="215">SUM(AM49:AM55)</f>
        <v>0</v>
      </c>
      <c r="AN56" s="139">
        <f t="shared" si="215"/>
        <v>0</v>
      </c>
      <c r="AO56" s="139">
        <f t="shared" si="215"/>
        <v>0</v>
      </c>
      <c r="AP56" s="139">
        <f t="shared" ref="AP56:AR56" si="216">SUM(AP49:AP55)</f>
        <v>0</v>
      </c>
      <c r="AQ56" s="139">
        <f t="shared" si="216"/>
        <v>0</v>
      </c>
      <c r="AR56" s="139">
        <f t="shared" si="216"/>
        <v>0</v>
      </c>
      <c r="AS56" s="139">
        <f t="shared" ref="AS56:AT56" si="217">SUM(AS49:AS55)</f>
        <v>0</v>
      </c>
      <c r="AT56" s="139">
        <f t="shared" si="217"/>
        <v>0</v>
      </c>
      <c r="AU56" s="139">
        <f t="shared" ref="AU56:AV56" si="218">SUM(AU49:AU55)</f>
        <v>0</v>
      </c>
      <c r="AV56" s="139">
        <f t="shared" si="218"/>
        <v>0</v>
      </c>
      <c r="AW56" s="139">
        <f t="shared" ref="AW56:AX56" si="219">SUM(AW49:AW55)</f>
        <v>0</v>
      </c>
      <c r="AX56" s="139">
        <f t="shared" si="219"/>
        <v>0</v>
      </c>
      <c r="AY56" s="139">
        <f t="shared" ref="AY56:AZ56" si="220">SUM(AY49:AY55)</f>
        <v>0</v>
      </c>
      <c r="AZ56" s="139">
        <f t="shared" si="220"/>
        <v>0</v>
      </c>
      <c r="BA56" s="139">
        <f t="shared" ref="BA56:BC56" si="221">SUM(BA49:BA55)</f>
        <v>0</v>
      </c>
      <c r="BB56" s="139">
        <f t="shared" si="221"/>
        <v>99107</v>
      </c>
      <c r="BC56" s="139">
        <f t="shared" si="221"/>
        <v>0</v>
      </c>
      <c r="BD56" s="139">
        <f t="shared" ref="BD56:BE56" si="222">SUM(BD49:BD55)</f>
        <v>0</v>
      </c>
      <c r="BE56" s="139">
        <f t="shared" si="222"/>
        <v>0</v>
      </c>
      <c r="BF56" s="139">
        <f t="shared" ref="BF56" si="223">SUM(BF49:BF55)</f>
        <v>0</v>
      </c>
    </row>
    <row r="57" spans="1:58">
      <c r="A57" s="134" t="s">
        <v>335</v>
      </c>
      <c r="B57" s="134" t="s">
        <v>336</v>
      </c>
      <c r="C57" s="135">
        <f t="shared" ref="C57:C60" si="224">D57+E57+F57</f>
        <v>61810</v>
      </c>
      <c r="D57" s="135">
        <f t="shared" ref="D57:D60" si="225">SUM(G57:R57)</f>
        <v>0</v>
      </c>
      <c r="E57" s="135">
        <f t="shared" ref="E57:E60" si="226">SUM(S57:BE57)</f>
        <v>61810</v>
      </c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>
        <f>46494+10472+950+350+1575+1969</f>
        <v>61810</v>
      </c>
      <c r="BD57" s="135"/>
      <c r="BE57" s="135"/>
      <c r="BF57" s="135"/>
    </row>
    <row r="58" spans="1:58">
      <c r="A58" s="134" t="s">
        <v>337</v>
      </c>
      <c r="B58" s="134" t="s">
        <v>338</v>
      </c>
      <c r="C58" s="135">
        <f t="shared" si="224"/>
        <v>2362</v>
      </c>
      <c r="D58" s="135">
        <f t="shared" si="225"/>
        <v>0</v>
      </c>
      <c r="E58" s="135">
        <f t="shared" si="226"/>
        <v>2362</v>
      </c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>
        <f>2362</f>
        <v>2362</v>
      </c>
      <c r="BD58" s="135"/>
      <c r="BE58" s="135"/>
      <c r="BF58" s="135"/>
    </row>
    <row r="59" spans="1:58">
      <c r="A59" s="134" t="s">
        <v>339</v>
      </c>
      <c r="B59" s="134" t="s">
        <v>340</v>
      </c>
      <c r="C59" s="135">
        <f t="shared" si="224"/>
        <v>0</v>
      </c>
      <c r="D59" s="135">
        <f t="shared" si="225"/>
        <v>0</v>
      </c>
      <c r="E59" s="135">
        <f t="shared" si="226"/>
        <v>0</v>
      </c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35"/>
      <c r="AS59" s="135"/>
      <c r="AT59" s="135"/>
      <c r="AU59" s="135"/>
      <c r="AV59" s="135"/>
      <c r="AW59" s="135"/>
      <c r="AX59" s="135"/>
      <c r="AY59" s="135"/>
      <c r="AZ59" s="135"/>
      <c r="BA59" s="135"/>
      <c r="BB59" s="135"/>
      <c r="BC59" s="135"/>
      <c r="BD59" s="135"/>
      <c r="BE59" s="135"/>
      <c r="BF59" s="135"/>
    </row>
    <row r="60" spans="1:58">
      <c r="A60" s="134" t="s">
        <v>341</v>
      </c>
      <c r="B60" s="134" t="s">
        <v>342</v>
      </c>
      <c r="C60" s="135">
        <f t="shared" si="224"/>
        <v>17326</v>
      </c>
      <c r="D60" s="135">
        <f t="shared" si="225"/>
        <v>0</v>
      </c>
      <c r="E60" s="135">
        <f t="shared" si="226"/>
        <v>17326</v>
      </c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>
        <f>ROUND((BB57+BB58)*0.27,0)</f>
        <v>0</v>
      </c>
      <c r="BC60" s="135">
        <f>ROUND((BC57+BC58)*0.27,0)</f>
        <v>17326</v>
      </c>
      <c r="BD60" s="135"/>
      <c r="BE60" s="135"/>
      <c r="BF60" s="135"/>
    </row>
    <row r="61" spans="1:58">
      <c r="A61" s="138" t="s">
        <v>343</v>
      </c>
      <c r="B61" s="138" t="s">
        <v>110</v>
      </c>
      <c r="C61" s="139">
        <f>SUM(C57:C60)</f>
        <v>81498</v>
      </c>
      <c r="D61" s="139">
        <f t="shared" ref="D61:E61" si="227">SUM(D57:D60)</f>
        <v>0</v>
      </c>
      <c r="E61" s="139">
        <f t="shared" si="227"/>
        <v>81498</v>
      </c>
      <c r="F61" s="139">
        <f t="shared" ref="F61" si="228">SUM(F57:F60)</f>
        <v>0</v>
      </c>
      <c r="G61" s="139">
        <f t="shared" ref="G61:U61" si="229">SUM(G57:G60)</f>
        <v>0</v>
      </c>
      <c r="H61" s="139">
        <f t="shared" si="229"/>
        <v>0</v>
      </c>
      <c r="I61" s="139">
        <f t="shared" si="229"/>
        <v>0</v>
      </c>
      <c r="J61" s="139">
        <f t="shared" si="229"/>
        <v>0</v>
      </c>
      <c r="K61" s="139">
        <f t="shared" si="229"/>
        <v>0</v>
      </c>
      <c r="L61" s="139">
        <f t="shared" si="229"/>
        <v>0</v>
      </c>
      <c r="M61" s="139">
        <f t="shared" si="229"/>
        <v>0</v>
      </c>
      <c r="N61" s="139">
        <f t="shared" si="229"/>
        <v>0</v>
      </c>
      <c r="O61" s="139">
        <f t="shared" si="229"/>
        <v>0</v>
      </c>
      <c r="P61" s="139">
        <f t="shared" si="229"/>
        <v>0</v>
      </c>
      <c r="Q61" s="139">
        <f t="shared" si="229"/>
        <v>0</v>
      </c>
      <c r="R61" s="139">
        <f t="shared" ref="R61" si="230">SUM(R57:R60)</f>
        <v>0</v>
      </c>
      <c r="S61" s="139">
        <f t="shared" si="229"/>
        <v>0</v>
      </c>
      <c r="T61" s="139">
        <f t="shared" si="229"/>
        <v>0</v>
      </c>
      <c r="U61" s="139">
        <f t="shared" si="229"/>
        <v>0</v>
      </c>
      <c r="V61" s="139">
        <f t="shared" ref="V61:W61" si="231">SUM(V57:V60)</f>
        <v>0</v>
      </c>
      <c r="W61" s="139">
        <f t="shared" si="231"/>
        <v>0</v>
      </c>
      <c r="X61" s="139">
        <f t="shared" ref="X61:Y61" si="232">SUM(X57:X60)</f>
        <v>0</v>
      </c>
      <c r="Y61" s="139">
        <f t="shared" si="232"/>
        <v>0</v>
      </c>
      <c r="Z61" s="139">
        <f t="shared" ref="Z61:AA61" si="233">SUM(Z57:Z60)</f>
        <v>0</v>
      </c>
      <c r="AA61" s="139">
        <f t="shared" si="233"/>
        <v>0</v>
      </c>
      <c r="AB61" s="139">
        <f t="shared" ref="AB61:AC61" si="234">SUM(AB57:AB60)</f>
        <v>0</v>
      </c>
      <c r="AC61" s="139">
        <f t="shared" si="234"/>
        <v>0</v>
      </c>
      <c r="AD61" s="139">
        <f t="shared" ref="AD61" si="235">SUM(AD57:AD60)</f>
        <v>0</v>
      </c>
      <c r="AE61" s="139">
        <f t="shared" ref="AE61:AF61" si="236">SUM(AE57:AE60)</f>
        <v>0</v>
      </c>
      <c r="AF61" s="139">
        <f t="shared" si="236"/>
        <v>0</v>
      </c>
      <c r="AG61" s="139">
        <f t="shared" ref="AG61:AH61" si="237">SUM(AG57:AG60)</f>
        <v>0</v>
      </c>
      <c r="AH61" s="139">
        <f t="shared" si="237"/>
        <v>0</v>
      </c>
      <c r="AI61" s="139">
        <f t="shared" ref="AI61:AJ61" si="238">SUM(AI57:AI60)</f>
        <v>0</v>
      </c>
      <c r="AJ61" s="139">
        <f t="shared" si="238"/>
        <v>0</v>
      </c>
      <c r="AK61" s="139">
        <f t="shared" ref="AK61:AL61" si="239">SUM(AK57:AK60)</f>
        <v>0</v>
      </c>
      <c r="AL61" s="139">
        <f t="shared" si="239"/>
        <v>0</v>
      </c>
      <c r="AM61" s="139">
        <f t="shared" ref="AM61:AO61" si="240">SUM(AM57:AM60)</f>
        <v>0</v>
      </c>
      <c r="AN61" s="139">
        <f t="shared" si="240"/>
        <v>0</v>
      </c>
      <c r="AO61" s="139">
        <f t="shared" si="240"/>
        <v>0</v>
      </c>
      <c r="AP61" s="139">
        <f t="shared" ref="AP61:AR61" si="241">SUM(AP57:AP60)</f>
        <v>0</v>
      </c>
      <c r="AQ61" s="139">
        <f t="shared" si="241"/>
        <v>0</v>
      </c>
      <c r="AR61" s="139">
        <f t="shared" si="241"/>
        <v>0</v>
      </c>
      <c r="AS61" s="139">
        <f t="shared" ref="AS61:AT61" si="242">SUM(AS57:AS60)</f>
        <v>0</v>
      </c>
      <c r="AT61" s="139">
        <f t="shared" si="242"/>
        <v>0</v>
      </c>
      <c r="AU61" s="139">
        <f t="shared" ref="AU61:AV61" si="243">SUM(AU57:AU60)</f>
        <v>0</v>
      </c>
      <c r="AV61" s="139">
        <f t="shared" si="243"/>
        <v>0</v>
      </c>
      <c r="AW61" s="139">
        <f t="shared" ref="AW61:AX61" si="244">SUM(AW57:AW60)</f>
        <v>0</v>
      </c>
      <c r="AX61" s="139">
        <f t="shared" si="244"/>
        <v>0</v>
      </c>
      <c r="AY61" s="139">
        <f t="shared" ref="AY61:AZ61" si="245">SUM(AY57:AY60)</f>
        <v>0</v>
      </c>
      <c r="AZ61" s="139">
        <f t="shared" si="245"/>
        <v>0</v>
      </c>
      <c r="BA61" s="139">
        <f t="shared" ref="BA61:BC61" si="246">SUM(BA57:BA60)</f>
        <v>0</v>
      </c>
      <c r="BB61" s="139">
        <f t="shared" si="246"/>
        <v>0</v>
      </c>
      <c r="BC61" s="139">
        <f t="shared" si="246"/>
        <v>81498</v>
      </c>
      <c r="BD61" s="139">
        <f t="shared" ref="BD61:BE61" si="247">SUM(BD57:BD60)</f>
        <v>0</v>
      </c>
      <c r="BE61" s="139">
        <f t="shared" si="247"/>
        <v>0</v>
      </c>
      <c r="BF61" s="139">
        <f t="shared" ref="BF61" si="248">SUM(BF57:BF60)</f>
        <v>0</v>
      </c>
    </row>
    <row r="62" spans="1:58">
      <c r="A62" s="134" t="s">
        <v>344</v>
      </c>
      <c r="B62" s="140" t="s">
        <v>345</v>
      </c>
      <c r="C62" s="135">
        <f t="shared" ref="C62:C69" si="249">D62+E62+F62</f>
        <v>0</v>
      </c>
      <c r="D62" s="135">
        <f t="shared" ref="D62:D69" si="250">SUM(G62:R62)</f>
        <v>0</v>
      </c>
      <c r="E62" s="135">
        <f t="shared" ref="E62:E69" si="251">SUM(S62:BD62)</f>
        <v>0</v>
      </c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  <c r="AL62" s="135"/>
      <c r="AM62" s="135"/>
      <c r="AN62" s="135"/>
      <c r="AO62" s="135"/>
      <c r="AP62" s="135"/>
      <c r="AQ62" s="135"/>
      <c r="AR62" s="135"/>
      <c r="AS62" s="135"/>
      <c r="AT62" s="135"/>
      <c r="AU62" s="135"/>
      <c r="AV62" s="135"/>
      <c r="AW62" s="135"/>
      <c r="AX62" s="135"/>
      <c r="AY62" s="135"/>
      <c r="AZ62" s="135"/>
      <c r="BA62" s="135"/>
      <c r="BB62" s="135"/>
      <c r="BC62" s="135"/>
      <c r="BD62" s="135"/>
      <c r="BE62" s="135"/>
      <c r="BF62" s="135"/>
    </row>
    <row r="63" spans="1:58">
      <c r="A63" s="134" t="s">
        <v>346</v>
      </c>
      <c r="B63" s="140" t="s">
        <v>347</v>
      </c>
      <c r="C63" s="135">
        <f t="shared" si="249"/>
        <v>0</v>
      </c>
      <c r="D63" s="135">
        <f t="shared" si="250"/>
        <v>0</v>
      </c>
      <c r="E63" s="135">
        <f t="shared" si="251"/>
        <v>0</v>
      </c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5"/>
      <c r="AS63" s="135"/>
      <c r="AT63" s="135"/>
      <c r="AU63" s="135"/>
      <c r="AV63" s="135"/>
      <c r="AW63" s="135"/>
      <c r="AX63" s="135"/>
      <c r="AY63" s="135"/>
      <c r="AZ63" s="135"/>
      <c r="BA63" s="135"/>
      <c r="BB63" s="135"/>
      <c r="BC63" s="135"/>
      <c r="BD63" s="135"/>
      <c r="BE63" s="135"/>
      <c r="BF63" s="135"/>
    </row>
    <row r="64" spans="1:58">
      <c r="A64" s="134" t="s">
        <v>348</v>
      </c>
      <c r="B64" s="140" t="s">
        <v>349</v>
      </c>
      <c r="C64" s="135">
        <f t="shared" si="249"/>
        <v>0</v>
      </c>
      <c r="D64" s="135">
        <f t="shared" si="250"/>
        <v>0</v>
      </c>
      <c r="E64" s="135">
        <f t="shared" si="251"/>
        <v>0</v>
      </c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5"/>
      <c r="AR64" s="135"/>
      <c r="AS64" s="135"/>
      <c r="AT64" s="135"/>
      <c r="AU64" s="135"/>
      <c r="AV64" s="135"/>
      <c r="AW64" s="135"/>
      <c r="AX64" s="135"/>
      <c r="AY64" s="135"/>
      <c r="AZ64" s="135"/>
      <c r="BA64" s="135"/>
      <c r="BB64" s="135"/>
      <c r="BC64" s="135"/>
      <c r="BD64" s="135"/>
      <c r="BE64" s="135"/>
      <c r="BF64" s="135"/>
    </row>
    <row r="65" spans="1:58">
      <c r="A65" s="134" t="s">
        <v>350</v>
      </c>
      <c r="B65" s="140" t="s">
        <v>351</v>
      </c>
      <c r="C65" s="135">
        <f t="shared" si="249"/>
        <v>0</v>
      </c>
      <c r="D65" s="135">
        <f t="shared" si="250"/>
        <v>0</v>
      </c>
      <c r="E65" s="135">
        <f t="shared" si="251"/>
        <v>0</v>
      </c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5"/>
      <c r="BE65" s="135"/>
      <c r="BF65" s="135"/>
    </row>
    <row r="66" spans="1:58">
      <c r="A66" s="134" t="s">
        <v>352</v>
      </c>
      <c r="B66" s="140" t="s">
        <v>353</v>
      </c>
      <c r="C66" s="135">
        <f t="shared" si="249"/>
        <v>0</v>
      </c>
      <c r="D66" s="135">
        <f t="shared" si="250"/>
        <v>0</v>
      </c>
      <c r="E66" s="135">
        <f t="shared" si="251"/>
        <v>0</v>
      </c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</row>
    <row r="67" spans="1:58">
      <c r="A67" s="134" t="s">
        <v>354</v>
      </c>
      <c r="B67" s="140" t="s">
        <v>355</v>
      </c>
      <c r="C67" s="135">
        <f t="shared" si="249"/>
        <v>0</v>
      </c>
      <c r="D67" s="135">
        <f t="shared" si="250"/>
        <v>0</v>
      </c>
      <c r="E67" s="135">
        <f t="shared" si="251"/>
        <v>0</v>
      </c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</row>
    <row r="68" spans="1:58">
      <c r="A68" s="134" t="s">
        <v>356</v>
      </c>
      <c r="B68" s="134" t="s">
        <v>357</v>
      </c>
      <c r="C68" s="135">
        <f t="shared" si="249"/>
        <v>0</v>
      </c>
      <c r="D68" s="135">
        <f t="shared" si="250"/>
        <v>0</v>
      </c>
      <c r="E68" s="135">
        <f t="shared" si="251"/>
        <v>0</v>
      </c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</row>
    <row r="69" spans="1:58">
      <c r="A69" s="134" t="s">
        <v>358</v>
      </c>
      <c r="B69" s="134" t="s">
        <v>359</v>
      </c>
      <c r="C69" s="135">
        <f t="shared" si="249"/>
        <v>0</v>
      </c>
      <c r="D69" s="135">
        <f t="shared" si="250"/>
        <v>0</v>
      </c>
      <c r="E69" s="135">
        <f t="shared" si="251"/>
        <v>0</v>
      </c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</row>
    <row r="70" spans="1:58">
      <c r="A70" s="138" t="s">
        <v>360</v>
      </c>
      <c r="B70" s="138" t="s">
        <v>111</v>
      </c>
      <c r="C70" s="139">
        <f>SUM(C62:C69)</f>
        <v>0</v>
      </c>
      <c r="D70" s="139">
        <f t="shared" ref="D70:E70" si="252">SUM(D62:D69)</f>
        <v>0</v>
      </c>
      <c r="E70" s="139">
        <f t="shared" si="252"/>
        <v>0</v>
      </c>
      <c r="F70" s="139">
        <f t="shared" ref="F70" si="253">SUM(F62:F69)</f>
        <v>0</v>
      </c>
      <c r="G70" s="139">
        <f t="shared" ref="G70:U70" si="254">SUM(G62:G69)</f>
        <v>0</v>
      </c>
      <c r="H70" s="139">
        <f t="shared" si="254"/>
        <v>0</v>
      </c>
      <c r="I70" s="139">
        <f t="shared" si="254"/>
        <v>0</v>
      </c>
      <c r="J70" s="139">
        <f t="shared" si="254"/>
        <v>0</v>
      </c>
      <c r="K70" s="139">
        <f t="shared" si="254"/>
        <v>0</v>
      </c>
      <c r="L70" s="139">
        <f t="shared" si="254"/>
        <v>0</v>
      </c>
      <c r="M70" s="139">
        <f t="shared" si="254"/>
        <v>0</v>
      </c>
      <c r="N70" s="139">
        <f t="shared" si="254"/>
        <v>0</v>
      </c>
      <c r="O70" s="139">
        <f t="shared" si="254"/>
        <v>0</v>
      </c>
      <c r="P70" s="139">
        <f t="shared" si="254"/>
        <v>0</v>
      </c>
      <c r="Q70" s="139">
        <f t="shared" si="254"/>
        <v>0</v>
      </c>
      <c r="R70" s="139">
        <f t="shared" ref="R70" si="255">SUM(R62:R69)</f>
        <v>0</v>
      </c>
      <c r="S70" s="139">
        <f t="shared" si="254"/>
        <v>0</v>
      </c>
      <c r="T70" s="139">
        <f t="shared" si="254"/>
        <v>0</v>
      </c>
      <c r="U70" s="139">
        <f t="shared" si="254"/>
        <v>0</v>
      </c>
      <c r="V70" s="139">
        <f t="shared" ref="V70:W70" si="256">SUM(V62:V69)</f>
        <v>0</v>
      </c>
      <c r="W70" s="139">
        <f t="shared" si="256"/>
        <v>0</v>
      </c>
      <c r="X70" s="139">
        <f t="shared" ref="X70:Y70" si="257">SUM(X62:X69)</f>
        <v>0</v>
      </c>
      <c r="Y70" s="139">
        <f t="shared" si="257"/>
        <v>0</v>
      </c>
      <c r="Z70" s="139">
        <f t="shared" ref="Z70:AA70" si="258">SUM(Z62:Z69)</f>
        <v>0</v>
      </c>
      <c r="AA70" s="139">
        <f t="shared" si="258"/>
        <v>0</v>
      </c>
      <c r="AB70" s="139">
        <f t="shared" ref="AB70:AC70" si="259">SUM(AB62:AB69)</f>
        <v>0</v>
      </c>
      <c r="AC70" s="139">
        <f t="shared" si="259"/>
        <v>0</v>
      </c>
      <c r="AD70" s="139">
        <f t="shared" ref="AD70" si="260">SUM(AD62:AD69)</f>
        <v>0</v>
      </c>
      <c r="AE70" s="139">
        <f t="shared" ref="AE70:AF70" si="261">SUM(AE62:AE69)</f>
        <v>0</v>
      </c>
      <c r="AF70" s="139">
        <f t="shared" si="261"/>
        <v>0</v>
      </c>
      <c r="AG70" s="139">
        <f t="shared" ref="AG70:AH70" si="262">SUM(AG62:AG69)</f>
        <v>0</v>
      </c>
      <c r="AH70" s="139">
        <f t="shared" si="262"/>
        <v>0</v>
      </c>
      <c r="AI70" s="139">
        <f t="shared" ref="AI70:AJ70" si="263">SUM(AI62:AI69)</f>
        <v>0</v>
      </c>
      <c r="AJ70" s="139">
        <f t="shared" si="263"/>
        <v>0</v>
      </c>
      <c r="AK70" s="139">
        <f t="shared" ref="AK70:AL70" si="264">SUM(AK62:AK69)</f>
        <v>0</v>
      </c>
      <c r="AL70" s="139">
        <f t="shared" si="264"/>
        <v>0</v>
      </c>
      <c r="AM70" s="139">
        <f t="shared" ref="AM70:AO70" si="265">SUM(AM62:AM69)</f>
        <v>0</v>
      </c>
      <c r="AN70" s="139">
        <f t="shared" si="265"/>
        <v>0</v>
      </c>
      <c r="AO70" s="139">
        <f t="shared" si="265"/>
        <v>0</v>
      </c>
      <c r="AP70" s="139">
        <f t="shared" ref="AP70:AR70" si="266">SUM(AP62:AP69)</f>
        <v>0</v>
      </c>
      <c r="AQ70" s="139">
        <f t="shared" si="266"/>
        <v>0</v>
      </c>
      <c r="AR70" s="139">
        <f t="shared" si="266"/>
        <v>0</v>
      </c>
      <c r="AS70" s="139">
        <f t="shared" ref="AS70:AT70" si="267">SUM(AS62:AS69)</f>
        <v>0</v>
      </c>
      <c r="AT70" s="139">
        <f t="shared" si="267"/>
        <v>0</v>
      </c>
      <c r="AU70" s="139">
        <f t="shared" ref="AU70:AV70" si="268">SUM(AU62:AU69)</f>
        <v>0</v>
      </c>
      <c r="AV70" s="139">
        <f t="shared" si="268"/>
        <v>0</v>
      </c>
      <c r="AW70" s="139">
        <f t="shared" ref="AW70:AX70" si="269">SUM(AW62:AW69)</f>
        <v>0</v>
      </c>
      <c r="AX70" s="139">
        <f t="shared" si="269"/>
        <v>0</v>
      </c>
      <c r="AY70" s="139">
        <f t="shared" ref="AY70:AZ70" si="270">SUM(AY62:AY69)</f>
        <v>0</v>
      </c>
      <c r="AZ70" s="139">
        <f t="shared" si="270"/>
        <v>0</v>
      </c>
      <c r="BA70" s="139">
        <f t="shared" ref="BA70:BC70" si="271">SUM(BA62:BA69)</f>
        <v>0</v>
      </c>
      <c r="BB70" s="139">
        <f t="shared" si="271"/>
        <v>0</v>
      </c>
      <c r="BC70" s="139">
        <f t="shared" si="271"/>
        <v>0</v>
      </c>
      <c r="BD70" s="139">
        <f t="shared" ref="BD70:BE70" si="272">SUM(BD62:BD69)</f>
        <v>0</v>
      </c>
      <c r="BE70" s="139">
        <f t="shared" si="272"/>
        <v>0</v>
      </c>
      <c r="BF70" s="139">
        <f t="shared" ref="BF70" si="273">SUM(BF62:BF69)</f>
        <v>0</v>
      </c>
    </row>
    <row r="71" spans="1:58">
      <c r="A71" s="134" t="s">
        <v>361</v>
      </c>
      <c r="B71" s="134" t="s">
        <v>362</v>
      </c>
      <c r="C71" s="135">
        <f t="shared" ref="C71:C87" si="274">D71+E71+F71</f>
        <v>11457</v>
      </c>
      <c r="D71" s="135">
        <f t="shared" ref="D71:D87" si="275">SUM(G71:R71)</f>
        <v>0</v>
      </c>
      <c r="E71" s="135">
        <f t="shared" ref="E71:E87" si="276">SUM(S71:BD71)</f>
        <v>0</v>
      </c>
      <c r="F71" s="135">
        <f>'2B Önk kiad'!C30</f>
        <v>11457</v>
      </c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35"/>
      <c r="AT71" s="135"/>
      <c r="AU71" s="135"/>
      <c r="AV71" s="135"/>
      <c r="AW71" s="135"/>
      <c r="AX71" s="135"/>
      <c r="AY71" s="135"/>
      <c r="AZ71" s="135"/>
      <c r="BA71" s="135"/>
      <c r="BB71" s="135"/>
      <c r="BC71" s="135"/>
      <c r="BD71" s="135"/>
      <c r="BE71" s="135"/>
      <c r="BF71" s="135"/>
    </row>
    <row r="72" spans="1:58">
      <c r="A72" s="134" t="s">
        <v>363</v>
      </c>
      <c r="B72" s="140" t="s">
        <v>364</v>
      </c>
      <c r="C72" s="135">
        <f t="shared" si="274"/>
        <v>0</v>
      </c>
      <c r="D72" s="135">
        <f t="shared" si="275"/>
        <v>0</v>
      </c>
      <c r="E72" s="135">
        <f t="shared" si="276"/>
        <v>0</v>
      </c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135"/>
      <c r="AS72" s="135"/>
      <c r="AT72" s="135"/>
      <c r="AU72" s="135"/>
      <c r="AV72" s="135"/>
      <c r="AW72" s="135"/>
      <c r="AX72" s="135"/>
      <c r="AY72" s="135"/>
      <c r="AZ72" s="135"/>
      <c r="BA72" s="135"/>
      <c r="BB72" s="135"/>
      <c r="BC72" s="135"/>
      <c r="BD72" s="135"/>
      <c r="BE72" s="135"/>
      <c r="BF72" s="135"/>
    </row>
    <row r="73" spans="1:58">
      <c r="A73" s="134" t="s">
        <v>365</v>
      </c>
      <c r="B73" s="134" t="s">
        <v>366</v>
      </c>
      <c r="C73" s="135">
        <f t="shared" si="274"/>
        <v>0</v>
      </c>
      <c r="D73" s="135">
        <f t="shared" si="275"/>
        <v>0</v>
      </c>
      <c r="E73" s="135">
        <f t="shared" si="276"/>
        <v>0</v>
      </c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5"/>
      <c r="AK73" s="135"/>
      <c r="AL73" s="135"/>
      <c r="AM73" s="135"/>
      <c r="AN73" s="135"/>
      <c r="AO73" s="135"/>
      <c r="AP73" s="135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</row>
    <row r="74" spans="1:58">
      <c r="A74" s="134" t="s">
        <v>367</v>
      </c>
      <c r="B74" s="134" t="s">
        <v>368</v>
      </c>
      <c r="C74" s="135">
        <f t="shared" si="274"/>
        <v>0</v>
      </c>
      <c r="D74" s="135">
        <f t="shared" si="275"/>
        <v>0</v>
      </c>
      <c r="E74" s="135">
        <f t="shared" si="276"/>
        <v>0</v>
      </c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135"/>
      <c r="AV74" s="135"/>
      <c r="AW74" s="135"/>
      <c r="AX74" s="135"/>
      <c r="AY74" s="135"/>
      <c r="AZ74" s="135"/>
      <c r="BA74" s="135"/>
      <c r="BB74" s="135"/>
      <c r="BC74" s="135"/>
      <c r="BD74" s="135"/>
      <c r="BE74" s="135"/>
      <c r="BF74" s="135"/>
    </row>
    <row r="75" spans="1:58">
      <c r="A75" s="134" t="s">
        <v>369</v>
      </c>
      <c r="B75" s="134" t="s">
        <v>370</v>
      </c>
      <c r="C75" s="135">
        <f t="shared" si="274"/>
        <v>0</v>
      </c>
      <c r="D75" s="135">
        <f t="shared" si="275"/>
        <v>0</v>
      </c>
      <c r="E75" s="135">
        <f t="shared" si="276"/>
        <v>0</v>
      </c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</row>
    <row r="76" spans="1:58">
      <c r="A76" s="134" t="s">
        <v>371</v>
      </c>
      <c r="B76" s="134" t="s">
        <v>372</v>
      </c>
      <c r="C76" s="135">
        <f t="shared" si="274"/>
        <v>0</v>
      </c>
      <c r="D76" s="135">
        <f t="shared" si="275"/>
        <v>0</v>
      </c>
      <c r="E76" s="135">
        <f t="shared" si="276"/>
        <v>0</v>
      </c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</row>
    <row r="77" spans="1:58">
      <c r="A77" s="134" t="s">
        <v>373</v>
      </c>
      <c r="B77" s="134" t="s">
        <v>374</v>
      </c>
      <c r="C77" s="135">
        <f t="shared" si="274"/>
        <v>0</v>
      </c>
      <c r="D77" s="135">
        <f t="shared" si="275"/>
        <v>0</v>
      </c>
      <c r="E77" s="135">
        <f t="shared" si="276"/>
        <v>0</v>
      </c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35"/>
      <c r="AU77" s="135"/>
      <c r="AV77" s="135"/>
      <c r="AW77" s="135"/>
      <c r="AX77" s="135"/>
      <c r="AY77" s="135"/>
      <c r="AZ77" s="135"/>
      <c r="BA77" s="135"/>
      <c r="BB77" s="135"/>
      <c r="BC77" s="135"/>
      <c r="BD77" s="135"/>
      <c r="BE77" s="135"/>
      <c r="BF77" s="135"/>
    </row>
    <row r="78" spans="1:58">
      <c r="A78" s="134" t="s">
        <v>375</v>
      </c>
      <c r="B78" s="134" t="s">
        <v>376</v>
      </c>
      <c r="C78" s="135">
        <f t="shared" si="274"/>
        <v>0</v>
      </c>
      <c r="D78" s="135">
        <f t="shared" si="275"/>
        <v>0</v>
      </c>
      <c r="E78" s="135">
        <f t="shared" si="276"/>
        <v>0</v>
      </c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/>
      <c r="AU78" s="135"/>
      <c r="AV78" s="135"/>
      <c r="AW78" s="135"/>
      <c r="AX78" s="135"/>
      <c r="AY78" s="135"/>
      <c r="AZ78" s="135"/>
      <c r="BA78" s="135"/>
      <c r="BB78" s="135"/>
      <c r="BC78" s="135"/>
      <c r="BD78" s="135"/>
      <c r="BE78" s="135"/>
      <c r="BF78" s="135"/>
    </row>
    <row r="79" spans="1:58">
      <c r="A79" s="134" t="s">
        <v>377</v>
      </c>
      <c r="B79" s="134" t="s">
        <v>378</v>
      </c>
      <c r="C79" s="135">
        <f t="shared" si="274"/>
        <v>0</v>
      </c>
      <c r="D79" s="135">
        <f t="shared" si="275"/>
        <v>0</v>
      </c>
      <c r="E79" s="135">
        <f t="shared" si="276"/>
        <v>0</v>
      </c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135"/>
      <c r="AS79" s="135"/>
      <c r="AT79" s="135"/>
      <c r="AU79" s="135"/>
      <c r="AV79" s="135"/>
      <c r="AW79" s="135"/>
      <c r="AX79" s="135"/>
      <c r="AY79" s="135"/>
      <c r="AZ79" s="135"/>
      <c r="BA79" s="135"/>
      <c r="BB79" s="135"/>
      <c r="BC79" s="135"/>
      <c r="BD79" s="135"/>
      <c r="BE79" s="135"/>
      <c r="BF79" s="135"/>
    </row>
    <row r="80" spans="1:58">
      <c r="A80" s="134" t="s">
        <v>379</v>
      </c>
      <c r="B80" s="134" t="s">
        <v>380</v>
      </c>
      <c r="C80" s="135">
        <f t="shared" si="274"/>
        <v>2633656</v>
      </c>
      <c r="D80" s="135">
        <f t="shared" si="275"/>
        <v>0</v>
      </c>
      <c r="E80" s="135">
        <f t="shared" si="276"/>
        <v>0</v>
      </c>
      <c r="F80" s="135">
        <f>'2B Önk kiad'!C33</f>
        <v>2633656</v>
      </c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  <c r="AX80" s="135"/>
      <c r="AY80" s="135"/>
      <c r="AZ80" s="135"/>
      <c r="BA80" s="135"/>
      <c r="BB80" s="135"/>
      <c r="BC80" s="135"/>
      <c r="BD80" s="135"/>
      <c r="BE80" s="135"/>
      <c r="BF80" s="135"/>
    </row>
    <row r="81" spans="1:58">
      <c r="A81" s="134" t="s">
        <v>381</v>
      </c>
      <c r="B81" s="134" t="s">
        <v>382</v>
      </c>
      <c r="C81" s="135">
        <f t="shared" si="274"/>
        <v>0</v>
      </c>
      <c r="D81" s="135">
        <f t="shared" si="275"/>
        <v>0</v>
      </c>
      <c r="E81" s="135">
        <f t="shared" si="276"/>
        <v>0</v>
      </c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135"/>
      <c r="AS81" s="135"/>
      <c r="AT81" s="135"/>
      <c r="AU81" s="135"/>
      <c r="AV81" s="135"/>
      <c r="AW81" s="135"/>
      <c r="AX81" s="135"/>
      <c r="AY81" s="135"/>
      <c r="AZ81" s="135"/>
      <c r="BA81" s="135"/>
      <c r="BB81" s="135"/>
      <c r="BC81" s="135"/>
      <c r="BD81" s="135"/>
      <c r="BE81" s="135"/>
      <c r="BF81" s="135"/>
    </row>
    <row r="82" spans="1:58">
      <c r="A82" s="134" t="s">
        <v>383</v>
      </c>
      <c r="B82" s="134" t="s">
        <v>384</v>
      </c>
      <c r="C82" s="135">
        <f t="shared" si="274"/>
        <v>0</v>
      </c>
      <c r="D82" s="135">
        <f t="shared" si="275"/>
        <v>0</v>
      </c>
      <c r="E82" s="135">
        <f t="shared" si="276"/>
        <v>0</v>
      </c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5"/>
      <c r="AY82" s="135"/>
      <c r="AZ82" s="135"/>
      <c r="BA82" s="135"/>
      <c r="BB82" s="135"/>
      <c r="BC82" s="135"/>
      <c r="BD82" s="135"/>
      <c r="BE82" s="135"/>
      <c r="BF82" s="135"/>
    </row>
    <row r="83" spans="1:58">
      <c r="A83" s="134" t="s">
        <v>385</v>
      </c>
      <c r="B83" s="134" t="s">
        <v>386</v>
      </c>
      <c r="C83" s="135">
        <f t="shared" si="274"/>
        <v>0</v>
      </c>
      <c r="D83" s="135">
        <f t="shared" si="275"/>
        <v>0</v>
      </c>
      <c r="E83" s="135">
        <f t="shared" si="276"/>
        <v>0</v>
      </c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  <c r="AZ83" s="135"/>
      <c r="BA83" s="135"/>
      <c r="BB83" s="135"/>
      <c r="BC83" s="135"/>
      <c r="BD83" s="135"/>
      <c r="BE83" s="135"/>
      <c r="BF83" s="135"/>
    </row>
    <row r="84" spans="1:58">
      <c r="A84" s="134" t="s">
        <v>387</v>
      </c>
      <c r="B84" s="134" t="s">
        <v>388</v>
      </c>
      <c r="C84" s="135">
        <f t="shared" si="274"/>
        <v>0</v>
      </c>
      <c r="D84" s="135">
        <f t="shared" si="275"/>
        <v>0</v>
      </c>
      <c r="E84" s="135">
        <f t="shared" si="276"/>
        <v>0</v>
      </c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</row>
    <row r="85" spans="1:58">
      <c r="A85" s="134" t="s">
        <v>389</v>
      </c>
      <c r="B85" s="134" t="s">
        <v>390</v>
      </c>
      <c r="C85" s="135">
        <f t="shared" si="274"/>
        <v>0</v>
      </c>
      <c r="D85" s="135">
        <f t="shared" si="275"/>
        <v>0</v>
      </c>
      <c r="E85" s="135">
        <f t="shared" si="276"/>
        <v>0</v>
      </c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135"/>
      <c r="AU85" s="135"/>
      <c r="AV85" s="135"/>
      <c r="AW85" s="135"/>
      <c r="AX85" s="135"/>
      <c r="AY85" s="135"/>
      <c r="AZ85" s="135"/>
      <c r="BA85" s="135"/>
      <c r="BB85" s="135"/>
      <c r="BC85" s="135"/>
      <c r="BD85" s="135"/>
      <c r="BE85" s="135"/>
      <c r="BF85" s="135"/>
    </row>
    <row r="86" spans="1:58">
      <c r="A86" s="134" t="s">
        <v>391</v>
      </c>
      <c r="B86" s="134" t="s">
        <v>392</v>
      </c>
      <c r="C86" s="135">
        <f t="shared" si="274"/>
        <v>0</v>
      </c>
      <c r="D86" s="135">
        <f t="shared" si="275"/>
        <v>0</v>
      </c>
      <c r="E86" s="135">
        <f t="shared" si="276"/>
        <v>0</v>
      </c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  <c r="AZ86" s="135"/>
      <c r="BA86" s="135"/>
      <c r="BB86" s="135"/>
      <c r="BC86" s="135"/>
      <c r="BD86" s="135"/>
      <c r="BE86" s="135"/>
      <c r="BF86" s="135"/>
    </row>
    <row r="87" spans="1:58">
      <c r="A87" s="134" t="s">
        <v>393</v>
      </c>
      <c r="B87" s="134" t="s">
        <v>394</v>
      </c>
      <c r="C87" s="135">
        <f t="shared" si="274"/>
        <v>0</v>
      </c>
      <c r="D87" s="135">
        <f t="shared" si="275"/>
        <v>0</v>
      </c>
      <c r="E87" s="135">
        <f t="shared" si="276"/>
        <v>0</v>
      </c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  <c r="BE87" s="135"/>
      <c r="BF87" s="135"/>
    </row>
    <row r="88" spans="1:58">
      <c r="A88" s="138" t="s">
        <v>395</v>
      </c>
      <c r="B88" s="138" t="s">
        <v>396</v>
      </c>
      <c r="C88" s="139">
        <f>SUM(C71:C87)</f>
        <v>2645113</v>
      </c>
      <c r="D88" s="139">
        <f t="shared" ref="D88:E88" si="277">SUM(D71:D87)</f>
        <v>0</v>
      </c>
      <c r="E88" s="139">
        <f t="shared" si="277"/>
        <v>0</v>
      </c>
      <c r="F88" s="139">
        <f t="shared" ref="F88" si="278">SUM(F71:F87)</f>
        <v>2645113</v>
      </c>
      <c r="G88" s="139">
        <f t="shared" ref="G88:U88" si="279">SUM(G71:G87)</f>
        <v>0</v>
      </c>
      <c r="H88" s="139">
        <f t="shared" si="279"/>
        <v>0</v>
      </c>
      <c r="I88" s="139">
        <f t="shared" si="279"/>
        <v>0</v>
      </c>
      <c r="J88" s="139">
        <f t="shared" si="279"/>
        <v>0</v>
      </c>
      <c r="K88" s="139">
        <f t="shared" si="279"/>
        <v>0</v>
      </c>
      <c r="L88" s="139">
        <f t="shared" si="279"/>
        <v>0</v>
      </c>
      <c r="M88" s="139">
        <f t="shared" si="279"/>
        <v>0</v>
      </c>
      <c r="N88" s="139">
        <f t="shared" si="279"/>
        <v>0</v>
      </c>
      <c r="O88" s="139">
        <f t="shared" si="279"/>
        <v>0</v>
      </c>
      <c r="P88" s="139">
        <f t="shared" si="279"/>
        <v>0</v>
      </c>
      <c r="Q88" s="139">
        <f t="shared" si="279"/>
        <v>0</v>
      </c>
      <c r="R88" s="139">
        <f t="shared" ref="R88" si="280">SUM(R71:R87)</f>
        <v>0</v>
      </c>
      <c r="S88" s="139">
        <f t="shared" si="279"/>
        <v>0</v>
      </c>
      <c r="T88" s="139">
        <f t="shared" si="279"/>
        <v>0</v>
      </c>
      <c r="U88" s="139">
        <f t="shared" si="279"/>
        <v>0</v>
      </c>
      <c r="V88" s="139">
        <f t="shared" ref="V88:W88" si="281">SUM(V71:V87)</f>
        <v>0</v>
      </c>
      <c r="W88" s="139">
        <f t="shared" si="281"/>
        <v>0</v>
      </c>
      <c r="X88" s="139">
        <f t="shared" ref="X88:Y88" si="282">SUM(X71:X87)</f>
        <v>0</v>
      </c>
      <c r="Y88" s="139">
        <f t="shared" si="282"/>
        <v>0</v>
      </c>
      <c r="Z88" s="139">
        <f t="shared" ref="Z88:AA88" si="283">SUM(Z71:Z87)</f>
        <v>0</v>
      </c>
      <c r="AA88" s="139">
        <f t="shared" si="283"/>
        <v>0</v>
      </c>
      <c r="AB88" s="139">
        <f t="shared" ref="AB88:AC88" si="284">SUM(AB71:AB87)</f>
        <v>0</v>
      </c>
      <c r="AC88" s="139">
        <f t="shared" si="284"/>
        <v>0</v>
      </c>
      <c r="AD88" s="139">
        <f t="shared" ref="AD88" si="285">SUM(AD71:AD87)</f>
        <v>0</v>
      </c>
      <c r="AE88" s="139">
        <f t="shared" ref="AE88:AF88" si="286">SUM(AE71:AE87)</f>
        <v>0</v>
      </c>
      <c r="AF88" s="139">
        <f t="shared" si="286"/>
        <v>0</v>
      </c>
      <c r="AG88" s="139">
        <f t="shared" ref="AG88:AH88" si="287">SUM(AG71:AG87)</f>
        <v>0</v>
      </c>
      <c r="AH88" s="139">
        <f t="shared" si="287"/>
        <v>0</v>
      </c>
      <c r="AI88" s="139">
        <f t="shared" ref="AI88:AJ88" si="288">SUM(AI71:AI87)</f>
        <v>0</v>
      </c>
      <c r="AJ88" s="139">
        <f t="shared" si="288"/>
        <v>0</v>
      </c>
      <c r="AK88" s="139">
        <f t="shared" ref="AK88:AL88" si="289">SUM(AK71:AK87)</f>
        <v>0</v>
      </c>
      <c r="AL88" s="139">
        <f t="shared" si="289"/>
        <v>0</v>
      </c>
      <c r="AM88" s="139">
        <f t="shared" ref="AM88:AO88" si="290">SUM(AM71:AM87)</f>
        <v>0</v>
      </c>
      <c r="AN88" s="139">
        <f t="shared" si="290"/>
        <v>0</v>
      </c>
      <c r="AO88" s="139">
        <f t="shared" si="290"/>
        <v>0</v>
      </c>
      <c r="AP88" s="139">
        <f t="shared" ref="AP88:AR88" si="291">SUM(AP71:AP87)</f>
        <v>0</v>
      </c>
      <c r="AQ88" s="139">
        <f t="shared" si="291"/>
        <v>0</v>
      </c>
      <c r="AR88" s="139">
        <f t="shared" si="291"/>
        <v>0</v>
      </c>
      <c r="AS88" s="139">
        <f t="shared" ref="AS88:AT88" si="292">SUM(AS71:AS87)</f>
        <v>0</v>
      </c>
      <c r="AT88" s="139">
        <f t="shared" si="292"/>
        <v>0</v>
      </c>
      <c r="AU88" s="139">
        <f t="shared" ref="AU88:AV88" si="293">SUM(AU71:AU87)</f>
        <v>0</v>
      </c>
      <c r="AV88" s="139">
        <f t="shared" si="293"/>
        <v>0</v>
      </c>
      <c r="AW88" s="139">
        <f t="shared" ref="AW88:AX88" si="294">SUM(AW71:AW87)</f>
        <v>0</v>
      </c>
      <c r="AX88" s="139">
        <f t="shared" si="294"/>
        <v>0</v>
      </c>
      <c r="AY88" s="139">
        <f t="shared" ref="AY88:AZ88" si="295">SUM(AY71:AY87)</f>
        <v>0</v>
      </c>
      <c r="AZ88" s="139">
        <f t="shared" si="295"/>
        <v>0</v>
      </c>
      <c r="BA88" s="139">
        <f t="shared" ref="BA88:BC88" si="296">SUM(BA71:BA87)</f>
        <v>0</v>
      </c>
      <c r="BB88" s="139">
        <f t="shared" si="296"/>
        <v>0</v>
      </c>
      <c r="BC88" s="139">
        <f t="shared" si="296"/>
        <v>0</v>
      </c>
      <c r="BD88" s="139">
        <f t="shared" ref="BD88:BE88" si="297">SUM(BD71:BD87)</f>
        <v>0</v>
      </c>
      <c r="BE88" s="139">
        <f t="shared" si="297"/>
        <v>0</v>
      </c>
      <c r="BF88" s="139">
        <f t="shared" ref="BF88" si="298">SUM(BF71:BF87)</f>
        <v>0</v>
      </c>
    </row>
    <row r="89" spans="1:58">
      <c r="A89" s="710" t="s">
        <v>397</v>
      </c>
      <c r="B89" s="710"/>
      <c r="C89" s="141">
        <f>C26+C35+C48+C56+C61+C70+C88</f>
        <v>4326122</v>
      </c>
      <c r="D89" s="141">
        <f t="shared" ref="D89:E89" si="299">D26+D35+D48+D56+D61+D70+D88</f>
        <v>832077</v>
      </c>
      <c r="E89" s="141">
        <f t="shared" si="299"/>
        <v>848932</v>
      </c>
      <c r="F89" s="141">
        <f t="shared" ref="F89" si="300">F26+F35+F48+F56+F61+F70+F88</f>
        <v>2645113</v>
      </c>
      <c r="G89" s="141">
        <f t="shared" ref="G89:U89" si="301">G26+G35+G48+G56+G61+G70+G88</f>
        <v>34927</v>
      </c>
      <c r="H89" s="141">
        <f t="shared" si="301"/>
        <v>14337</v>
      </c>
      <c r="I89" s="141">
        <f t="shared" si="301"/>
        <v>18694</v>
      </c>
      <c r="J89" s="141">
        <f t="shared" si="301"/>
        <v>996</v>
      </c>
      <c r="K89" s="141">
        <f t="shared" si="301"/>
        <v>2185</v>
      </c>
      <c r="L89" s="141">
        <f t="shared" si="301"/>
        <v>4354</v>
      </c>
      <c r="M89" s="141">
        <f t="shared" si="301"/>
        <v>559</v>
      </c>
      <c r="N89" s="141">
        <f t="shared" si="301"/>
        <v>18281</v>
      </c>
      <c r="O89" s="141">
        <f t="shared" si="301"/>
        <v>6429</v>
      </c>
      <c r="P89" s="141">
        <f t="shared" si="301"/>
        <v>370</v>
      </c>
      <c r="Q89" s="141">
        <f t="shared" si="301"/>
        <v>710178</v>
      </c>
      <c r="R89" s="141">
        <f t="shared" ref="R89" si="302">R26+R35+R48+R56+R61+R70+R88</f>
        <v>20767</v>
      </c>
      <c r="S89" s="141">
        <f t="shared" si="301"/>
        <v>3744</v>
      </c>
      <c r="T89" s="141">
        <f t="shared" si="301"/>
        <v>100000</v>
      </c>
      <c r="U89" s="141">
        <f t="shared" si="301"/>
        <v>6500</v>
      </c>
      <c r="V89" s="141">
        <f t="shared" ref="V89:W89" si="303">V26+V35+V48+V56+V61+V70+V88</f>
        <v>1802</v>
      </c>
      <c r="W89" s="141">
        <f t="shared" si="303"/>
        <v>1000</v>
      </c>
      <c r="X89" s="141">
        <f t="shared" ref="X89:Y89" si="304">X26+X35+X48+X56+X61+X70+X88</f>
        <v>1334</v>
      </c>
      <c r="Y89" s="141">
        <f t="shared" si="304"/>
        <v>3811</v>
      </c>
      <c r="Z89" s="141">
        <f t="shared" ref="Z89:AA89" si="305">Z26+Z35+Z48+Z56+Z61+Z70+Z88</f>
        <v>2500</v>
      </c>
      <c r="AA89" s="141">
        <f t="shared" si="305"/>
        <v>11430</v>
      </c>
      <c r="AB89" s="141">
        <f t="shared" ref="AB89:AC89" si="306">AB26+AB35+AB48+AB56+AB61+AB70+AB88</f>
        <v>1750</v>
      </c>
      <c r="AC89" s="141">
        <f t="shared" si="306"/>
        <v>914</v>
      </c>
      <c r="AD89" s="141">
        <f t="shared" ref="AD89" si="307">AD26+AD35+AD48+AD56+AD61+AD70+AD88</f>
        <v>2400</v>
      </c>
      <c r="AE89" s="141">
        <f t="shared" ref="AE89:AF89" si="308">AE26+AE35+AE48+AE56+AE61+AE70+AE88</f>
        <v>2093</v>
      </c>
      <c r="AF89" s="141">
        <f t="shared" si="308"/>
        <v>1500</v>
      </c>
      <c r="AG89" s="141">
        <f t="shared" ref="AG89:AH89" si="309">AG26+AG35+AG48+AG56+AG61+AG70+AG88</f>
        <v>25210</v>
      </c>
      <c r="AH89" s="141">
        <f t="shared" si="309"/>
        <v>10153</v>
      </c>
      <c r="AI89" s="141">
        <f t="shared" ref="AI89:AJ89" si="310">AI26+AI35+AI48+AI56+AI61+AI70+AI88</f>
        <v>2000</v>
      </c>
      <c r="AJ89" s="141">
        <f t="shared" si="310"/>
        <v>27535</v>
      </c>
      <c r="AK89" s="141">
        <f t="shared" ref="AK89:AL89" si="311">AK26+AK35+AK48+AK56+AK61+AK70+AK88</f>
        <v>3904</v>
      </c>
      <c r="AL89" s="141">
        <f t="shared" si="311"/>
        <v>5145</v>
      </c>
      <c r="AM89" s="141">
        <f t="shared" ref="AM89:AO89" si="312">AM26+AM35+AM48+AM56+AM61+AM70+AM88</f>
        <v>7560</v>
      </c>
      <c r="AN89" s="141">
        <f t="shared" si="312"/>
        <v>6175</v>
      </c>
      <c r="AO89" s="141">
        <f t="shared" si="312"/>
        <v>1631</v>
      </c>
      <c r="AP89" s="141">
        <f t="shared" ref="AP89:AR89" si="313">AP26+AP35+AP48+AP56+AP61+AP70+AP88</f>
        <v>319306</v>
      </c>
      <c r="AQ89" s="141">
        <f t="shared" si="313"/>
        <v>27150</v>
      </c>
      <c r="AR89" s="141">
        <f t="shared" si="313"/>
        <v>3000</v>
      </c>
      <c r="AS89" s="141">
        <f t="shared" ref="AS89:AT89" si="314">AS26+AS35+AS48+AS56+AS61+AS70+AS88</f>
        <v>26975</v>
      </c>
      <c r="AT89" s="141">
        <f t="shared" si="314"/>
        <v>2858</v>
      </c>
      <c r="AU89" s="141">
        <f t="shared" ref="AU89:AV89" si="315">AU26+AU35+AU48+AU56+AU61+AU70+AU88</f>
        <v>0</v>
      </c>
      <c r="AV89" s="141">
        <f t="shared" si="315"/>
        <v>6000</v>
      </c>
      <c r="AW89" s="141">
        <f t="shared" ref="AW89:AX89" si="316">AW26+AW35+AW48+AW56+AW61+AW70+AW88</f>
        <v>8500</v>
      </c>
      <c r="AX89" s="141">
        <f t="shared" si="316"/>
        <v>0</v>
      </c>
      <c r="AY89" s="141">
        <f t="shared" ref="AY89:AZ89" si="317">AY26+AY35+AY48+AY56+AY61+AY70+AY88</f>
        <v>0</v>
      </c>
      <c r="AZ89" s="141">
        <f t="shared" si="317"/>
        <v>20048</v>
      </c>
      <c r="BA89" s="141">
        <f t="shared" ref="BA89:BC89" si="318">BA26+BA35+BA48+BA56+BA61+BA70+BA88</f>
        <v>0</v>
      </c>
      <c r="BB89" s="141">
        <f t="shared" si="318"/>
        <v>99107</v>
      </c>
      <c r="BC89" s="141">
        <f t="shared" si="318"/>
        <v>81498</v>
      </c>
      <c r="BD89" s="141">
        <f t="shared" ref="BD89:BE89" si="319">BD26+BD35+BD48+BD56+BD61+BD70+BD88</f>
        <v>999</v>
      </c>
      <c r="BE89" s="141">
        <f t="shared" si="319"/>
        <v>17400</v>
      </c>
      <c r="BF89" s="141">
        <f t="shared" ref="BF89" si="320">BF26+BF35+BF48+BF56+BF61+BF70+BF88</f>
        <v>6000</v>
      </c>
    </row>
  </sheetData>
  <mergeCells count="1">
    <mergeCell ref="A89:B89"/>
  </mergeCells>
  <pageMargins left="0.78749999999999998" right="0.78749999999999998" top="0.78749999999999998" bottom="0.78749999999999998" header="9.8611111111111108E-2" footer="9.8611111111111108E-2"/>
  <pageSetup paperSize="9" fitToHeight="0" orientation="portrait" useFirstPageNumber="1" horizontalDpi="300" verticalDpi="300" r:id="rId1"/>
  <headerFooter alignWithMargins="0">
    <oddHeader>&amp;CRovatrend lista</oddHeader>
    <oddFooter>&amp;Coldal: &amp;P/&amp;N
exportálva: 2014-01-13 13:57 (2105 MP)</oddFoot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G155"/>
  <sheetViews>
    <sheetView zoomScaleNormal="100" zoomScaleSheetLayoutView="100" workbookViewId="0">
      <pane xSplit="3" ySplit="1" topLeftCell="D41" activePane="bottomRight" state="frozen"/>
      <selection pane="topRight" activeCell="D1" sqref="D1"/>
      <selection pane="bottomLeft" activeCell="A2" sqref="A2"/>
      <selection pane="bottomRight" activeCell="E25" sqref="E25"/>
    </sheetView>
  </sheetViews>
  <sheetFormatPr defaultColWidth="11.5703125" defaultRowHeight="12.75"/>
  <cols>
    <col min="1" max="1" width="6.28515625" style="289" bestFit="1" customWidth="1"/>
    <col min="2" max="2" width="13.5703125" style="280" bestFit="1" customWidth="1"/>
    <col min="3" max="3" width="42.28515625" style="133" customWidth="1"/>
    <col min="4" max="6" width="12.5703125" style="133" customWidth="1"/>
    <col min="7" max="7" width="12.5703125" style="133" hidden="1" customWidth="1"/>
    <col min="8" max="16384" width="11.5703125" style="133"/>
  </cols>
  <sheetData>
    <row r="1" spans="1:7" s="258" customFormat="1" ht="38.25">
      <c r="A1" s="395" t="s">
        <v>859</v>
      </c>
      <c r="B1" s="395" t="s">
        <v>549</v>
      </c>
      <c r="C1" s="395" t="s">
        <v>58</v>
      </c>
      <c r="D1" s="395" t="s">
        <v>216</v>
      </c>
      <c r="E1" s="395" t="s">
        <v>1336</v>
      </c>
      <c r="F1" s="395" t="s">
        <v>1337</v>
      </c>
      <c r="G1" s="395" t="s">
        <v>552</v>
      </c>
    </row>
    <row r="2" spans="1:7">
      <c r="A2" s="396"/>
      <c r="B2" s="397" t="s">
        <v>553</v>
      </c>
      <c r="C2" s="140" t="s">
        <v>554</v>
      </c>
      <c r="D2" s="135">
        <f>SUM(E2:G2)</f>
        <v>6528</v>
      </c>
      <c r="E2" s="135">
        <v>6528</v>
      </c>
      <c r="F2" s="135"/>
      <c r="G2" s="135"/>
    </row>
    <row r="3" spans="1:7">
      <c r="A3" s="396"/>
      <c r="B3" s="397" t="s">
        <v>555</v>
      </c>
      <c r="C3" s="140" t="s">
        <v>556</v>
      </c>
      <c r="D3" s="135">
        <f t="shared" ref="D3:D51" si="0">SUM(E3:G3)</f>
        <v>0</v>
      </c>
      <c r="E3" s="135"/>
      <c r="F3" s="135"/>
      <c r="G3" s="135"/>
    </row>
    <row r="4" spans="1:7">
      <c r="A4" s="396"/>
      <c r="B4" s="397" t="s">
        <v>557</v>
      </c>
      <c r="C4" s="140" t="s">
        <v>558</v>
      </c>
      <c r="D4" s="135">
        <f t="shared" si="0"/>
        <v>80</v>
      </c>
      <c r="E4" s="135">
        <v>80</v>
      </c>
      <c r="F4" s="135"/>
      <c r="G4" s="135"/>
    </row>
    <row r="5" spans="1:7">
      <c r="A5" s="396"/>
      <c r="B5" s="397" t="s">
        <v>559</v>
      </c>
      <c r="C5" s="140" t="s">
        <v>560</v>
      </c>
      <c r="D5" s="135">
        <f t="shared" si="0"/>
        <v>780</v>
      </c>
      <c r="E5" s="135">
        <v>780</v>
      </c>
      <c r="F5" s="135"/>
      <c r="G5" s="135"/>
    </row>
    <row r="6" spans="1:7">
      <c r="A6" s="396"/>
      <c r="B6" s="397" t="s">
        <v>561</v>
      </c>
      <c r="C6" s="140" t="s">
        <v>562</v>
      </c>
      <c r="D6" s="135">
        <f t="shared" si="0"/>
        <v>0</v>
      </c>
      <c r="E6" s="135"/>
      <c r="F6" s="135"/>
      <c r="G6" s="135"/>
    </row>
    <row r="7" spans="1:7">
      <c r="A7" s="396"/>
      <c r="B7" s="397" t="s">
        <v>563</v>
      </c>
      <c r="C7" s="140" t="s">
        <v>564</v>
      </c>
      <c r="D7" s="135">
        <f t="shared" si="0"/>
        <v>0</v>
      </c>
      <c r="E7" s="135"/>
      <c r="F7" s="135"/>
      <c r="G7" s="135"/>
    </row>
    <row r="8" spans="1:7">
      <c r="A8" s="398" t="s">
        <v>860</v>
      </c>
      <c r="B8" s="399" t="s">
        <v>565</v>
      </c>
      <c r="C8" s="136" t="s">
        <v>566</v>
      </c>
      <c r="D8" s="137">
        <f>SUM(D2:D7)</f>
        <v>7388</v>
      </c>
      <c r="E8" s="137">
        <f t="shared" ref="E8:G8" si="1">SUM(E2:E7)</f>
        <v>7388</v>
      </c>
      <c r="F8" s="137">
        <f t="shared" si="1"/>
        <v>0</v>
      </c>
      <c r="G8" s="137">
        <f t="shared" si="1"/>
        <v>0</v>
      </c>
    </row>
    <row r="9" spans="1:7">
      <c r="A9" s="400" t="s">
        <v>861</v>
      </c>
      <c r="B9" s="401" t="s">
        <v>567</v>
      </c>
      <c r="C9" s="136" t="s">
        <v>568</v>
      </c>
      <c r="D9" s="137">
        <f t="shared" si="0"/>
        <v>0</v>
      </c>
      <c r="E9" s="137"/>
      <c r="F9" s="137"/>
      <c r="G9" s="137"/>
    </row>
    <row r="10" spans="1:7">
      <c r="A10" s="400" t="s">
        <v>862</v>
      </c>
      <c r="B10" s="401" t="s">
        <v>569</v>
      </c>
      <c r="C10" s="136" t="s">
        <v>570</v>
      </c>
      <c r="D10" s="137">
        <f t="shared" si="0"/>
        <v>0</v>
      </c>
      <c r="E10" s="137"/>
      <c r="F10" s="137"/>
      <c r="G10" s="137"/>
    </row>
    <row r="11" spans="1:7">
      <c r="A11" s="396"/>
      <c r="B11" s="397" t="s">
        <v>571</v>
      </c>
      <c r="C11" s="140" t="s">
        <v>572</v>
      </c>
      <c r="D11" s="135">
        <f t="shared" si="0"/>
        <v>0</v>
      </c>
      <c r="E11" s="135"/>
      <c r="F11" s="135"/>
      <c r="G11" s="135"/>
    </row>
    <row r="12" spans="1:7">
      <c r="A12" s="396"/>
      <c r="B12" s="397" t="s">
        <v>573</v>
      </c>
      <c r="C12" s="140" t="s">
        <v>574</v>
      </c>
      <c r="D12" s="135">
        <f t="shared" si="0"/>
        <v>100</v>
      </c>
      <c r="E12" s="135">
        <v>100</v>
      </c>
      <c r="F12" s="135"/>
      <c r="G12" s="135"/>
    </row>
    <row r="13" spans="1:7">
      <c r="A13" s="398" t="s">
        <v>863</v>
      </c>
      <c r="B13" s="399" t="s">
        <v>575</v>
      </c>
      <c r="C13" s="136" t="s">
        <v>576</v>
      </c>
      <c r="D13" s="137">
        <f>SUM(D11:D12)</f>
        <v>100</v>
      </c>
      <c r="E13" s="137">
        <f t="shared" ref="E13:G13" si="2">SUM(E11:E12)</f>
        <v>100</v>
      </c>
      <c r="F13" s="137">
        <f t="shared" si="2"/>
        <v>0</v>
      </c>
      <c r="G13" s="137">
        <f t="shared" si="2"/>
        <v>0</v>
      </c>
    </row>
    <row r="14" spans="1:7">
      <c r="A14" s="400" t="s">
        <v>864</v>
      </c>
      <c r="B14" s="401" t="s">
        <v>577</v>
      </c>
      <c r="C14" s="136" t="s">
        <v>578</v>
      </c>
      <c r="D14" s="137">
        <f t="shared" si="0"/>
        <v>0</v>
      </c>
      <c r="E14" s="137"/>
      <c r="F14" s="137"/>
      <c r="G14" s="137"/>
    </row>
    <row r="15" spans="1:7">
      <c r="A15" s="400" t="s">
        <v>865</v>
      </c>
      <c r="B15" s="401" t="s">
        <v>579</v>
      </c>
      <c r="C15" s="136" t="s">
        <v>580</v>
      </c>
      <c r="D15" s="137">
        <f t="shared" si="0"/>
        <v>1098</v>
      </c>
      <c r="E15" s="137">
        <v>1098</v>
      </c>
      <c r="F15" s="137"/>
      <c r="G15" s="137"/>
    </row>
    <row r="16" spans="1:7">
      <c r="A16" s="396"/>
      <c r="B16" s="397" t="s">
        <v>582</v>
      </c>
      <c r="C16" s="140" t="s">
        <v>583</v>
      </c>
      <c r="D16" s="135">
        <f t="shared" si="0"/>
        <v>0</v>
      </c>
      <c r="E16" s="135"/>
      <c r="F16" s="135"/>
      <c r="G16" s="135"/>
    </row>
    <row r="17" spans="1:7">
      <c r="A17" s="396"/>
      <c r="B17" s="397" t="s">
        <v>584</v>
      </c>
      <c r="C17" s="140" t="s">
        <v>585</v>
      </c>
      <c r="D17" s="135">
        <f t="shared" si="0"/>
        <v>0</v>
      </c>
      <c r="E17" s="135"/>
      <c r="F17" s="135"/>
      <c r="G17" s="135"/>
    </row>
    <row r="18" spans="1:7">
      <c r="A18" s="396"/>
      <c r="B18" s="397" t="s">
        <v>586</v>
      </c>
      <c r="C18" s="140" t="s">
        <v>587</v>
      </c>
      <c r="D18" s="135">
        <f t="shared" si="0"/>
        <v>296</v>
      </c>
      <c r="E18" s="135">
        <v>296</v>
      </c>
      <c r="F18" s="135"/>
      <c r="G18" s="135"/>
    </row>
    <row r="19" spans="1:7">
      <c r="A19" s="396"/>
      <c r="B19" s="397" t="s">
        <v>588</v>
      </c>
      <c r="C19" s="140" t="s">
        <v>589</v>
      </c>
      <c r="D19" s="135">
        <f t="shared" si="0"/>
        <v>0</v>
      </c>
      <c r="E19" s="135"/>
      <c r="F19" s="135"/>
      <c r="G19" s="135"/>
    </row>
    <row r="20" spans="1:7">
      <c r="A20" s="396"/>
      <c r="B20" s="397" t="s">
        <v>590</v>
      </c>
      <c r="C20" s="140" t="s">
        <v>591</v>
      </c>
      <c r="D20" s="135">
        <f t="shared" si="0"/>
        <v>0</v>
      </c>
      <c r="E20" s="135"/>
      <c r="F20" s="135"/>
      <c r="G20" s="135"/>
    </row>
    <row r="21" spans="1:7">
      <c r="A21" s="396"/>
      <c r="B21" s="397" t="s">
        <v>592</v>
      </c>
      <c r="C21" s="140" t="s">
        <v>593</v>
      </c>
      <c r="D21" s="135">
        <f t="shared" si="0"/>
        <v>0</v>
      </c>
      <c r="E21" s="135"/>
      <c r="F21" s="135"/>
      <c r="G21" s="135"/>
    </row>
    <row r="22" spans="1:7">
      <c r="A22" s="396"/>
      <c r="B22" s="397" t="s">
        <v>594</v>
      </c>
      <c r="C22" s="140" t="s">
        <v>595</v>
      </c>
      <c r="D22" s="135">
        <f t="shared" si="0"/>
        <v>0</v>
      </c>
      <c r="E22" s="135"/>
      <c r="F22" s="135"/>
      <c r="G22" s="135"/>
    </row>
    <row r="23" spans="1:7">
      <c r="A23" s="398" t="s">
        <v>866</v>
      </c>
      <c r="B23" s="399" t="s">
        <v>596</v>
      </c>
      <c r="C23" s="136" t="s">
        <v>597</v>
      </c>
      <c r="D23" s="137">
        <f>SUM(D16:D22)</f>
        <v>296</v>
      </c>
      <c r="E23" s="137">
        <f t="shared" ref="E23:G23" si="3">SUM(E16:E22)</f>
        <v>296</v>
      </c>
      <c r="F23" s="137">
        <f t="shared" si="3"/>
        <v>0</v>
      </c>
      <c r="G23" s="137">
        <f t="shared" si="3"/>
        <v>0</v>
      </c>
    </row>
    <row r="24" spans="1:7">
      <c r="A24" s="400" t="s">
        <v>867</v>
      </c>
      <c r="B24" s="401" t="s">
        <v>598</v>
      </c>
      <c r="C24" s="136" t="s">
        <v>599</v>
      </c>
      <c r="D24" s="137">
        <f t="shared" si="0"/>
        <v>0</v>
      </c>
      <c r="E24" s="137"/>
      <c r="F24" s="137"/>
      <c r="G24" s="137"/>
    </row>
    <row r="25" spans="1:7">
      <c r="A25" s="400" t="s">
        <v>868</v>
      </c>
      <c r="B25" s="401" t="s">
        <v>600</v>
      </c>
      <c r="C25" s="136" t="s">
        <v>601</v>
      </c>
      <c r="D25" s="137">
        <f t="shared" si="0"/>
        <v>208</v>
      </c>
      <c r="E25" s="137">
        <v>208</v>
      </c>
      <c r="F25" s="137"/>
      <c r="G25" s="137"/>
    </row>
    <row r="26" spans="1:7">
      <c r="A26" s="400" t="s">
        <v>869</v>
      </c>
      <c r="B26" s="401" t="s">
        <v>603</v>
      </c>
      <c r="C26" s="136" t="s">
        <v>604</v>
      </c>
      <c r="D26" s="137">
        <f t="shared" si="0"/>
        <v>0</v>
      </c>
      <c r="E26" s="137"/>
      <c r="F26" s="137"/>
      <c r="G26" s="137"/>
    </row>
    <row r="27" spans="1:7">
      <c r="A27" s="396"/>
      <c r="B27" s="397" t="s">
        <v>605</v>
      </c>
      <c r="C27" s="140" t="s">
        <v>606</v>
      </c>
      <c r="D27" s="135">
        <f t="shared" si="0"/>
        <v>0</v>
      </c>
      <c r="E27" s="135"/>
      <c r="F27" s="135"/>
      <c r="G27" s="135"/>
    </row>
    <row r="28" spans="1:7">
      <c r="A28" s="396"/>
      <c r="B28" s="397" t="s">
        <v>607</v>
      </c>
      <c r="C28" s="140" t="s">
        <v>608</v>
      </c>
      <c r="D28" s="135">
        <f t="shared" si="0"/>
        <v>0</v>
      </c>
      <c r="E28" s="135"/>
      <c r="F28" s="135"/>
      <c r="G28" s="135"/>
    </row>
    <row r="29" spans="1:7">
      <c r="A29" s="398" t="s">
        <v>870</v>
      </c>
      <c r="B29" s="399" t="s">
        <v>609</v>
      </c>
      <c r="C29" s="136" t="s">
        <v>610</v>
      </c>
      <c r="D29" s="137">
        <f>SUM(D27:D28)</f>
        <v>0</v>
      </c>
      <c r="E29" s="137">
        <f t="shared" ref="E29:G29" si="4">SUM(E27:E28)</f>
        <v>0</v>
      </c>
      <c r="F29" s="137">
        <f t="shared" si="4"/>
        <v>0</v>
      </c>
      <c r="G29" s="137">
        <f t="shared" si="4"/>
        <v>0</v>
      </c>
    </row>
    <row r="30" spans="1:7">
      <c r="A30" s="400" t="s">
        <v>871</v>
      </c>
      <c r="B30" s="401" t="s">
        <v>611</v>
      </c>
      <c r="C30" s="136" t="s">
        <v>612</v>
      </c>
      <c r="D30" s="137">
        <f t="shared" si="0"/>
        <v>0</v>
      </c>
      <c r="E30" s="137"/>
      <c r="F30" s="137"/>
      <c r="G30" s="137"/>
    </row>
    <row r="31" spans="1:7">
      <c r="A31" s="396"/>
      <c r="B31" s="397" t="s">
        <v>613</v>
      </c>
      <c r="C31" s="140" t="s">
        <v>614</v>
      </c>
      <c r="D31" s="135">
        <f t="shared" si="0"/>
        <v>0</v>
      </c>
      <c r="E31" s="135"/>
      <c r="F31" s="135"/>
      <c r="G31" s="135"/>
    </row>
    <row r="32" spans="1:7">
      <c r="A32" s="396"/>
      <c r="B32" s="397" t="s">
        <v>615</v>
      </c>
      <c r="C32" s="140" t="s">
        <v>616</v>
      </c>
      <c r="D32" s="135">
        <f t="shared" si="0"/>
        <v>0</v>
      </c>
      <c r="E32" s="135"/>
      <c r="F32" s="135"/>
      <c r="G32" s="135"/>
    </row>
    <row r="33" spans="1:7">
      <c r="A33" s="396"/>
      <c r="B33" s="397" t="s">
        <v>617</v>
      </c>
      <c r="C33" s="140" t="s">
        <v>618</v>
      </c>
      <c r="D33" s="135">
        <f t="shared" si="0"/>
        <v>0</v>
      </c>
      <c r="E33" s="135"/>
      <c r="F33" s="135"/>
      <c r="G33" s="135"/>
    </row>
    <row r="34" spans="1:7">
      <c r="A34" s="396"/>
      <c r="B34" s="397" t="s">
        <v>619</v>
      </c>
      <c r="C34" s="140" t="s">
        <v>620</v>
      </c>
      <c r="D34" s="135">
        <f t="shared" si="0"/>
        <v>0</v>
      </c>
      <c r="E34" s="135"/>
      <c r="F34" s="135"/>
      <c r="G34" s="135"/>
    </row>
    <row r="35" spans="1:7">
      <c r="A35" s="396"/>
      <c r="B35" s="397" t="s">
        <v>621</v>
      </c>
      <c r="C35" s="140" t="s">
        <v>622</v>
      </c>
      <c r="D35" s="135">
        <f t="shared" si="0"/>
        <v>0</v>
      </c>
      <c r="E35" s="135"/>
      <c r="F35" s="135"/>
      <c r="G35" s="135"/>
    </row>
    <row r="36" spans="1:7">
      <c r="A36" s="396"/>
      <c r="B36" s="397" t="s">
        <v>623</v>
      </c>
      <c r="C36" s="140" t="s">
        <v>624</v>
      </c>
      <c r="D36" s="135">
        <f t="shared" si="0"/>
        <v>0</v>
      </c>
      <c r="E36" s="135"/>
      <c r="F36" s="135"/>
      <c r="G36" s="135"/>
    </row>
    <row r="37" spans="1:7">
      <c r="A37" s="398" t="s">
        <v>872</v>
      </c>
      <c r="B37" s="399" t="s">
        <v>625</v>
      </c>
      <c r="C37" s="136" t="s">
        <v>626</v>
      </c>
      <c r="D37" s="137">
        <f>SUM(D31:D36)</f>
        <v>0</v>
      </c>
      <c r="E37" s="137">
        <f t="shared" ref="E37:G37" si="5">SUM(E31:E36)</f>
        <v>0</v>
      </c>
      <c r="F37" s="137">
        <f t="shared" si="5"/>
        <v>0</v>
      </c>
      <c r="G37" s="137">
        <f t="shared" si="5"/>
        <v>0</v>
      </c>
    </row>
    <row r="38" spans="1:7">
      <c r="A38" s="402" t="s">
        <v>873</v>
      </c>
      <c r="B38" s="403" t="s">
        <v>627</v>
      </c>
      <c r="C38" s="138" t="s">
        <v>628</v>
      </c>
      <c r="D38" s="139">
        <f>D8+D9+D10+D13+D14+D15+D23+D24+D25+D26+D29+D30+D37</f>
        <v>9090</v>
      </c>
      <c r="E38" s="139">
        <f t="shared" ref="E38:G38" si="6">E8+E9+E10+E13+E14+E15+E23+E24+E25+E26+E29+E30+E37</f>
        <v>9090</v>
      </c>
      <c r="F38" s="139">
        <f t="shared" si="6"/>
        <v>0</v>
      </c>
      <c r="G38" s="139">
        <f t="shared" si="6"/>
        <v>0</v>
      </c>
    </row>
    <row r="39" spans="1:7">
      <c r="A39" s="396"/>
      <c r="B39" s="397" t="s">
        <v>629</v>
      </c>
      <c r="C39" s="140" t="s">
        <v>630</v>
      </c>
      <c r="D39" s="135">
        <f t="shared" si="0"/>
        <v>0</v>
      </c>
      <c r="E39" s="135"/>
      <c r="F39" s="135"/>
      <c r="G39" s="135"/>
    </row>
    <row r="40" spans="1:7">
      <c r="A40" s="396"/>
      <c r="B40" s="397" t="s">
        <v>631</v>
      </c>
      <c r="C40" s="140" t="s">
        <v>632</v>
      </c>
      <c r="D40" s="135">
        <f t="shared" si="0"/>
        <v>0</v>
      </c>
      <c r="E40" s="135"/>
      <c r="F40" s="135"/>
      <c r="G40" s="135"/>
    </row>
    <row r="41" spans="1:7">
      <c r="A41" s="398" t="s">
        <v>874</v>
      </c>
      <c r="B41" s="399" t="s">
        <v>633</v>
      </c>
      <c r="C41" s="136" t="s">
        <v>634</v>
      </c>
      <c r="D41" s="137">
        <f>SUM(D39:D40)</f>
        <v>0</v>
      </c>
      <c r="E41" s="137">
        <f t="shared" ref="E41:G41" si="7">SUM(E39:E40)</f>
        <v>0</v>
      </c>
      <c r="F41" s="137">
        <f t="shared" si="7"/>
        <v>0</v>
      </c>
      <c r="G41" s="137">
        <f t="shared" si="7"/>
        <v>0</v>
      </c>
    </row>
    <row r="42" spans="1:7">
      <c r="A42" s="396"/>
      <c r="B42" s="397" t="s">
        <v>635</v>
      </c>
      <c r="C42" s="140" t="s">
        <v>636</v>
      </c>
      <c r="D42" s="135">
        <f t="shared" si="0"/>
        <v>2400</v>
      </c>
      <c r="E42" s="135">
        <v>2400</v>
      </c>
      <c r="F42" s="135"/>
      <c r="G42" s="135"/>
    </row>
    <row r="43" spans="1:7">
      <c r="A43" s="396"/>
      <c r="B43" s="397" t="s">
        <v>638</v>
      </c>
      <c r="C43" s="140" t="s">
        <v>639</v>
      </c>
      <c r="D43" s="135">
        <f t="shared" si="0"/>
        <v>0</v>
      </c>
      <c r="E43" s="135"/>
      <c r="F43" s="135"/>
      <c r="G43" s="135"/>
    </row>
    <row r="44" spans="1:7">
      <c r="A44" s="398" t="s">
        <v>875</v>
      </c>
      <c r="B44" s="399" t="s">
        <v>640</v>
      </c>
      <c r="C44" s="136" t="s">
        <v>641</v>
      </c>
      <c r="D44" s="137">
        <f>SUM(D42:D43)</f>
        <v>2400</v>
      </c>
      <c r="E44" s="137">
        <f t="shared" ref="E44:G44" si="8">SUM(E42:E43)</f>
        <v>2400</v>
      </c>
      <c r="F44" s="137">
        <f t="shared" si="8"/>
        <v>0</v>
      </c>
      <c r="G44" s="137">
        <f t="shared" si="8"/>
        <v>0</v>
      </c>
    </row>
    <row r="45" spans="1:7">
      <c r="A45" s="396"/>
      <c r="B45" s="397" t="s">
        <v>642</v>
      </c>
      <c r="C45" s="140" t="s">
        <v>643</v>
      </c>
      <c r="D45" s="135">
        <f t="shared" si="0"/>
        <v>0</v>
      </c>
      <c r="E45" s="135"/>
      <c r="F45" s="135"/>
      <c r="G45" s="135"/>
    </row>
    <row r="46" spans="1:7">
      <c r="A46" s="396"/>
      <c r="B46" s="397" t="s">
        <v>644</v>
      </c>
      <c r="C46" s="140" t="s">
        <v>645</v>
      </c>
      <c r="D46" s="135">
        <f t="shared" si="0"/>
        <v>0</v>
      </c>
      <c r="E46" s="135"/>
      <c r="F46" s="135"/>
      <c r="G46" s="135"/>
    </row>
    <row r="47" spans="1:7">
      <c r="A47" s="396"/>
      <c r="B47" s="397" t="s">
        <v>646</v>
      </c>
      <c r="C47" s="140" t="s">
        <v>647</v>
      </c>
      <c r="D47" s="135">
        <f t="shared" si="0"/>
        <v>0</v>
      </c>
      <c r="E47" s="135"/>
      <c r="F47" s="135"/>
      <c r="G47" s="135"/>
    </row>
    <row r="48" spans="1:7">
      <c r="A48" s="396"/>
      <c r="B48" s="397" t="s">
        <v>648</v>
      </c>
      <c r="C48" s="140" t="s">
        <v>649</v>
      </c>
      <c r="D48" s="135">
        <f t="shared" si="0"/>
        <v>2055</v>
      </c>
      <c r="E48" s="135">
        <v>2055</v>
      </c>
      <c r="F48" s="135"/>
      <c r="G48" s="135"/>
    </row>
    <row r="49" spans="1:7">
      <c r="A49" s="396"/>
      <c r="B49" s="397" t="s">
        <v>650</v>
      </c>
      <c r="C49" s="140" t="s">
        <v>651</v>
      </c>
      <c r="D49" s="135">
        <f t="shared" si="0"/>
        <v>0</v>
      </c>
      <c r="E49" s="135"/>
      <c r="F49" s="135"/>
      <c r="G49" s="135"/>
    </row>
    <row r="50" spans="1:7">
      <c r="A50" s="396"/>
      <c r="B50" s="397" t="s">
        <v>652</v>
      </c>
      <c r="C50" s="140" t="s">
        <v>653</v>
      </c>
      <c r="D50" s="135">
        <f t="shared" si="0"/>
        <v>280</v>
      </c>
      <c r="E50" s="135">
        <v>280</v>
      </c>
      <c r="F50" s="135"/>
      <c r="G50" s="135"/>
    </row>
    <row r="51" spans="1:7">
      <c r="A51" s="396"/>
      <c r="B51" s="397" t="s">
        <v>655</v>
      </c>
      <c r="C51" s="140" t="s">
        <v>656</v>
      </c>
      <c r="D51" s="135">
        <f t="shared" si="0"/>
        <v>0</v>
      </c>
      <c r="E51" s="135"/>
      <c r="F51" s="135"/>
      <c r="G51" s="135"/>
    </row>
    <row r="52" spans="1:7">
      <c r="A52" s="398" t="s">
        <v>876</v>
      </c>
      <c r="B52" s="399" t="s">
        <v>657</v>
      </c>
      <c r="C52" s="136" t="s">
        <v>658</v>
      </c>
      <c r="D52" s="137">
        <f>SUM(D45:D51)</f>
        <v>2335</v>
      </c>
      <c r="E52" s="137">
        <f t="shared" ref="E52:G52" si="9">SUM(E45:E51)</f>
        <v>2335</v>
      </c>
      <c r="F52" s="137">
        <f t="shared" si="9"/>
        <v>0</v>
      </c>
      <c r="G52" s="137">
        <f t="shared" si="9"/>
        <v>0</v>
      </c>
    </row>
    <row r="53" spans="1:7" s="269" customFormat="1">
      <c r="A53" s="402" t="s">
        <v>877</v>
      </c>
      <c r="B53" s="403" t="s">
        <v>659</v>
      </c>
      <c r="C53" s="138" t="s">
        <v>660</v>
      </c>
      <c r="D53" s="139">
        <f>D41+D44+D52</f>
        <v>4735</v>
      </c>
      <c r="E53" s="139">
        <f t="shared" ref="E53:G53" si="10">E41+E44+E52</f>
        <v>4735</v>
      </c>
      <c r="F53" s="139">
        <f t="shared" si="10"/>
        <v>0</v>
      </c>
      <c r="G53" s="139">
        <f t="shared" si="10"/>
        <v>0</v>
      </c>
    </row>
    <row r="54" spans="1:7" s="269" customFormat="1">
      <c r="A54" s="404" t="s">
        <v>878</v>
      </c>
      <c r="B54" s="405" t="s">
        <v>661</v>
      </c>
      <c r="C54" s="406" t="s">
        <v>662</v>
      </c>
      <c r="D54" s="407">
        <f>D38+D53</f>
        <v>13825</v>
      </c>
      <c r="E54" s="407">
        <f t="shared" ref="E54:G54" si="11">E38+E53</f>
        <v>13825</v>
      </c>
      <c r="F54" s="407">
        <f t="shared" si="11"/>
        <v>0</v>
      </c>
      <c r="G54" s="407">
        <f t="shared" si="11"/>
        <v>0</v>
      </c>
    </row>
    <row r="55" spans="1:7">
      <c r="A55" s="396"/>
      <c r="B55" s="397" t="s">
        <v>663</v>
      </c>
      <c r="C55" s="140" t="s">
        <v>664</v>
      </c>
      <c r="D55" s="135">
        <f t="shared" ref="D55:D62" si="12">SUM(E55:G55)</f>
        <v>3597</v>
      </c>
      <c r="E55" s="135">
        <f>ROUND((E8+E13+E15+E44+E52)*0.27,0)</f>
        <v>3597</v>
      </c>
      <c r="F55" s="135"/>
      <c r="G55" s="135"/>
    </row>
    <row r="56" spans="1:7">
      <c r="A56" s="396"/>
      <c r="B56" s="397" t="s">
        <v>665</v>
      </c>
      <c r="C56" s="140" t="s">
        <v>666</v>
      </c>
      <c r="D56" s="135">
        <f t="shared" si="12"/>
        <v>139</v>
      </c>
      <c r="E56" s="135">
        <f>ROUND((E18*1.19*0.14)+(E50*1.19*0.27),0)</f>
        <v>139</v>
      </c>
      <c r="F56" s="135"/>
      <c r="G56" s="135"/>
    </row>
    <row r="57" spans="1:7">
      <c r="A57" s="396"/>
      <c r="B57" s="397" t="s">
        <v>667</v>
      </c>
      <c r="C57" s="140" t="s">
        <v>668</v>
      </c>
      <c r="D57" s="135">
        <f t="shared" si="12"/>
        <v>0</v>
      </c>
      <c r="E57" s="135"/>
      <c r="F57" s="135"/>
      <c r="G57" s="135"/>
    </row>
    <row r="58" spans="1:7">
      <c r="A58" s="396"/>
      <c r="B58" s="397" t="s">
        <v>669</v>
      </c>
      <c r="C58" s="140" t="s">
        <v>670</v>
      </c>
      <c r="D58" s="135">
        <f t="shared" si="12"/>
        <v>0</v>
      </c>
      <c r="E58" s="135"/>
      <c r="F58" s="135"/>
      <c r="G58" s="135"/>
    </row>
    <row r="59" spans="1:7">
      <c r="A59" s="396"/>
      <c r="B59" s="397" t="s">
        <v>671</v>
      </c>
      <c r="C59" s="140" t="s">
        <v>672</v>
      </c>
      <c r="D59" s="135">
        <f t="shared" si="12"/>
        <v>0</v>
      </c>
      <c r="E59" s="135"/>
      <c r="F59" s="135"/>
      <c r="G59" s="135"/>
    </row>
    <row r="60" spans="1:7">
      <c r="A60" s="396"/>
      <c r="B60" s="397" t="s">
        <v>673</v>
      </c>
      <c r="C60" s="140" t="s">
        <v>674</v>
      </c>
      <c r="D60" s="135">
        <f t="shared" si="12"/>
        <v>0</v>
      </c>
      <c r="E60" s="135"/>
      <c r="F60" s="135"/>
      <c r="G60" s="135"/>
    </row>
    <row r="61" spans="1:7">
      <c r="A61" s="396"/>
      <c r="B61" s="397" t="s">
        <v>675</v>
      </c>
      <c r="C61" s="140" t="s">
        <v>676</v>
      </c>
      <c r="D61" s="135">
        <f t="shared" si="12"/>
        <v>110</v>
      </c>
      <c r="E61" s="135">
        <f>ROUND(E18*1.19*0.16+E50*1.19*0.16,0)</f>
        <v>110</v>
      </c>
      <c r="F61" s="135"/>
      <c r="G61" s="135"/>
    </row>
    <row r="62" spans="1:7">
      <c r="A62" s="396"/>
      <c r="B62" s="397" t="s">
        <v>677</v>
      </c>
      <c r="C62" s="140" t="s">
        <v>678</v>
      </c>
      <c r="D62" s="135">
        <f t="shared" si="12"/>
        <v>0</v>
      </c>
      <c r="E62" s="135"/>
      <c r="F62" s="135"/>
      <c r="G62" s="135"/>
    </row>
    <row r="63" spans="1:7">
      <c r="A63" s="404" t="s">
        <v>879</v>
      </c>
      <c r="B63" s="405" t="s">
        <v>679</v>
      </c>
      <c r="C63" s="406" t="s">
        <v>680</v>
      </c>
      <c r="D63" s="407">
        <f>SUM(D55:D62)</f>
        <v>3846</v>
      </c>
      <c r="E63" s="407">
        <f t="shared" ref="E63:G63" si="13">SUM(E55:E62)</f>
        <v>3846</v>
      </c>
      <c r="F63" s="407">
        <f t="shared" si="13"/>
        <v>0</v>
      </c>
      <c r="G63" s="407">
        <f t="shared" si="13"/>
        <v>0</v>
      </c>
    </row>
    <row r="64" spans="1:7">
      <c r="A64" s="396"/>
      <c r="B64" s="397" t="s">
        <v>681</v>
      </c>
      <c r="C64" s="140" t="s">
        <v>682</v>
      </c>
      <c r="D64" s="135">
        <f t="shared" ref="D64:D79" si="14">SUM(E64:G64)</f>
        <v>0</v>
      </c>
      <c r="E64" s="135"/>
      <c r="F64" s="135"/>
      <c r="G64" s="135"/>
    </row>
    <row r="65" spans="1:7">
      <c r="A65" s="396"/>
      <c r="B65" s="397" t="s">
        <v>683</v>
      </c>
      <c r="C65" s="140" t="s">
        <v>684</v>
      </c>
      <c r="D65" s="135">
        <f t="shared" si="14"/>
        <v>0</v>
      </c>
      <c r="E65" s="135"/>
      <c r="F65" s="135"/>
      <c r="G65" s="135"/>
    </row>
    <row r="66" spans="1:7">
      <c r="A66" s="396"/>
      <c r="B66" s="397" t="s">
        <v>685</v>
      </c>
      <c r="C66" s="140" t="s">
        <v>686</v>
      </c>
      <c r="D66" s="135">
        <f t="shared" si="14"/>
        <v>0</v>
      </c>
      <c r="E66" s="135"/>
      <c r="F66" s="135"/>
      <c r="G66" s="135"/>
    </row>
    <row r="67" spans="1:7">
      <c r="A67" s="396"/>
      <c r="B67" s="397" t="s">
        <v>688</v>
      </c>
      <c r="C67" s="140" t="s">
        <v>689</v>
      </c>
      <c r="D67" s="135">
        <f t="shared" si="14"/>
        <v>0</v>
      </c>
      <c r="E67" s="135"/>
      <c r="F67" s="135"/>
      <c r="G67" s="135"/>
    </row>
    <row r="68" spans="1:7">
      <c r="A68" s="396"/>
      <c r="B68" s="397" t="s">
        <v>690</v>
      </c>
      <c r="C68" s="140" t="s">
        <v>691</v>
      </c>
      <c r="D68" s="135">
        <f t="shared" si="14"/>
        <v>0</v>
      </c>
      <c r="E68" s="135"/>
      <c r="F68" s="135"/>
      <c r="G68" s="135"/>
    </row>
    <row r="69" spans="1:7">
      <c r="A69" s="396"/>
      <c r="B69" s="397" t="s">
        <v>692</v>
      </c>
      <c r="C69" s="140" t="s">
        <v>693</v>
      </c>
      <c r="D69" s="135">
        <f t="shared" si="14"/>
        <v>2500</v>
      </c>
      <c r="E69" s="135"/>
      <c r="F69" s="135">
        <v>2500</v>
      </c>
      <c r="G69" s="135"/>
    </row>
    <row r="70" spans="1:7">
      <c r="A70" s="398" t="s">
        <v>228</v>
      </c>
      <c r="B70" s="399" t="s">
        <v>695</v>
      </c>
      <c r="C70" s="136" t="s">
        <v>696</v>
      </c>
      <c r="D70" s="137">
        <f>SUM(D64:D69)</f>
        <v>2500</v>
      </c>
      <c r="E70" s="137">
        <f t="shared" ref="E70:G70" si="15">SUM(E64:E69)</f>
        <v>0</v>
      </c>
      <c r="F70" s="137">
        <f t="shared" si="15"/>
        <v>2500</v>
      </c>
      <c r="G70" s="137">
        <f t="shared" si="15"/>
        <v>0</v>
      </c>
    </row>
    <row r="71" spans="1:7">
      <c r="A71" s="396"/>
      <c r="B71" s="397" t="s">
        <v>697</v>
      </c>
      <c r="C71" s="140" t="s">
        <v>698</v>
      </c>
      <c r="D71" s="135">
        <f t="shared" si="14"/>
        <v>0</v>
      </c>
      <c r="E71" s="135"/>
      <c r="F71" s="135"/>
      <c r="G71" s="135"/>
    </row>
    <row r="72" spans="1:7">
      <c r="A72" s="396"/>
      <c r="B72" s="397" t="s">
        <v>699</v>
      </c>
      <c r="C72" s="140" t="s">
        <v>700</v>
      </c>
      <c r="D72" s="135">
        <f t="shared" si="14"/>
        <v>120</v>
      </c>
      <c r="E72" s="135">
        <v>120</v>
      </c>
      <c r="F72" s="135"/>
      <c r="G72" s="135"/>
    </row>
    <row r="73" spans="1:7">
      <c r="A73" s="396"/>
      <c r="B73" s="397" t="s">
        <v>701</v>
      </c>
      <c r="C73" s="140" t="s">
        <v>702</v>
      </c>
      <c r="D73" s="135">
        <f t="shared" si="14"/>
        <v>0</v>
      </c>
      <c r="E73" s="135"/>
      <c r="F73" s="135"/>
      <c r="G73" s="135"/>
    </row>
    <row r="74" spans="1:7">
      <c r="A74" s="396"/>
      <c r="B74" s="397" t="s">
        <v>703</v>
      </c>
      <c r="C74" s="140" t="s">
        <v>704</v>
      </c>
      <c r="D74" s="135">
        <f t="shared" si="14"/>
        <v>0</v>
      </c>
      <c r="E74" s="135"/>
      <c r="F74" s="135"/>
      <c r="G74" s="135"/>
    </row>
    <row r="75" spans="1:7">
      <c r="A75" s="396"/>
      <c r="B75" s="397" t="s">
        <v>705</v>
      </c>
      <c r="C75" s="140" t="s">
        <v>706</v>
      </c>
      <c r="D75" s="135">
        <f t="shared" si="14"/>
        <v>0</v>
      </c>
      <c r="E75" s="135"/>
      <c r="F75" s="135"/>
      <c r="G75" s="135"/>
    </row>
    <row r="76" spans="1:7">
      <c r="A76" s="396"/>
      <c r="B76" s="397" t="s">
        <v>708</v>
      </c>
      <c r="C76" s="140" t="s">
        <v>709</v>
      </c>
      <c r="D76" s="135">
        <f t="shared" si="14"/>
        <v>0</v>
      </c>
      <c r="E76" s="135"/>
      <c r="F76" s="135"/>
      <c r="G76" s="135"/>
    </row>
    <row r="77" spans="1:7">
      <c r="A77" s="398" t="s">
        <v>230</v>
      </c>
      <c r="B77" s="399" t="s">
        <v>711</v>
      </c>
      <c r="C77" s="136" t="s">
        <v>712</v>
      </c>
      <c r="D77" s="137">
        <f>SUM(D71:D76)</f>
        <v>120</v>
      </c>
      <c r="E77" s="137">
        <f t="shared" ref="E77:G77" si="16">SUM(E71:E76)</f>
        <v>120</v>
      </c>
      <c r="F77" s="137">
        <f t="shared" si="16"/>
        <v>0</v>
      </c>
      <c r="G77" s="137">
        <f t="shared" si="16"/>
        <v>0</v>
      </c>
    </row>
    <row r="78" spans="1:7">
      <c r="A78" s="396"/>
      <c r="B78" s="397" t="s">
        <v>713</v>
      </c>
      <c r="C78" s="140" t="s">
        <v>233</v>
      </c>
      <c r="D78" s="135">
        <f t="shared" si="14"/>
        <v>0</v>
      </c>
      <c r="E78" s="135"/>
      <c r="F78" s="135"/>
      <c r="G78" s="135"/>
    </row>
    <row r="79" spans="1:7">
      <c r="A79" s="396"/>
      <c r="B79" s="397" t="s">
        <v>714</v>
      </c>
      <c r="C79" s="140" t="s">
        <v>715</v>
      </c>
      <c r="D79" s="135">
        <f t="shared" si="14"/>
        <v>0</v>
      </c>
      <c r="E79" s="135"/>
      <c r="F79" s="135"/>
      <c r="G79" s="135"/>
    </row>
    <row r="80" spans="1:7">
      <c r="A80" s="398" t="s">
        <v>232</v>
      </c>
      <c r="B80" s="399" t="s">
        <v>716</v>
      </c>
      <c r="C80" s="136" t="s">
        <v>717</v>
      </c>
      <c r="D80" s="137">
        <f>SUM(D78:D79)</f>
        <v>0</v>
      </c>
      <c r="E80" s="137">
        <f t="shared" ref="E80:G80" si="17">SUM(E78:E79)</f>
        <v>0</v>
      </c>
      <c r="F80" s="137">
        <f t="shared" si="17"/>
        <v>0</v>
      </c>
      <c r="G80" s="137">
        <f t="shared" si="17"/>
        <v>0</v>
      </c>
    </row>
    <row r="81" spans="1:7">
      <c r="A81" s="402" t="s">
        <v>234</v>
      </c>
      <c r="B81" s="403" t="s">
        <v>718</v>
      </c>
      <c r="C81" s="138" t="s">
        <v>719</v>
      </c>
      <c r="D81" s="139">
        <f>D70+D77+D80</f>
        <v>2620</v>
      </c>
      <c r="E81" s="139">
        <f t="shared" ref="E81:G81" si="18">E70+E77+E80</f>
        <v>120</v>
      </c>
      <c r="F81" s="139">
        <f t="shared" si="18"/>
        <v>2500</v>
      </c>
      <c r="G81" s="139">
        <f t="shared" si="18"/>
        <v>0</v>
      </c>
    </row>
    <row r="82" spans="1:7">
      <c r="A82" s="396"/>
      <c r="B82" s="397" t="s">
        <v>720</v>
      </c>
      <c r="C82" s="140" t="s">
        <v>721</v>
      </c>
      <c r="D82" s="135">
        <f t="shared" ref="D82:D90" si="19">SUM(E82:G82)</f>
        <v>0</v>
      </c>
      <c r="E82" s="135"/>
      <c r="F82" s="135"/>
      <c r="G82" s="135"/>
    </row>
    <row r="83" spans="1:7">
      <c r="A83" s="396"/>
      <c r="B83" s="397" t="s">
        <v>722</v>
      </c>
      <c r="C83" s="140" t="s">
        <v>723</v>
      </c>
      <c r="D83" s="135">
        <f t="shared" si="19"/>
        <v>513</v>
      </c>
      <c r="E83" s="135">
        <v>513</v>
      </c>
      <c r="F83" s="135"/>
      <c r="G83" s="135"/>
    </row>
    <row r="84" spans="1:7">
      <c r="A84" s="396"/>
      <c r="B84" s="397" t="s">
        <v>725</v>
      </c>
      <c r="C84" s="140" t="s">
        <v>726</v>
      </c>
      <c r="D84" s="135">
        <f t="shared" si="19"/>
        <v>0</v>
      </c>
      <c r="E84" s="135"/>
      <c r="F84" s="135"/>
      <c r="G84" s="135"/>
    </row>
    <row r="85" spans="1:7">
      <c r="A85" s="396"/>
      <c r="B85" s="397" t="s">
        <v>727</v>
      </c>
      <c r="C85" s="140" t="s">
        <v>728</v>
      </c>
      <c r="D85" s="135">
        <f t="shared" si="19"/>
        <v>170</v>
      </c>
      <c r="E85" s="135">
        <v>170</v>
      </c>
      <c r="F85" s="135"/>
      <c r="G85" s="135"/>
    </row>
    <row r="86" spans="1:7">
      <c r="A86" s="396"/>
      <c r="B86" s="397" t="s">
        <v>729</v>
      </c>
      <c r="C86" s="140" t="s">
        <v>730</v>
      </c>
      <c r="D86" s="135">
        <f t="shared" si="19"/>
        <v>0</v>
      </c>
      <c r="E86" s="135"/>
      <c r="F86" s="135"/>
      <c r="G86" s="135"/>
    </row>
    <row r="87" spans="1:7">
      <c r="A87" s="396"/>
      <c r="B87" s="397" t="s">
        <v>732</v>
      </c>
      <c r="C87" s="140" t="s">
        <v>733</v>
      </c>
      <c r="D87" s="135">
        <f t="shared" si="19"/>
        <v>0</v>
      </c>
      <c r="E87" s="135"/>
      <c r="F87" s="135"/>
      <c r="G87" s="135"/>
    </row>
    <row r="88" spans="1:7">
      <c r="A88" s="398" t="s">
        <v>236</v>
      </c>
      <c r="B88" s="399" t="s">
        <v>734</v>
      </c>
      <c r="C88" s="136" t="s">
        <v>237</v>
      </c>
      <c r="D88" s="137">
        <f>SUM(D82:D87)</f>
        <v>683</v>
      </c>
      <c r="E88" s="137">
        <f t="shared" ref="E88:G88" si="20">SUM(E82:E87)</f>
        <v>683</v>
      </c>
      <c r="F88" s="137">
        <f t="shared" si="20"/>
        <v>0</v>
      </c>
      <c r="G88" s="137">
        <f t="shared" si="20"/>
        <v>0</v>
      </c>
    </row>
    <row r="89" spans="1:7">
      <c r="A89" s="396"/>
      <c r="B89" s="397" t="s">
        <v>735</v>
      </c>
      <c r="C89" s="140" t="s">
        <v>736</v>
      </c>
      <c r="D89" s="135">
        <f t="shared" si="19"/>
        <v>250</v>
      </c>
      <c r="E89" s="135">
        <v>250</v>
      </c>
      <c r="F89" s="135"/>
      <c r="G89" s="135"/>
    </row>
    <row r="90" spans="1:7">
      <c r="A90" s="396"/>
      <c r="B90" s="397" t="s">
        <v>737</v>
      </c>
      <c r="C90" s="140" t="s">
        <v>239</v>
      </c>
      <c r="D90" s="135">
        <f t="shared" si="19"/>
        <v>0</v>
      </c>
      <c r="E90" s="135"/>
      <c r="F90" s="135"/>
      <c r="G90" s="135"/>
    </row>
    <row r="91" spans="1:7">
      <c r="A91" s="398" t="s">
        <v>238</v>
      </c>
      <c r="B91" s="399" t="s">
        <v>738</v>
      </c>
      <c r="C91" s="136" t="s">
        <v>739</v>
      </c>
      <c r="D91" s="137">
        <f>SUM(D89:D90)</f>
        <v>250</v>
      </c>
      <c r="E91" s="137">
        <f t="shared" ref="E91:G91" si="21">SUM(E89:E90)</f>
        <v>250</v>
      </c>
      <c r="F91" s="137">
        <f t="shared" si="21"/>
        <v>0</v>
      </c>
      <c r="G91" s="137">
        <f t="shared" si="21"/>
        <v>0</v>
      </c>
    </row>
    <row r="92" spans="1:7">
      <c r="A92" s="402" t="s">
        <v>240</v>
      </c>
      <c r="B92" s="403" t="s">
        <v>740</v>
      </c>
      <c r="C92" s="138" t="s">
        <v>741</v>
      </c>
      <c r="D92" s="139">
        <f>D88+D91</f>
        <v>933</v>
      </c>
      <c r="E92" s="139">
        <f t="shared" ref="E92:G92" si="22">E88+E91</f>
        <v>933</v>
      </c>
      <c r="F92" s="139">
        <f t="shared" si="22"/>
        <v>0</v>
      </c>
      <c r="G92" s="139">
        <f t="shared" si="22"/>
        <v>0</v>
      </c>
    </row>
    <row r="93" spans="1:7">
      <c r="A93" s="396"/>
      <c r="B93" s="397" t="s">
        <v>742</v>
      </c>
      <c r="C93" s="140" t="s">
        <v>743</v>
      </c>
      <c r="D93" s="135">
        <f t="shared" ref="D93:D113" si="23">SUM(E93:G93)</f>
        <v>1312</v>
      </c>
      <c r="E93" s="135">
        <v>1312</v>
      </c>
      <c r="F93" s="135"/>
      <c r="G93" s="135"/>
    </row>
    <row r="94" spans="1:7">
      <c r="A94" s="396"/>
      <c r="B94" s="397" t="s">
        <v>745</v>
      </c>
      <c r="C94" s="140" t="s">
        <v>746</v>
      </c>
      <c r="D94" s="135">
        <f t="shared" si="23"/>
        <v>1313</v>
      </c>
      <c r="E94" s="135">
        <v>1313</v>
      </c>
      <c r="F94" s="135"/>
      <c r="G94" s="135"/>
    </row>
    <row r="95" spans="1:7">
      <c r="A95" s="396"/>
      <c r="B95" s="397" t="s">
        <v>748</v>
      </c>
      <c r="C95" s="140" t="s">
        <v>749</v>
      </c>
      <c r="D95" s="135">
        <f t="shared" si="23"/>
        <v>0</v>
      </c>
      <c r="E95" s="135"/>
      <c r="F95" s="135"/>
      <c r="G95" s="135"/>
    </row>
    <row r="96" spans="1:7">
      <c r="A96" s="396"/>
      <c r="B96" s="397" t="s">
        <v>750</v>
      </c>
      <c r="C96" s="140" t="s">
        <v>751</v>
      </c>
      <c r="D96" s="135">
        <f t="shared" si="23"/>
        <v>80</v>
      </c>
      <c r="E96" s="135">
        <v>80</v>
      </c>
      <c r="F96" s="135"/>
      <c r="G96" s="135"/>
    </row>
    <row r="97" spans="1:7">
      <c r="A97" s="398" t="s">
        <v>242</v>
      </c>
      <c r="B97" s="399" t="s">
        <v>752</v>
      </c>
      <c r="C97" s="136" t="s">
        <v>753</v>
      </c>
      <c r="D97" s="137">
        <f>SUM(D93:D96)</f>
        <v>2705</v>
      </c>
      <c r="E97" s="137">
        <f t="shared" ref="E97:G97" si="24">SUM(E93:E96)</f>
        <v>2705</v>
      </c>
      <c r="F97" s="137">
        <f t="shared" si="24"/>
        <v>0</v>
      </c>
      <c r="G97" s="137">
        <f t="shared" si="24"/>
        <v>0</v>
      </c>
    </row>
    <row r="98" spans="1:7">
      <c r="A98" s="400" t="s">
        <v>244</v>
      </c>
      <c r="B98" s="401" t="s">
        <v>754</v>
      </c>
      <c r="C98" s="136" t="s">
        <v>245</v>
      </c>
      <c r="D98" s="137">
        <f t="shared" si="23"/>
        <v>0</v>
      </c>
      <c r="E98" s="137"/>
      <c r="F98" s="137"/>
      <c r="G98" s="137"/>
    </row>
    <row r="99" spans="1:7">
      <c r="A99" s="396"/>
      <c r="B99" s="397" t="s">
        <v>755</v>
      </c>
      <c r="C99" s="140" t="s">
        <v>756</v>
      </c>
      <c r="D99" s="135">
        <f t="shared" si="23"/>
        <v>0</v>
      </c>
      <c r="E99" s="135"/>
      <c r="F99" s="135"/>
      <c r="G99" s="135"/>
    </row>
    <row r="100" spans="1:7">
      <c r="A100" s="396"/>
      <c r="B100" s="397" t="s">
        <v>757</v>
      </c>
      <c r="C100" s="140" t="s">
        <v>758</v>
      </c>
      <c r="D100" s="135">
        <f t="shared" si="23"/>
        <v>2100</v>
      </c>
      <c r="E100" s="135">
        <v>2100</v>
      </c>
      <c r="F100" s="135"/>
      <c r="G100" s="135"/>
    </row>
    <row r="101" spans="1:7">
      <c r="A101" s="400" t="s">
        <v>246</v>
      </c>
      <c r="B101" s="401">
        <v>53331</v>
      </c>
      <c r="C101" s="136" t="s">
        <v>759</v>
      </c>
      <c r="D101" s="137">
        <f>SUM(D99:D100)</f>
        <v>2100</v>
      </c>
      <c r="E101" s="137">
        <f t="shared" ref="E101:G101" si="25">SUM(E99:E100)</f>
        <v>2100</v>
      </c>
      <c r="F101" s="137">
        <f t="shared" si="25"/>
        <v>0</v>
      </c>
      <c r="G101" s="137">
        <f t="shared" si="25"/>
        <v>0</v>
      </c>
    </row>
    <row r="102" spans="1:7">
      <c r="A102" s="400" t="s">
        <v>248</v>
      </c>
      <c r="B102" s="401" t="s">
        <v>760</v>
      </c>
      <c r="C102" s="136" t="s">
        <v>249</v>
      </c>
      <c r="D102" s="137">
        <f t="shared" si="23"/>
        <v>500</v>
      </c>
      <c r="E102" s="137">
        <v>500</v>
      </c>
      <c r="F102" s="137"/>
      <c r="G102" s="137"/>
    </row>
    <row r="103" spans="1:7">
      <c r="A103" s="396"/>
      <c r="B103" s="397" t="s">
        <v>762</v>
      </c>
      <c r="C103" s="140" t="s">
        <v>763</v>
      </c>
      <c r="D103" s="135">
        <f t="shared" si="23"/>
        <v>0</v>
      </c>
      <c r="E103" s="135"/>
      <c r="F103" s="135"/>
      <c r="G103" s="135"/>
    </row>
    <row r="104" spans="1:7">
      <c r="A104" s="396"/>
      <c r="B104" s="397" t="s">
        <v>764</v>
      </c>
      <c r="C104" s="140" t="s">
        <v>765</v>
      </c>
      <c r="D104" s="135">
        <f t="shared" si="23"/>
        <v>0</v>
      </c>
      <c r="E104" s="135"/>
      <c r="F104" s="135"/>
      <c r="G104" s="135"/>
    </row>
    <row r="105" spans="1:7">
      <c r="A105" s="398" t="s">
        <v>250</v>
      </c>
      <c r="B105" s="399" t="s">
        <v>766</v>
      </c>
      <c r="C105" s="136" t="s">
        <v>767</v>
      </c>
      <c r="D105" s="137">
        <f>SUM(D103:D104)</f>
        <v>0</v>
      </c>
      <c r="E105" s="137">
        <f t="shared" ref="E105:G105" si="26">SUM(E103:E104)</f>
        <v>0</v>
      </c>
      <c r="F105" s="137">
        <f t="shared" si="26"/>
        <v>0</v>
      </c>
      <c r="G105" s="137">
        <f t="shared" si="26"/>
        <v>0</v>
      </c>
    </row>
    <row r="106" spans="1:7">
      <c r="A106" s="396"/>
      <c r="B106" s="397" t="s">
        <v>768</v>
      </c>
      <c r="C106" s="140" t="s">
        <v>769</v>
      </c>
      <c r="D106" s="135">
        <f t="shared" si="23"/>
        <v>0</v>
      </c>
      <c r="E106" s="135"/>
      <c r="F106" s="135"/>
      <c r="G106" s="135"/>
    </row>
    <row r="107" spans="1:7">
      <c r="A107" s="396"/>
      <c r="B107" s="397" t="s">
        <v>770</v>
      </c>
      <c r="C107" s="140" t="s">
        <v>771</v>
      </c>
      <c r="D107" s="135">
        <f t="shared" si="23"/>
        <v>0</v>
      </c>
      <c r="E107" s="135"/>
      <c r="F107" s="135"/>
      <c r="G107" s="135"/>
    </row>
    <row r="108" spans="1:7">
      <c r="A108" s="396"/>
      <c r="B108" s="397" t="s">
        <v>772</v>
      </c>
      <c r="C108" s="140" t="s">
        <v>773</v>
      </c>
      <c r="D108" s="135">
        <f t="shared" si="23"/>
        <v>200</v>
      </c>
      <c r="E108" s="135">
        <v>200</v>
      </c>
      <c r="F108" s="135"/>
      <c r="G108" s="135"/>
    </row>
    <row r="109" spans="1:7">
      <c r="A109" s="398" t="s">
        <v>252</v>
      </c>
      <c r="B109" s="399" t="s">
        <v>774</v>
      </c>
      <c r="C109" s="136" t="s">
        <v>775</v>
      </c>
      <c r="D109" s="137">
        <f>SUM(D106:D108)</f>
        <v>200</v>
      </c>
      <c r="E109" s="137">
        <f t="shared" ref="E109:G109" si="27">SUM(E106:E108)</f>
        <v>200</v>
      </c>
      <c r="F109" s="137">
        <f t="shared" si="27"/>
        <v>0</v>
      </c>
      <c r="G109" s="137">
        <f t="shared" si="27"/>
        <v>0</v>
      </c>
    </row>
    <row r="110" spans="1:7">
      <c r="A110" s="396"/>
      <c r="B110" s="397" t="s">
        <v>776</v>
      </c>
      <c r="C110" s="140" t="s">
        <v>777</v>
      </c>
      <c r="D110" s="135">
        <f t="shared" si="23"/>
        <v>0</v>
      </c>
      <c r="E110" s="135"/>
      <c r="F110" s="135"/>
      <c r="G110" s="135"/>
    </row>
    <row r="111" spans="1:7">
      <c r="A111" s="396"/>
      <c r="B111" s="397" t="s">
        <v>778</v>
      </c>
      <c r="C111" s="140" t="s">
        <v>779</v>
      </c>
      <c r="D111" s="135">
        <f t="shared" si="23"/>
        <v>70</v>
      </c>
      <c r="E111" s="135">
        <v>70</v>
      </c>
      <c r="F111" s="135"/>
      <c r="G111" s="135"/>
    </row>
    <row r="112" spans="1:7">
      <c r="A112" s="396"/>
      <c r="B112" s="397" t="s">
        <v>780</v>
      </c>
      <c r="C112" s="140" t="s">
        <v>781</v>
      </c>
      <c r="D112" s="135">
        <f t="shared" si="23"/>
        <v>0</v>
      </c>
      <c r="E112" s="135"/>
      <c r="F112" s="135"/>
      <c r="G112" s="135"/>
    </row>
    <row r="113" spans="1:7">
      <c r="A113" s="396"/>
      <c r="B113" s="397" t="s">
        <v>782</v>
      </c>
      <c r="C113" s="140" t="s">
        <v>783</v>
      </c>
      <c r="D113" s="135">
        <f t="shared" si="23"/>
        <v>3399</v>
      </c>
      <c r="E113" s="135">
        <v>3399</v>
      </c>
      <c r="F113" s="135"/>
      <c r="G113" s="135"/>
    </row>
    <row r="114" spans="1:7">
      <c r="A114" s="398" t="s">
        <v>254</v>
      </c>
      <c r="B114" s="399" t="s">
        <v>784</v>
      </c>
      <c r="C114" s="136" t="s">
        <v>785</v>
      </c>
      <c r="D114" s="137">
        <f>SUM(D110:D113)</f>
        <v>3469</v>
      </c>
      <c r="E114" s="137">
        <f t="shared" ref="E114:G114" si="28">SUM(E110:E113)</f>
        <v>3469</v>
      </c>
      <c r="F114" s="137">
        <f t="shared" si="28"/>
        <v>0</v>
      </c>
      <c r="G114" s="137">
        <f t="shared" si="28"/>
        <v>0</v>
      </c>
    </row>
    <row r="115" spans="1:7">
      <c r="A115" s="402" t="s">
        <v>256</v>
      </c>
      <c r="B115" s="403" t="s">
        <v>786</v>
      </c>
      <c r="C115" s="138" t="s">
        <v>787</v>
      </c>
      <c r="D115" s="139">
        <f>D97+D98+D101+D102+D105+D109+D114</f>
        <v>8974</v>
      </c>
      <c r="E115" s="139">
        <f t="shared" ref="E115:G115" si="29">E97+E98+E101+E102+E105+E109+E114</f>
        <v>8974</v>
      </c>
      <c r="F115" s="139">
        <f t="shared" si="29"/>
        <v>0</v>
      </c>
      <c r="G115" s="139">
        <f t="shared" si="29"/>
        <v>0</v>
      </c>
    </row>
    <row r="116" spans="1:7">
      <c r="A116" s="396"/>
      <c r="B116" s="397" t="s">
        <v>788</v>
      </c>
      <c r="C116" s="140" t="s">
        <v>789</v>
      </c>
      <c r="D116" s="135">
        <f t="shared" ref="D116:D119" si="30">SUM(E116:G116)</f>
        <v>100</v>
      </c>
      <c r="E116" s="135">
        <v>100</v>
      </c>
      <c r="F116" s="135"/>
      <c r="G116" s="135"/>
    </row>
    <row r="117" spans="1:7">
      <c r="A117" s="396"/>
      <c r="B117" s="397" t="s">
        <v>790</v>
      </c>
      <c r="C117" s="140" t="s">
        <v>791</v>
      </c>
      <c r="D117" s="135">
        <f t="shared" si="30"/>
        <v>0</v>
      </c>
      <c r="E117" s="135"/>
      <c r="F117" s="135"/>
      <c r="G117" s="135"/>
    </row>
    <row r="118" spans="1:7">
      <c r="A118" s="398" t="s">
        <v>258</v>
      </c>
      <c r="B118" s="399" t="s">
        <v>792</v>
      </c>
      <c r="C118" s="136" t="s">
        <v>793</v>
      </c>
      <c r="D118" s="137">
        <f>SUM(D116:D117)</f>
        <v>100</v>
      </c>
      <c r="E118" s="137">
        <f t="shared" ref="E118:G118" si="31">SUM(E116:E117)</f>
        <v>100</v>
      </c>
      <c r="F118" s="137">
        <f t="shared" si="31"/>
        <v>0</v>
      </c>
      <c r="G118" s="137">
        <f t="shared" si="31"/>
        <v>0</v>
      </c>
    </row>
    <row r="119" spans="1:7">
      <c r="A119" s="400" t="s">
        <v>260</v>
      </c>
      <c r="B119" s="401" t="s">
        <v>794</v>
      </c>
      <c r="C119" s="136" t="s">
        <v>261</v>
      </c>
      <c r="D119" s="137">
        <f t="shared" si="30"/>
        <v>0</v>
      </c>
      <c r="E119" s="137"/>
      <c r="F119" s="137"/>
      <c r="G119" s="137"/>
    </row>
    <row r="120" spans="1:7">
      <c r="A120" s="402" t="s">
        <v>262</v>
      </c>
      <c r="B120" s="403" t="s">
        <v>795</v>
      </c>
      <c r="C120" s="138" t="s">
        <v>796</v>
      </c>
      <c r="D120" s="139">
        <f>D118+D119</f>
        <v>100</v>
      </c>
      <c r="E120" s="139">
        <f t="shared" ref="E120:G120" si="32">E118+E119</f>
        <v>100</v>
      </c>
      <c r="F120" s="139">
        <f t="shared" si="32"/>
        <v>0</v>
      </c>
      <c r="G120" s="139">
        <f t="shared" si="32"/>
        <v>0</v>
      </c>
    </row>
    <row r="121" spans="1:7">
      <c r="A121" s="396"/>
      <c r="B121" s="397" t="s">
        <v>797</v>
      </c>
      <c r="C121" s="140" t="s">
        <v>798</v>
      </c>
      <c r="D121" s="135">
        <f t="shared" ref="D121:D139" si="33">SUM(E121:G121)</f>
        <v>0</v>
      </c>
      <c r="E121" s="135"/>
      <c r="F121" s="135"/>
      <c r="G121" s="135"/>
    </row>
    <row r="122" spans="1:7">
      <c r="A122" s="396"/>
      <c r="B122" s="397" t="s">
        <v>799</v>
      </c>
      <c r="C122" s="140" t="s">
        <v>800</v>
      </c>
      <c r="D122" s="135">
        <f t="shared" si="33"/>
        <v>2991</v>
      </c>
      <c r="E122" s="135">
        <f>ROUND((E81+E92+E115+E120)*0.27,0)</f>
        <v>2734</v>
      </c>
      <c r="F122" s="135">
        <f>600*0.27+1900*0.05</f>
        <v>257</v>
      </c>
      <c r="G122" s="135"/>
    </row>
    <row r="123" spans="1:7">
      <c r="A123" s="398" t="s">
        <v>264</v>
      </c>
      <c r="B123" s="399" t="s">
        <v>801</v>
      </c>
      <c r="C123" s="136" t="s">
        <v>802</v>
      </c>
      <c r="D123" s="137">
        <f>SUM(D121:D122)</f>
        <v>2991</v>
      </c>
      <c r="E123" s="137">
        <f t="shared" ref="E123:G123" si="34">SUM(E121:E122)</f>
        <v>2734</v>
      </c>
      <c r="F123" s="137">
        <f t="shared" si="34"/>
        <v>257</v>
      </c>
      <c r="G123" s="137">
        <f t="shared" si="34"/>
        <v>0</v>
      </c>
    </row>
    <row r="124" spans="1:7">
      <c r="A124" s="396"/>
      <c r="B124" s="397" t="s">
        <v>803</v>
      </c>
      <c r="C124" s="140" t="s">
        <v>804</v>
      </c>
      <c r="D124" s="135">
        <f t="shared" si="33"/>
        <v>0</v>
      </c>
      <c r="E124" s="135"/>
      <c r="F124" s="135"/>
      <c r="G124" s="135"/>
    </row>
    <row r="125" spans="1:7">
      <c r="A125" s="396"/>
      <c r="B125" s="397" t="s">
        <v>805</v>
      </c>
      <c r="C125" s="140" t="s">
        <v>806</v>
      </c>
      <c r="D125" s="135">
        <f t="shared" si="33"/>
        <v>0</v>
      </c>
      <c r="E125" s="135"/>
      <c r="F125" s="135"/>
      <c r="G125" s="135"/>
    </row>
    <row r="126" spans="1:7">
      <c r="A126" s="396"/>
      <c r="B126" s="397" t="s">
        <v>807</v>
      </c>
      <c r="C126" s="140" t="s">
        <v>808</v>
      </c>
      <c r="D126" s="135">
        <f t="shared" si="33"/>
        <v>0</v>
      </c>
      <c r="E126" s="135"/>
      <c r="F126" s="135"/>
      <c r="G126" s="135"/>
    </row>
    <row r="127" spans="1:7">
      <c r="A127" s="398" t="s">
        <v>266</v>
      </c>
      <c r="B127" s="399" t="s">
        <v>809</v>
      </c>
      <c r="C127" s="136" t="s">
        <v>810</v>
      </c>
      <c r="D127" s="137">
        <f>SUM(D124:D126)</f>
        <v>0</v>
      </c>
      <c r="E127" s="137">
        <f t="shared" ref="E127:G127" si="35">SUM(E124:E126)</f>
        <v>0</v>
      </c>
      <c r="F127" s="137">
        <f t="shared" si="35"/>
        <v>0</v>
      </c>
      <c r="G127" s="137">
        <f t="shared" si="35"/>
        <v>0</v>
      </c>
    </row>
    <row r="128" spans="1:7">
      <c r="A128" s="396"/>
      <c r="B128" s="397" t="s">
        <v>811</v>
      </c>
      <c r="C128" s="140" t="s">
        <v>812</v>
      </c>
      <c r="D128" s="135">
        <f t="shared" si="33"/>
        <v>0</v>
      </c>
      <c r="E128" s="135"/>
      <c r="F128" s="135"/>
      <c r="G128" s="135"/>
    </row>
    <row r="129" spans="1:7">
      <c r="A129" s="396"/>
      <c r="B129" s="397" t="s">
        <v>813</v>
      </c>
      <c r="C129" s="140" t="s">
        <v>814</v>
      </c>
      <c r="D129" s="135">
        <f t="shared" si="33"/>
        <v>0</v>
      </c>
      <c r="E129" s="135"/>
      <c r="F129" s="135"/>
      <c r="G129" s="135"/>
    </row>
    <row r="130" spans="1:7">
      <c r="A130" s="396"/>
      <c r="B130" s="397" t="s">
        <v>815</v>
      </c>
      <c r="C130" s="140" t="s">
        <v>816</v>
      </c>
      <c r="D130" s="135">
        <f t="shared" si="33"/>
        <v>0</v>
      </c>
      <c r="E130" s="135"/>
      <c r="F130" s="135"/>
      <c r="G130" s="135"/>
    </row>
    <row r="131" spans="1:7">
      <c r="A131" s="396"/>
      <c r="B131" s="397" t="s">
        <v>817</v>
      </c>
      <c r="C131" s="140" t="s">
        <v>818</v>
      </c>
      <c r="D131" s="135">
        <f t="shared" si="33"/>
        <v>0</v>
      </c>
      <c r="E131" s="135"/>
      <c r="F131" s="135"/>
      <c r="G131" s="135"/>
    </row>
    <row r="132" spans="1:7">
      <c r="A132" s="398" t="s">
        <v>268</v>
      </c>
      <c r="B132" s="399" t="s">
        <v>819</v>
      </c>
      <c r="C132" s="136" t="s">
        <v>269</v>
      </c>
      <c r="D132" s="137">
        <f>SUM(D128:D131)</f>
        <v>0</v>
      </c>
      <c r="E132" s="137">
        <f t="shared" ref="E132:G132" si="36">SUM(E128:E131)</f>
        <v>0</v>
      </c>
      <c r="F132" s="137">
        <f t="shared" si="36"/>
        <v>0</v>
      </c>
      <c r="G132" s="137">
        <f t="shared" si="36"/>
        <v>0</v>
      </c>
    </row>
    <row r="133" spans="1:7">
      <c r="A133" s="396"/>
      <c r="B133" s="397" t="s">
        <v>820</v>
      </c>
      <c r="C133" s="140" t="s">
        <v>821</v>
      </c>
      <c r="D133" s="135">
        <f t="shared" si="33"/>
        <v>0</v>
      </c>
      <c r="E133" s="135"/>
      <c r="F133" s="135"/>
      <c r="G133" s="135"/>
    </row>
    <row r="134" spans="1:7">
      <c r="A134" s="396"/>
      <c r="B134" s="397" t="s">
        <v>822</v>
      </c>
      <c r="C134" s="140" t="s">
        <v>823</v>
      </c>
      <c r="D134" s="135">
        <f t="shared" si="33"/>
        <v>0</v>
      </c>
      <c r="E134" s="135"/>
      <c r="F134" s="135"/>
      <c r="G134" s="135"/>
    </row>
    <row r="135" spans="1:7">
      <c r="A135" s="398" t="s">
        <v>270</v>
      </c>
      <c r="B135" s="399" t="s">
        <v>824</v>
      </c>
      <c r="C135" s="136" t="s">
        <v>271</v>
      </c>
      <c r="D135" s="137">
        <f>SUM(D133:D134)</f>
        <v>0</v>
      </c>
      <c r="E135" s="137">
        <f t="shared" ref="E135:G135" si="37">SUM(E133:E134)</f>
        <v>0</v>
      </c>
      <c r="F135" s="137">
        <f t="shared" si="37"/>
        <v>0</v>
      </c>
      <c r="G135" s="137">
        <f t="shared" si="37"/>
        <v>0</v>
      </c>
    </row>
    <row r="136" spans="1:7">
      <c r="A136" s="396"/>
      <c r="B136" s="397" t="s">
        <v>825</v>
      </c>
      <c r="C136" s="140" t="s">
        <v>826</v>
      </c>
      <c r="D136" s="135">
        <f t="shared" si="33"/>
        <v>0</v>
      </c>
      <c r="E136" s="135"/>
      <c r="F136" s="135"/>
      <c r="G136" s="135"/>
    </row>
    <row r="137" spans="1:7">
      <c r="A137" s="396"/>
      <c r="B137" s="397" t="s">
        <v>827</v>
      </c>
      <c r="C137" s="140" t="s">
        <v>828</v>
      </c>
      <c r="D137" s="135">
        <f t="shared" si="33"/>
        <v>0</v>
      </c>
      <c r="E137" s="135"/>
      <c r="F137" s="135"/>
      <c r="G137" s="135"/>
    </row>
    <row r="138" spans="1:7">
      <c r="A138" s="396"/>
      <c r="B138" s="397" t="s">
        <v>829</v>
      </c>
      <c r="C138" s="140" t="s">
        <v>830</v>
      </c>
      <c r="D138" s="135">
        <f t="shared" si="33"/>
        <v>0</v>
      </c>
      <c r="E138" s="135"/>
      <c r="F138" s="135"/>
      <c r="G138" s="135"/>
    </row>
    <row r="139" spans="1:7">
      <c r="A139" s="396"/>
      <c r="B139" s="397" t="s">
        <v>831</v>
      </c>
      <c r="C139" s="140" t="s">
        <v>832</v>
      </c>
      <c r="D139" s="135">
        <f t="shared" si="33"/>
        <v>0</v>
      </c>
      <c r="E139" s="135"/>
      <c r="F139" s="135"/>
      <c r="G139" s="135"/>
    </row>
    <row r="140" spans="1:7">
      <c r="A140" s="398" t="s">
        <v>272</v>
      </c>
      <c r="B140" s="399" t="s">
        <v>833</v>
      </c>
      <c r="C140" s="136" t="s">
        <v>273</v>
      </c>
      <c r="D140" s="137">
        <f>SUM(D136:D139)</f>
        <v>0</v>
      </c>
      <c r="E140" s="137">
        <f t="shared" ref="E140:G140" si="38">SUM(E136:E139)</f>
        <v>0</v>
      </c>
      <c r="F140" s="137">
        <f t="shared" si="38"/>
        <v>0</v>
      </c>
      <c r="G140" s="137">
        <f t="shared" si="38"/>
        <v>0</v>
      </c>
    </row>
    <row r="141" spans="1:7">
      <c r="A141" s="402" t="s">
        <v>274</v>
      </c>
      <c r="B141" s="403" t="s">
        <v>834</v>
      </c>
      <c r="C141" s="138" t="s">
        <v>275</v>
      </c>
      <c r="D141" s="139">
        <f>D123+D127+D132+D135+D140</f>
        <v>2991</v>
      </c>
      <c r="E141" s="139">
        <f t="shared" ref="E141:G141" si="39">E123+E127+E132+E135+E140</f>
        <v>2734</v>
      </c>
      <c r="F141" s="139">
        <f t="shared" si="39"/>
        <v>257</v>
      </c>
      <c r="G141" s="139">
        <f t="shared" si="39"/>
        <v>0</v>
      </c>
    </row>
    <row r="142" spans="1:7">
      <c r="A142" s="404" t="s">
        <v>276</v>
      </c>
      <c r="B142" s="405" t="s">
        <v>835</v>
      </c>
      <c r="C142" s="406" t="s">
        <v>277</v>
      </c>
      <c r="D142" s="407">
        <f>D81+D92+D115+D120+D141</f>
        <v>15618</v>
      </c>
      <c r="E142" s="407">
        <f t="shared" ref="E142:G142" si="40">E81+E92+E115+E120+E141</f>
        <v>12861</v>
      </c>
      <c r="F142" s="407">
        <f t="shared" si="40"/>
        <v>2757</v>
      </c>
      <c r="G142" s="407">
        <f t="shared" si="40"/>
        <v>0</v>
      </c>
    </row>
    <row r="143" spans="1:7">
      <c r="A143" s="408"/>
      <c r="B143" s="409"/>
      <c r="C143" s="410" t="s">
        <v>836</v>
      </c>
      <c r="D143" s="411">
        <f>D54+D63+D142</f>
        <v>33289</v>
      </c>
      <c r="E143" s="411">
        <f t="shared" ref="E143:G143" si="41">E54+E63+E142</f>
        <v>30532</v>
      </c>
      <c r="F143" s="411">
        <f t="shared" si="41"/>
        <v>2757</v>
      </c>
      <c r="G143" s="411">
        <f t="shared" si="41"/>
        <v>0</v>
      </c>
    </row>
    <row r="144" spans="1:7">
      <c r="A144" s="396"/>
      <c r="B144" s="397" t="s">
        <v>837</v>
      </c>
      <c r="C144" s="140" t="s">
        <v>838</v>
      </c>
      <c r="D144" s="135">
        <f t="shared" ref="D144:D147" si="42">SUM(E144:G144)</f>
        <v>0</v>
      </c>
      <c r="E144" s="135"/>
      <c r="F144" s="135"/>
      <c r="G144" s="135"/>
    </row>
    <row r="145" spans="1:7">
      <c r="A145" s="396"/>
      <c r="B145" s="397" t="s">
        <v>839</v>
      </c>
      <c r="C145" s="140" t="s">
        <v>840</v>
      </c>
      <c r="D145" s="135">
        <f t="shared" si="42"/>
        <v>50</v>
      </c>
      <c r="E145" s="135">
        <v>50</v>
      </c>
      <c r="F145" s="135"/>
      <c r="G145" s="135"/>
    </row>
    <row r="146" spans="1:7">
      <c r="A146" s="396"/>
      <c r="B146" s="397" t="s">
        <v>841</v>
      </c>
      <c r="C146" s="140" t="s">
        <v>842</v>
      </c>
      <c r="D146" s="135">
        <f t="shared" si="42"/>
        <v>0</v>
      </c>
      <c r="E146" s="135"/>
      <c r="F146" s="135"/>
      <c r="G146" s="135"/>
    </row>
    <row r="147" spans="1:7">
      <c r="A147" s="412" t="s">
        <v>332</v>
      </c>
      <c r="B147" s="413" t="s">
        <v>843</v>
      </c>
      <c r="C147" s="140" t="s">
        <v>844</v>
      </c>
      <c r="D147" s="135">
        <f t="shared" si="42"/>
        <v>14</v>
      </c>
      <c r="E147" s="135">
        <f>ROUND(E145*0.27,0)</f>
        <v>14</v>
      </c>
      <c r="F147" s="135"/>
      <c r="G147" s="135"/>
    </row>
    <row r="148" spans="1:7">
      <c r="A148" s="404" t="s">
        <v>334</v>
      </c>
      <c r="B148" s="405" t="s">
        <v>845</v>
      </c>
      <c r="C148" s="406" t="s">
        <v>846</v>
      </c>
      <c r="D148" s="407">
        <f>SUM(D144:D147)</f>
        <v>64</v>
      </c>
      <c r="E148" s="407">
        <f t="shared" ref="E148:G148" si="43">SUM(E144:E147)</f>
        <v>64</v>
      </c>
      <c r="F148" s="407">
        <f t="shared" si="43"/>
        <v>0</v>
      </c>
      <c r="G148" s="407">
        <f t="shared" si="43"/>
        <v>0</v>
      </c>
    </row>
    <row r="149" spans="1:7">
      <c r="A149" s="396"/>
      <c r="B149" s="397" t="s">
        <v>847</v>
      </c>
      <c r="C149" s="140" t="s">
        <v>848</v>
      </c>
      <c r="D149" s="135">
        <f t="shared" ref="D149:D152" si="44">SUM(E149:G149)</f>
        <v>0</v>
      </c>
      <c r="E149" s="135"/>
      <c r="F149" s="135"/>
      <c r="G149" s="135"/>
    </row>
    <row r="150" spans="1:7">
      <c r="A150" s="396"/>
      <c r="B150" s="397" t="s">
        <v>849</v>
      </c>
      <c r="C150" s="140" t="s">
        <v>850</v>
      </c>
      <c r="D150" s="135">
        <f t="shared" si="44"/>
        <v>0</v>
      </c>
      <c r="E150" s="135"/>
      <c r="F150" s="135"/>
      <c r="G150" s="135"/>
    </row>
    <row r="151" spans="1:7">
      <c r="A151" s="396"/>
      <c r="B151" s="397" t="s">
        <v>851</v>
      </c>
      <c r="C151" s="140" t="s">
        <v>852</v>
      </c>
      <c r="D151" s="135">
        <f t="shared" si="44"/>
        <v>0</v>
      </c>
      <c r="E151" s="135"/>
      <c r="F151" s="135"/>
      <c r="G151" s="135"/>
    </row>
    <row r="152" spans="1:7">
      <c r="A152" s="412" t="s">
        <v>341</v>
      </c>
      <c r="B152" s="413" t="s">
        <v>853</v>
      </c>
      <c r="C152" s="140" t="s">
        <v>854</v>
      </c>
      <c r="D152" s="135">
        <f t="shared" si="44"/>
        <v>0</v>
      </c>
      <c r="E152" s="135"/>
      <c r="F152" s="135"/>
      <c r="G152" s="135"/>
    </row>
    <row r="153" spans="1:7">
      <c r="A153" s="404" t="s">
        <v>343</v>
      </c>
      <c r="B153" s="405" t="s">
        <v>855</v>
      </c>
      <c r="C153" s="406" t="s">
        <v>856</v>
      </c>
      <c r="D153" s="407">
        <f>SUM(D149:D152)</f>
        <v>0</v>
      </c>
      <c r="E153" s="407">
        <f t="shared" ref="E153:G153" si="45">SUM(E149:E152)</f>
        <v>0</v>
      </c>
      <c r="F153" s="407">
        <f t="shared" si="45"/>
        <v>0</v>
      </c>
      <c r="G153" s="407">
        <f t="shared" si="45"/>
        <v>0</v>
      </c>
    </row>
    <row r="154" spans="1:7">
      <c r="A154" s="408"/>
      <c r="B154" s="409"/>
      <c r="C154" s="410" t="s">
        <v>857</v>
      </c>
      <c r="D154" s="411">
        <f>D148+D153</f>
        <v>64</v>
      </c>
      <c r="E154" s="411">
        <f t="shared" ref="E154:G154" si="46">E148+E153</f>
        <v>64</v>
      </c>
      <c r="F154" s="411">
        <f t="shared" si="46"/>
        <v>0</v>
      </c>
      <c r="G154" s="411">
        <f t="shared" si="46"/>
        <v>0</v>
      </c>
    </row>
    <row r="155" spans="1:7">
      <c r="A155" s="414"/>
      <c r="B155" s="415"/>
      <c r="C155" s="416" t="s">
        <v>858</v>
      </c>
      <c r="D155" s="417">
        <f>D143+D154</f>
        <v>33353</v>
      </c>
      <c r="E155" s="417">
        <f t="shared" ref="E155:G155" si="47">E143+E154</f>
        <v>30596</v>
      </c>
      <c r="F155" s="417">
        <f t="shared" si="47"/>
        <v>2757</v>
      </c>
      <c r="G155" s="417">
        <f t="shared" si="47"/>
        <v>0</v>
      </c>
    </row>
  </sheetData>
  <printOptions horizontalCentered="1"/>
  <pageMargins left="0.78740157480314965" right="0.78740157480314965" top="0.78740157480314965" bottom="0.78740157480314965" header="0.11811023622047245" footer="0.11811023622047245"/>
  <pageSetup paperSize="9" scale="91" fitToHeight="0" orientation="portrait" useFirstPageNumber="1" copies="2" r:id="rId1"/>
  <headerFooter alignWithMargins="0">
    <oddHeader>&amp;C&amp;"Arial,Félkövér"&amp;12Volf György Könyvtár
2014. évi költségvetés tervezése</oddHeader>
    <oddFooter>&amp;Coldal: &amp;P/&amp;N
exportálva: 2014-01-04 10:35 (210 MP)</oddFooter>
  </headerFooter>
  <rowBreaks count="2" manualBreakCount="2">
    <brk id="54" max="16383" man="1"/>
    <brk id="115" max="16383" man="1"/>
  </rowBreaks>
  <colBreaks count="3" manualBreakCount="3">
    <brk id="4" max="1048575" man="1"/>
    <brk id="5" max="1048575" man="1"/>
    <brk id="6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>
  <dimension ref="A1:IV199"/>
  <sheetViews>
    <sheetView topLeftCell="A142" zoomScale="140" zoomScaleNormal="140" workbookViewId="0">
      <selection activeCell="J105" sqref="J105"/>
    </sheetView>
  </sheetViews>
  <sheetFormatPr defaultColWidth="11.5703125" defaultRowHeight="14.1" customHeight="1"/>
  <cols>
    <col min="1" max="1" width="5.5703125" style="318" customWidth="1"/>
    <col min="2" max="2" width="7.7109375" style="318" customWidth="1"/>
    <col min="3" max="3" width="29.5703125" style="319" customWidth="1"/>
    <col min="4" max="6" width="6.140625" style="320" customWidth="1"/>
    <col min="7" max="7" width="5.140625" style="321" customWidth="1"/>
    <col min="8" max="13" width="6.140625" style="320" customWidth="1"/>
    <col min="14" max="16384" width="11.5703125" style="319"/>
  </cols>
  <sheetData>
    <row r="1" spans="1:13" s="315" customFormat="1" ht="12.75" customHeight="1">
      <c r="A1" s="699" t="s">
        <v>886</v>
      </c>
      <c r="B1" s="699"/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</row>
    <row r="2" spans="1:13" s="315" customFormat="1" ht="14.1" customHeight="1">
      <c r="A2" s="699" t="s">
        <v>887</v>
      </c>
      <c r="B2" s="702" t="s">
        <v>888</v>
      </c>
      <c r="C2" s="699" t="s">
        <v>889</v>
      </c>
      <c r="D2" s="695" t="s">
        <v>890</v>
      </c>
      <c r="E2" s="695" t="s">
        <v>891</v>
      </c>
      <c r="F2" s="695" t="s">
        <v>892</v>
      </c>
      <c r="G2" s="711" t="s">
        <v>893</v>
      </c>
      <c r="H2" s="695" t="s">
        <v>894</v>
      </c>
      <c r="I2" s="695"/>
      <c r="J2" s="695" t="s">
        <v>895</v>
      </c>
      <c r="K2" s="695"/>
      <c r="L2" s="695" t="s">
        <v>896</v>
      </c>
      <c r="M2" s="695"/>
    </row>
    <row r="3" spans="1:13" s="317" customFormat="1" ht="14.1" customHeight="1">
      <c r="A3" s="699"/>
      <c r="B3" s="702"/>
      <c r="C3" s="699"/>
      <c r="D3" s="695"/>
      <c r="E3" s="695"/>
      <c r="F3" s="695"/>
      <c r="G3" s="711"/>
      <c r="H3" s="316" t="s">
        <v>897</v>
      </c>
      <c r="I3" s="316" t="s">
        <v>898</v>
      </c>
      <c r="J3" s="316" t="s">
        <v>897</v>
      </c>
      <c r="K3" s="316" t="s">
        <v>898</v>
      </c>
      <c r="L3" s="316" t="s">
        <v>897</v>
      </c>
      <c r="M3" s="316" t="s">
        <v>898</v>
      </c>
    </row>
    <row r="4" spans="1:13" ht="5.65" customHeight="1"/>
    <row r="5" spans="1:13" ht="14.1" customHeight="1">
      <c r="A5" s="700" t="s">
        <v>899</v>
      </c>
      <c r="B5" s="700"/>
      <c r="C5" s="700"/>
      <c r="D5" s="700"/>
      <c r="E5" s="700"/>
      <c r="F5" s="700"/>
      <c r="G5" s="700"/>
      <c r="H5" s="700"/>
      <c r="I5" s="700"/>
      <c r="J5" s="700"/>
      <c r="K5" s="700"/>
      <c r="L5" s="700"/>
      <c r="M5" s="700"/>
    </row>
    <row r="6" spans="1:13" s="317" customFormat="1" ht="12.75" customHeight="1">
      <c r="A6" s="322" t="s">
        <v>860</v>
      </c>
      <c r="B6" s="322" t="s">
        <v>565</v>
      </c>
      <c r="C6" s="323" t="s">
        <v>566</v>
      </c>
      <c r="D6" s="324">
        <f>SUM(D7:D12)</f>
        <v>24075</v>
      </c>
      <c r="E6" s="324">
        <f>SUM(E7:E12)</f>
        <v>25197.599999999999</v>
      </c>
      <c r="F6" s="324">
        <f>SUM(F7:F12)</f>
        <v>0</v>
      </c>
      <c r="G6" s="325">
        <f t="shared" ref="G6:G68" si="0">F6/E6</f>
        <v>0</v>
      </c>
      <c r="H6" s="326">
        <f t="shared" ref="H6:M6" si="1">SUM(H7:H12)</f>
        <v>0</v>
      </c>
      <c r="I6" s="326">
        <f t="shared" si="1"/>
        <v>0</v>
      </c>
      <c r="J6" s="326">
        <f t="shared" si="1"/>
        <v>25197.599999999999</v>
      </c>
      <c r="K6" s="326">
        <f t="shared" si="1"/>
        <v>0</v>
      </c>
      <c r="L6" s="326">
        <f t="shared" si="1"/>
        <v>0</v>
      </c>
      <c r="M6" s="326">
        <f t="shared" si="1"/>
        <v>0</v>
      </c>
    </row>
    <row r="7" spans="1:13" s="334" customFormat="1" ht="11.45" customHeight="1">
      <c r="A7" s="327"/>
      <c r="B7" s="327" t="s">
        <v>553</v>
      </c>
      <c r="C7" s="328" t="s">
        <v>554</v>
      </c>
      <c r="D7" s="329">
        <v>22695</v>
      </c>
      <c r="E7" s="329">
        <f t="shared" ref="E7:F14" si="2">H7+J7+L7</f>
        <v>23595.1</v>
      </c>
      <c r="F7" s="330">
        <f t="shared" si="2"/>
        <v>0</v>
      </c>
      <c r="G7" s="331">
        <f t="shared" si="0"/>
        <v>0</v>
      </c>
      <c r="H7" s="332">
        <f>'MMMH reszletes'!D7</f>
        <v>0</v>
      </c>
      <c r="I7" s="333">
        <f>'MMMH reszletes'!E7</f>
        <v>0</v>
      </c>
      <c r="J7" s="332">
        <f>'MMMH reszletes'!F7/1000</f>
        <v>23595.1</v>
      </c>
      <c r="K7" s="333">
        <f>'MMMH reszletes'!G7/1000</f>
        <v>0</v>
      </c>
      <c r="L7" s="332">
        <f>'MMMH reszletes'!H7</f>
        <v>0</v>
      </c>
      <c r="M7" s="333">
        <f>'MMMH reszletes'!I7</f>
        <v>0</v>
      </c>
    </row>
    <row r="8" spans="1:13" s="334" customFormat="1" ht="11.45" customHeight="1">
      <c r="A8" s="327"/>
      <c r="B8" s="327" t="s">
        <v>555</v>
      </c>
      <c r="C8" s="328" t="s">
        <v>556</v>
      </c>
      <c r="D8" s="329">
        <v>0</v>
      </c>
      <c r="E8" s="329">
        <f t="shared" si="2"/>
        <v>0</v>
      </c>
      <c r="F8" s="330">
        <f t="shared" si="2"/>
        <v>0</v>
      </c>
      <c r="G8" s="331" t="e">
        <f t="shared" si="0"/>
        <v>#DIV/0!</v>
      </c>
      <c r="H8" s="332">
        <f>'MMMH reszletes'!D30</f>
        <v>0</v>
      </c>
      <c r="I8" s="333">
        <f>'MMMH reszletes'!E30</f>
        <v>0</v>
      </c>
      <c r="J8" s="332">
        <f>'MMMH reszletes'!F30/1000</f>
        <v>0</v>
      </c>
      <c r="K8" s="333">
        <f>'MMMH reszletes'!G30/1000</f>
        <v>0</v>
      </c>
      <c r="L8" s="332">
        <f>'MMMH reszletes'!H30</f>
        <v>0</v>
      </c>
      <c r="M8" s="333">
        <f>'MMMH reszletes'!I30</f>
        <v>0</v>
      </c>
    </row>
    <row r="9" spans="1:13" s="334" customFormat="1" ht="11.45" customHeight="1">
      <c r="A9" s="327"/>
      <c r="B9" s="327" t="s">
        <v>557</v>
      </c>
      <c r="C9" s="328" t="s">
        <v>558</v>
      </c>
      <c r="D9" s="329">
        <v>240</v>
      </c>
      <c r="E9" s="329">
        <f t="shared" si="2"/>
        <v>462.5</v>
      </c>
      <c r="F9" s="330">
        <f t="shared" si="2"/>
        <v>0</v>
      </c>
      <c r="G9" s="331">
        <f t="shared" si="0"/>
        <v>0</v>
      </c>
      <c r="H9" s="332">
        <f>'MMMH reszletes'!D31</f>
        <v>0</v>
      </c>
      <c r="I9" s="333">
        <f>'MMMH reszletes'!E31</f>
        <v>0</v>
      </c>
      <c r="J9" s="332">
        <f>'MMMH reszletes'!F31/1000</f>
        <v>462.5</v>
      </c>
      <c r="K9" s="333">
        <f>'MMMH reszletes'!G31/1000</f>
        <v>0</v>
      </c>
      <c r="L9" s="332">
        <f>'MMMH reszletes'!H31</f>
        <v>0</v>
      </c>
      <c r="M9" s="333">
        <f>'MMMH reszletes'!I31</f>
        <v>0</v>
      </c>
    </row>
    <row r="10" spans="1:13" s="334" customFormat="1" ht="11.45" customHeight="1">
      <c r="A10" s="327"/>
      <c r="B10" s="327" t="s">
        <v>559</v>
      </c>
      <c r="C10" s="328" t="s">
        <v>560</v>
      </c>
      <c r="D10" s="329">
        <v>960</v>
      </c>
      <c r="E10" s="329">
        <f t="shared" si="2"/>
        <v>960</v>
      </c>
      <c r="F10" s="330">
        <f t="shared" si="2"/>
        <v>0</v>
      </c>
      <c r="G10" s="331">
        <f t="shared" si="0"/>
        <v>0</v>
      </c>
      <c r="H10" s="332">
        <f>'MMMH reszletes'!D36</f>
        <v>0</v>
      </c>
      <c r="I10" s="333">
        <f>'MMMH reszletes'!E36</f>
        <v>0</v>
      </c>
      <c r="J10" s="332">
        <f>'MMMH reszletes'!F36/1000</f>
        <v>960</v>
      </c>
      <c r="K10" s="333">
        <f>'MMMH reszletes'!G36/1000</f>
        <v>0</v>
      </c>
      <c r="L10" s="332">
        <f>'MMMH reszletes'!H36</f>
        <v>0</v>
      </c>
      <c r="M10" s="333">
        <f>'MMMH reszletes'!I36</f>
        <v>0</v>
      </c>
    </row>
    <row r="11" spans="1:13" s="334" customFormat="1" ht="11.45" customHeight="1">
      <c r="A11" s="327"/>
      <c r="B11" s="327" t="s">
        <v>561</v>
      </c>
      <c r="C11" s="328" t="s">
        <v>900</v>
      </c>
      <c r="D11" s="329">
        <v>180</v>
      </c>
      <c r="E11" s="329">
        <f t="shared" si="2"/>
        <v>180</v>
      </c>
      <c r="F11" s="330">
        <f t="shared" si="2"/>
        <v>0</v>
      </c>
      <c r="G11" s="331">
        <f t="shared" si="0"/>
        <v>0</v>
      </c>
      <c r="H11" s="332">
        <f>'MMMH reszletes'!D39</f>
        <v>0</v>
      </c>
      <c r="I11" s="333">
        <f>'MMMH reszletes'!E39</f>
        <v>0</v>
      </c>
      <c r="J11" s="332">
        <f>'MMMH reszletes'!F39/1000</f>
        <v>180</v>
      </c>
      <c r="K11" s="333">
        <f>'MMMH reszletes'!G39/1000</f>
        <v>0</v>
      </c>
      <c r="L11" s="332">
        <f>'MMMH reszletes'!H39</f>
        <v>0</v>
      </c>
      <c r="M11" s="333">
        <f>'MMMH reszletes'!I39</f>
        <v>0</v>
      </c>
    </row>
    <row r="12" spans="1:13" s="334" customFormat="1" ht="11.45" customHeight="1">
      <c r="A12" s="327"/>
      <c r="B12" s="327" t="s">
        <v>563</v>
      </c>
      <c r="C12" s="328" t="s">
        <v>564</v>
      </c>
      <c r="D12" s="329">
        <v>0</v>
      </c>
      <c r="E12" s="329">
        <f t="shared" si="2"/>
        <v>0</v>
      </c>
      <c r="F12" s="330">
        <f t="shared" si="2"/>
        <v>0</v>
      </c>
      <c r="G12" s="331" t="e">
        <f t="shared" si="0"/>
        <v>#DIV/0!</v>
      </c>
      <c r="H12" s="332">
        <f>'MMMH reszletes'!D41</f>
        <v>0</v>
      </c>
      <c r="I12" s="333">
        <f>'MMMH reszletes'!E41</f>
        <v>0</v>
      </c>
      <c r="J12" s="332">
        <f>'MMMH reszletes'!F41/1000</f>
        <v>0</v>
      </c>
      <c r="K12" s="333">
        <f>'MMMH reszletes'!G41/1000</f>
        <v>0</v>
      </c>
      <c r="L12" s="332">
        <f>'MMMH reszletes'!H41</f>
        <v>0</v>
      </c>
      <c r="M12" s="333">
        <f>'MMMH reszletes'!I41</f>
        <v>0</v>
      </c>
    </row>
    <row r="13" spans="1:13" s="317" customFormat="1" ht="12.75" customHeight="1">
      <c r="A13" s="322" t="s">
        <v>861</v>
      </c>
      <c r="B13" s="322" t="s">
        <v>567</v>
      </c>
      <c r="C13" s="323" t="s">
        <v>568</v>
      </c>
      <c r="D13" s="324">
        <v>0</v>
      </c>
      <c r="E13" s="324">
        <f t="shared" si="2"/>
        <v>0</v>
      </c>
      <c r="F13" s="324">
        <f t="shared" si="2"/>
        <v>0</v>
      </c>
      <c r="G13" s="325" t="e">
        <f t="shared" si="0"/>
        <v>#DIV/0!</v>
      </c>
      <c r="H13" s="326">
        <f>'MMMH reszletes'!D42</f>
        <v>0</v>
      </c>
      <c r="I13" s="326">
        <f>'MMMH reszletes'!E42</f>
        <v>0</v>
      </c>
      <c r="J13" s="326">
        <f>'MMMH reszletes'!F42/1000</f>
        <v>0</v>
      </c>
      <c r="K13" s="326">
        <f>'MMMH reszletes'!G42/1000</f>
        <v>0</v>
      </c>
      <c r="L13" s="326">
        <f>'MMMH reszletes'!H42</f>
        <v>0</v>
      </c>
      <c r="M13" s="326">
        <f>'MMMH reszletes'!I42</f>
        <v>0</v>
      </c>
    </row>
    <row r="14" spans="1:13" s="317" customFormat="1" ht="12.75" customHeight="1">
      <c r="A14" s="322" t="s">
        <v>862</v>
      </c>
      <c r="B14" s="322" t="s">
        <v>569</v>
      </c>
      <c r="C14" s="323" t="s">
        <v>570</v>
      </c>
      <c r="D14" s="324">
        <v>0</v>
      </c>
      <c r="E14" s="324">
        <f t="shared" si="2"/>
        <v>0</v>
      </c>
      <c r="F14" s="324">
        <f t="shared" si="2"/>
        <v>0</v>
      </c>
      <c r="G14" s="325" t="e">
        <f t="shared" si="0"/>
        <v>#DIV/0!</v>
      </c>
      <c r="H14" s="326">
        <f>'MMMH reszletes'!D43</f>
        <v>0</v>
      </c>
      <c r="I14" s="326">
        <f>'MMMH reszletes'!E43</f>
        <v>0</v>
      </c>
      <c r="J14" s="326">
        <f>'MMMH reszletes'!F43/1000</f>
        <v>0</v>
      </c>
      <c r="K14" s="326">
        <f>'MMMH reszletes'!G43/1000</f>
        <v>0</v>
      </c>
      <c r="L14" s="326">
        <f>'MMMH reszletes'!H43</f>
        <v>0</v>
      </c>
      <c r="M14" s="326">
        <f>'MMMH reszletes'!I43</f>
        <v>0</v>
      </c>
    </row>
    <row r="15" spans="1:13" s="317" customFormat="1" ht="12.75" customHeight="1">
      <c r="A15" s="322" t="s">
        <v>863</v>
      </c>
      <c r="B15" s="322" t="s">
        <v>575</v>
      </c>
      <c r="C15" s="323" t="s">
        <v>576</v>
      </c>
      <c r="D15" s="324">
        <f>SUM(D16:D17)</f>
        <v>1000</v>
      </c>
      <c r="E15" s="324">
        <f>SUM(E16:E17)</f>
        <v>350</v>
      </c>
      <c r="F15" s="324">
        <f>SUM(F16:F17)</f>
        <v>0</v>
      </c>
      <c r="G15" s="325">
        <f t="shared" si="0"/>
        <v>0</v>
      </c>
      <c r="H15" s="326">
        <f t="shared" ref="H15:M15" si="3">SUM(H16:H17)</f>
        <v>0</v>
      </c>
      <c r="I15" s="326">
        <f t="shared" si="3"/>
        <v>0</v>
      </c>
      <c r="J15" s="326">
        <f t="shared" si="3"/>
        <v>350</v>
      </c>
      <c r="K15" s="326">
        <f t="shared" si="3"/>
        <v>0</v>
      </c>
      <c r="L15" s="326">
        <f t="shared" si="3"/>
        <v>0</v>
      </c>
      <c r="M15" s="326">
        <f t="shared" si="3"/>
        <v>0</v>
      </c>
    </row>
    <row r="16" spans="1:13" s="334" customFormat="1" ht="11.45" customHeight="1">
      <c r="A16" s="327"/>
      <c r="B16" s="327" t="s">
        <v>571</v>
      </c>
      <c r="C16" s="328" t="s">
        <v>572</v>
      </c>
      <c r="D16" s="329">
        <v>0</v>
      </c>
      <c r="E16" s="329">
        <f t="shared" ref="E16:F19" si="4">H16+J16+L16</f>
        <v>0</v>
      </c>
      <c r="F16" s="330">
        <f t="shared" si="4"/>
        <v>0</v>
      </c>
      <c r="G16" s="331" t="e">
        <f t="shared" si="0"/>
        <v>#DIV/0!</v>
      </c>
      <c r="H16" s="332">
        <f>'MMMH reszletes'!D45</f>
        <v>0</v>
      </c>
      <c r="I16" s="333">
        <f>'MMMH reszletes'!E45</f>
        <v>0</v>
      </c>
      <c r="J16" s="332">
        <f>'MMMH reszletes'!F45/1000</f>
        <v>0</v>
      </c>
      <c r="K16" s="333">
        <f>'MMMH reszletes'!G45/1000</f>
        <v>0</v>
      </c>
      <c r="L16" s="332">
        <f>'MMMH reszletes'!H45</f>
        <v>0</v>
      </c>
      <c r="M16" s="333">
        <f>'MMMH reszletes'!I45</f>
        <v>0</v>
      </c>
    </row>
    <row r="17" spans="1:13" s="334" customFormat="1" ht="11.45" customHeight="1">
      <c r="A17" s="327"/>
      <c r="B17" s="327" t="s">
        <v>573</v>
      </c>
      <c r="C17" s="328" t="s">
        <v>574</v>
      </c>
      <c r="D17" s="329">
        <v>1000</v>
      </c>
      <c r="E17" s="329">
        <f t="shared" si="4"/>
        <v>350</v>
      </c>
      <c r="F17" s="330">
        <f t="shared" si="4"/>
        <v>0</v>
      </c>
      <c r="G17" s="331">
        <f t="shared" si="0"/>
        <v>0</v>
      </c>
      <c r="H17" s="332">
        <f>'MMMH reszletes'!D46</f>
        <v>0</v>
      </c>
      <c r="I17" s="333">
        <f>'MMMH reszletes'!E46</f>
        <v>0</v>
      </c>
      <c r="J17" s="332">
        <f>'MMMH reszletes'!F46/1000</f>
        <v>350</v>
      </c>
      <c r="K17" s="333">
        <f>'MMMH reszletes'!G46/1000</f>
        <v>0</v>
      </c>
      <c r="L17" s="332">
        <f>'MMMH reszletes'!H46</f>
        <v>0</v>
      </c>
      <c r="M17" s="333">
        <f>'MMMH reszletes'!I46</f>
        <v>0</v>
      </c>
    </row>
    <row r="18" spans="1:13" s="317" customFormat="1" ht="12.75" customHeight="1">
      <c r="A18" s="322" t="s">
        <v>864</v>
      </c>
      <c r="B18" s="322" t="s">
        <v>577</v>
      </c>
      <c r="C18" s="323" t="s">
        <v>578</v>
      </c>
      <c r="D18" s="324">
        <v>0</v>
      </c>
      <c r="E18" s="324">
        <f t="shared" si="4"/>
        <v>0</v>
      </c>
      <c r="F18" s="324">
        <f t="shared" si="4"/>
        <v>0</v>
      </c>
      <c r="G18" s="325" t="e">
        <f t="shared" si="0"/>
        <v>#DIV/0!</v>
      </c>
      <c r="H18" s="326">
        <f>'MMMH reszletes'!D47</f>
        <v>0</v>
      </c>
      <c r="I18" s="326">
        <f>'MMMH reszletes'!E47</f>
        <v>0</v>
      </c>
      <c r="J18" s="326">
        <f>'MMMH reszletes'!F47/1000</f>
        <v>0</v>
      </c>
      <c r="K18" s="326">
        <f>'MMMH reszletes'!G47/1000</f>
        <v>0</v>
      </c>
      <c r="L18" s="326">
        <f>'MMMH reszletes'!H47</f>
        <v>0</v>
      </c>
      <c r="M18" s="326">
        <f>'MMMH reszletes'!I47</f>
        <v>0</v>
      </c>
    </row>
    <row r="19" spans="1:13" s="317" customFormat="1" ht="12.75" customHeight="1">
      <c r="A19" s="322" t="s">
        <v>865</v>
      </c>
      <c r="B19" s="322" t="s">
        <v>579</v>
      </c>
      <c r="C19" s="323" t="s">
        <v>580</v>
      </c>
      <c r="D19" s="324">
        <v>0</v>
      </c>
      <c r="E19" s="324">
        <f t="shared" si="4"/>
        <v>0</v>
      </c>
      <c r="F19" s="324">
        <f t="shared" si="4"/>
        <v>0</v>
      </c>
      <c r="G19" s="325" t="e">
        <f t="shared" si="0"/>
        <v>#DIV/0!</v>
      </c>
      <c r="H19" s="326">
        <f>'MMMH reszletes'!D48</f>
        <v>0</v>
      </c>
      <c r="I19" s="326">
        <f>'MMMH reszletes'!E48</f>
        <v>0</v>
      </c>
      <c r="J19" s="326">
        <f>'MMMH reszletes'!F48/1000</f>
        <v>0</v>
      </c>
      <c r="K19" s="326">
        <f>'MMMH reszletes'!G48/1000</f>
        <v>0</v>
      </c>
      <c r="L19" s="326">
        <f>'MMMH reszletes'!H48</f>
        <v>0</v>
      </c>
      <c r="M19" s="326">
        <f>'MMMH reszletes'!I48</f>
        <v>0</v>
      </c>
    </row>
    <row r="20" spans="1:13" s="317" customFormat="1" ht="12.75" customHeight="1">
      <c r="A20" s="322" t="s">
        <v>866</v>
      </c>
      <c r="B20" s="322" t="s">
        <v>596</v>
      </c>
      <c r="C20" s="323" t="s">
        <v>597</v>
      </c>
      <c r="D20" s="324">
        <f>SUM(D21:D27)</f>
        <v>1200</v>
      </c>
      <c r="E20" s="324">
        <f>SUM(E21:E27)</f>
        <v>1186</v>
      </c>
      <c r="F20" s="324">
        <f>SUM(F21:F27)</f>
        <v>0</v>
      </c>
      <c r="G20" s="325">
        <f t="shared" si="0"/>
        <v>0</v>
      </c>
      <c r="H20" s="326">
        <f t="shared" ref="H20:M20" si="5">SUM(H21:H27)</f>
        <v>0</v>
      </c>
      <c r="I20" s="326">
        <f t="shared" si="5"/>
        <v>0</v>
      </c>
      <c r="J20" s="326">
        <f t="shared" si="5"/>
        <v>1186</v>
      </c>
      <c r="K20" s="326">
        <f t="shared" si="5"/>
        <v>0</v>
      </c>
      <c r="L20" s="326">
        <f t="shared" si="5"/>
        <v>0</v>
      </c>
      <c r="M20" s="326">
        <f t="shared" si="5"/>
        <v>0</v>
      </c>
    </row>
    <row r="21" spans="1:13" s="334" customFormat="1" ht="11.45" customHeight="1">
      <c r="A21" s="327"/>
      <c r="B21" s="327" t="s">
        <v>582</v>
      </c>
      <c r="C21" s="328" t="s">
        <v>583</v>
      </c>
      <c r="D21" s="329">
        <v>0</v>
      </c>
      <c r="E21" s="329">
        <f t="shared" ref="E21:F30" si="6">H21+J21+L21</f>
        <v>0</v>
      </c>
      <c r="F21" s="330">
        <f t="shared" si="6"/>
        <v>0</v>
      </c>
      <c r="G21" s="331" t="e">
        <f t="shared" si="0"/>
        <v>#DIV/0!</v>
      </c>
      <c r="H21" s="332">
        <f>'MMMH reszletes'!D50</f>
        <v>0</v>
      </c>
      <c r="I21" s="333">
        <f>'MMMH reszletes'!E50</f>
        <v>0</v>
      </c>
      <c r="J21" s="332">
        <f>'MMMH reszletes'!F50/1000</f>
        <v>0</v>
      </c>
      <c r="K21" s="333">
        <f>'MMMH reszletes'!G50/1000</f>
        <v>0</v>
      </c>
      <c r="L21" s="332">
        <f>'MMMH reszletes'!H50</f>
        <v>0</v>
      </c>
      <c r="M21" s="333">
        <f>'MMMH reszletes'!I50</f>
        <v>0</v>
      </c>
    </row>
    <row r="22" spans="1:13" s="334" customFormat="1" ht="11.45" customHeight="1">
      <c r="A22" s="327"/>
      <c r="B22" s="327" t="s">
        <v>584</v>
      </c>
      <c r="C22" s="328" t="s">
        <v>585</v>
      </c>
      <c r="D22" s="329">
        <v>0</v>
      </c>
      <c r="E22" s="329">
        <f t="shared" si="6"/>
        <v>0</v>
      </c>
      <c r="F22" s="330">
        <f t="shared" si="6"/>
        <v>0</v>
      </c>
      <c r="G22" s="331" t="e">
        <f t="shared" si="0"/>
        <v>#DIV/0!</v>
      </c>
      <c r="H22" s="332">
        <f>'MMMH reszletes'!D51</f>
        <v>0</v>
      </c>
      <c r="I22" s="333">
        <f>'MMMH reszletes'!E51</f>
        <v>0</v>
      </c>
      <c r="J22" s="332">
        <f>'MMMH reszletes'!F51/1000</f>
        <v>0</v>
      </c>
      <c r="K22" s="333">
        <f>'MMMH reszletes'!G51/1000</f>
        <v>0</v>
      </c>
      <c r="L22" s="332">
        <f>'MMMH reszletes'!H51</f>
        <v>0</v>
      </c>
      <c r="M22" s="333">
        <f>'MMMH reszletes'!I51</f>
        <v>0</v>
      </c>
    </row>
    <row r="23" spans="1:13" s="334" customFormat="1" ht="11.45" customHeight="1">
      <c r="A23" s="327"/>
      <c r="B23" s="327" t="s">
        <v>586</v>
      </c>
      <c r="C23" s="328" t="s">
        <v>587</v>
      </c>
      <c r="D23" s="329">
        <v>1200</v>
      </c>
      <c r="E23" s="329">
        <f t="shared" si="6"/>
        <v>1186</v>
      </c>
      <c r="F23" s="330">
        <f t="shared" si="6"/>
        <v>0</v>
      </c>
      <c r="G23" s="331">
        <f t="shared" si="0"/>
        <v>0</v>
      </c>
      <c r="H23" s="332">
        <f>'MMMH reszletes'!D52</f>
        <v>0</v>
      </c>
      <c r="I23" s="333">
        <f>'MMMH reszletes'!E52</f>
        <v>0</v>
      </c>
      <c r="J23" s="332">
        <f>'MMMH reszletes'!F52/1000</f>
        <v>1186</v>
      </c>
      <c r="K23" s="333">
        <f>'MMMH reszletes'!G52/1000</f>
        <v>0</v>
      </c>
      <c r="L23" s="332">
        <f>'MMMH reszletes'!H52</f>
        <v>0</v>
      </c>
      <c r="M23" s="333">
        <f>'MMMH reszletes'!I52</f>
        <v>0</v>
      </c>
    </row>
    <row r="24" spans="1:13" s="334" customFormat="1" ht="11.45" customHeight="1">
      <c r="A24" s="327"/>
      <c r="B24" s="327" t="s">
        <v>588</v>
      </c>
      <c r="C24" s="328" t="s">
        <v>589</v>
      </c>
      <c r="D24" s="329">
        <v>0</v>
      </c>
      <c r="E24" s="329">
        <f t="shared" si="6"/>
        <v>0</v>
      </c>
      <c r="F24" s="330">
        <f t="shared" si="6"/>
        <v>0</v>
      </c>
      <c r="G24" s="331" t="e">
        <f t="shared" si="0"/>
        <v>#DIV/0!</v>
      </c>
      <c r="H24" s="332">
        <f>'MMMH reszletes'!D53</f>
        <v>0</v>
      </c>
      <c r="I24" s="333">
        <f>'MMMH reszletes'!E53</f>
        <v>0</v>
      </c>
      <c r="J24" s="332">
        <f>'MMMH reszletes'!F53/1000</f>
        <v>0</v>
      </c>
      <c r="K24" s="333">
        <f>'MMMH reszletes'!G53/1000</f>
        <v>0</v>
      </c>
      <c r="L24" s="332">
        <f>'MMMH reszletes'!H53</f>
        <v>0</v>
      </c>
      <c r="M24" s="333">
        <f>'MMMH reszletes'!I53</f>
        <v>0</v>
      </c>
    </row>
    <row r="25" spans="1:13" s="334" customFormat="1" ht="11.45" customHeight="1">
      <c r="A25" s="327"/>
      <c r="B25" s="327" t="s">
        <v>590</v>
      </c>
      <c r="C25" s="328" t="s">
        <v>880</v>
      </c>
      <c r="D25" s="329">
        <v>0</v>
      </c>
      <c r="E25" s="329">
        <f t="shared" si="6"/>
        <v>0</v>
      </c>
      <c r="F25" s="330">
        <f t="shared" si="6"/>
        <v>0</v>
      </c>
      <c r="G25" s="331" t="e">
        <f t="shared" si="0"/>
        <v>#DIV/0!</v>
      </c>
      <c r="H25" s="332">
        <f>'MMMH reszletes'!D54</f>
        <v>0</v>
      </c>
      <c r="I25" s="333">
        <f>'MMMH reszletes'!E54</f>
        <v>0</v>
      </c>
      <c r="J25" s="332">
        <f>'MMMH reszletes'!F54/1000</f>
        <v>0</v>
      </c>
      <c r="K25" s="333">
        <f>'MMMH reszletes'!G54/1000</f>
        <v>0</v>
      </c>
      <c r="L25" s="332">
        <f>'MMMH reszletes'!H54</f>
        <v>0</v>
      </c>
      <c r="M25" s="333">
        <f>'MMMH reszletes'!I54</f>
        <v>0</v>
      </c>
    </row>
    <row r="26" spans="1:13" s="334" customFormat="1" ht="11.45" customHeight="1">
      <c r="A26" s="327"/>
      <c r="B26" s="327" t="s">
        <v>592</v>
      </c>
      <c r="C26" s="328" t="s">
        <v>901</v>
      </c>
      <c r="D26" s="329">
        <v>0</v>
      </c>
      <c r="E26" s="329">
        <f t="shared" si="6"/>
        <v>0</v>
      </c>
      <c r="F26" s="330">
        <f t="shared" si="6"/>
        <v>0</v>
      </c>
      <c r="G26" s="331" t="e">
        <f t="shared" si="0"/>
        <v>#DIV/0!</v>
      </c>
      <c r="H26" s="332">
        <f>'MMMH reszletes'!D55</f>
        <v>0</v>
      </c>
      <c r="I26" s="333">
        <f>'MMMH reszletes'!E55</f>
        <v>0</v>
      </c>
      <c r="J26" s="332">
        <f>'MMMH reszletes'!F55/1000</f>
        <v>0</v>
      </c>
      <c r="K26" s="333">
        <f>'MMMH reszletes'!G55/1000</f>
        <v>0</v>
      </c>
      <c r="L26" s="332">
        <f>'MMMH reszletes'!H55</f>
        <v>0</v>
      </c>
      <c r="M26" s="333">
        <f>'MMMH reszletes'!I55</f>
        <v>0</v>
      </c>
    </row>
    <row r="27" spans="1:13" s="334" customFormat="1" ht="11.45" customHeight="1">
      <c r="A27" s="327"/>
      <c r="B27" s="327" t="s">
        <v>594</v>
      </c>
      <c r="C27" s="328" t="s">
        <v>595</v>
      </c>
      <c r="D27" s="329">
        <v>0</v>
      </c>
      <c r="E27" s="329">
        <f t="shared" si="6"/>
        <v>0</v>
      </c>
      <c r="F27" s="330">
        <f t="shared" si="6"/>
        <v>0</v>
      </c>
      <c r="G27" s="331" t="e">
        <f t="shared" si="0"/>
        <v>#DIV/0!</v>
      </c>
      <c r="H27" s="332">
        <f>'MMMH reszletes'!D56</f>
        <v>0</v>
      </c>
      <c r="I27" s="333">
        <f>'MMMH reszletes'!E56</f>
        <v>0</v>
      </c>
      <c r="J27" s="332">
        <f>'MMMH reszletes'!F56/1000</f>
        <v>0</v>
      </c>
      <c r="K27" s="333">
        <f>'MMMH reszletes'!G56/1000</f>
        <v>0</v>
      </c>
      <c r="L27" s="332">
        <f>'MMMH reszletes'!H56</f>
        <v>0</v>
      </c>
      <c r="M27" s="333">
        <f>'MMMH reszletes'!I56</f>
        <v>0</v>
      </c>
    </row>
    <row r="28" spans="1:13" s="317" customFormat="1" ht="12.75" customHeight="1">
      <c r="A28" s="322" t="s">
        <v>867</v>
      </c>
      <c r="B28" s="322" t="s">
        <v>598</v>
      </c>
      <c r="C28" s="323" t="s">
        <v>599</v>
      </c>
      <c r="D28" s="324">
        <v>0</v>
      </c>
      <c r="E28" s="324">
        <f t="shared" si="6"/>
        <v>0</v>
      </c>
      <c r="F28" s="324">
        <f t="shared" si="6"/>
        <v>0</v>
      </c>
      <c r="G28" s="325" t="e">
        <f t="shared" si="0"/>
        <v>#DIV/0!</v>
      </c>
      <c r="H28" s="326">
        <f>'MMMH reszletes'!D57</f>
        <v>0</v>
      </c>
      <c r="I28" s="326">
        <f>'MMMH reszletes'!E57</f>
        <v>0</v>
      </c>
      <c r="J28" s="326">
        <f>'MMMH reszletes'!F57/1000</f>
        <v>0</v>
      </c>
      <c r="K28" s="326">
        <f>'MMMH reszletes'!G57/1000</f>
        <v>0</v>
      </c>
      <c r="L28" s="326">
        <f>'MMMH reszletes'!H57</f>
        <v>0</v>
      </c>
      <c r="M28" s="326">
        <f>'MMMH reszletes'!I57</f>
        <v>0</v>
      </c>
    </row>
    <row r="29" spans="1:13" s="317" customFormat="1" ht="12.75" customHeight="1">
      <c r="A29" s="322" t="s">
        <v>868</v>
      </c>
      <c r="B29" s="322" t="s">
        <v>600</v>
      </c>
      <c r="C29" s="323" t="s">
        <v>601</v>
      </c>
      <c r="D29" s="324">
        <v>655</v>
      </c>
      <c r="E29" s="324">
        <f t="shared" si="6"/>
        <v>602.64</v>
      </c>
      <c r="F29" s="324">
        <f t="shared" si="6"/>
        <v>0</v>
      </c>
      <c r="G29" s="325">
        <f t="shared" si="0"/>
        <v>0</v>
      </c>
      <c r="H29" s="326">
        <f>'MMMH reszletes'!D58</f>
        <v>0</v>
      </c>
      <c r="I29" s="326">
        <f>'MMMH reszletes'!E58</f>
        <v>0</v>
      </c>
      <c r="J29" s="326">
        <f>'MMMH reszletes'!F58/1000</f>
        <v>602.64</v>
      </c>
      <c r="K29" s="326">
        <f>'MMMH reszletes'!G58/1000</f>
        <v>0</v>
      </c>
      <c r="L29" s="326">
        <f>'MMMH reszletes'!H58</f>
        <v>0</v>
      </c>
      <c r="M29" s="326">
        <f>'MMMH reszletes'!I58</f>
        <v>0</v>
      </c>
    </row>
    <row r="30" spans="1:13" s="317" customFormat="1" ht="12.75" customHeight="1">
      <c r="A30" s="322" t="s">
        <v>869</v>
      </c>
      <c r="B30" s="322" t="s">
        <v>603</v>
      </c>
      <c r="C30" s="323" t="s">
        <v>604</v>
      </c>
      <c r="D30" s="324">
        <v>100</v>
      </c>
      <c r="E30" s="324">
        <f t="shared" si="6"/>
        <v>0</v>
      </c>
      <c r="F30" s="324">
        <f t="shared" si="6"/>
        <v>0</v>
      </c>
      <c r="G30" s="325" t="e">
        <f t="shared" si="0"/>
        <v>#DIV/0!</v>
      </c>
      <c r="H30" s="326">
        <f>'MMMH reszletes'!D64</f>
        <v>0</v>
      </c>
      <c r="I30" s="326">
        <f>'MMMH reszletes'!E64</f>
        <v>0</v>
      </c>
      <c r="J30" s="326">
        <f>'MMMH reszletes'!F64</f>
        <v>0</v>
      </c>
      <c r="K30" s="326">
        <f>'MMMH reszletes'!G64/1000</f>
        <v>0</v>
      </c>
      <c r="L30" s="326">
        <f>'MMMH reszletes'!H64</f>
        <v>0</v>
      </c>
      <c r="M30" s="326">
        <f>'MMMH reszletes'!I64</f>
        <v>0</v>
      </c>
    </row>
    <row r="31" spans="1:13" s="317" customFormat="1" ht="12.75" customHeight="1">
      <c r="A31" s="322" t="s">
        <v>870</v>
      </c>
      <c r="B31" s="322" t="s">
        <v>609</v>
      </c>
      <c r="C31" s="323" t="s">
        <v>610</v>
      </c>
      <c r="D31" s="324">
        <f>SUM(D32:D33)</f>
        <v>0</v>
      </c>
      <c r="E31" s="324">
        <f>SUM(E32:E33)</f>
        <v>0</v>
      </c>
      <c r="F31" s="324">
        <f>SUM(F32:F33)</f>
        <v>0</v>
      </c>
      <c r="G31" s="325" t="e">
        <f t="shared" si="0"/>
        <v>#DIV/0!</v>
      </c>
      <c r="H31" s="326">
        <f t="shared" ref="H31:M31" si="7">SUM(H32:H33)</f>
        <v>0</v>
      </c>
      <c r="I31" s="326">
        <f t="shared" si="7"/>
        <v>0</v>
      </c>
      <c r="J31" s="326">
        <f t="shared" si="7"/>
        <v>0</v>
      </c>
      <c r="K31" s="326">
        <f t="shared" si="7"/>
        <v>0</v>
      </c>
      <c r="L31" s="326">
        <f t="shared" si="7"/>
        <v>0</v>
      </c>
      <c r="M31" s="326">
        <f t="shared" si="7"/>
        <v>0</v>
      </c>
    </row>
    <row r="32" spans="1:13" s="334" customFormat="1" ht="11.45" customHeight="1">
      <c r="A32" s="327"/>
      <c r="B32" s="327" t="s">
        <v>605</v>
      </c>
      <c r="C32" s="328" t="s">
        <v>606</v>
      </c>
      <c r="D32" s="329">
        <v>0</v>
      </c>
      <c r="E32" s="329">
        <f t="shared" ref="E32:F34" si="8">H32+J32+L32</f>
        <v>0</v>
      </c>
      <c r="F32" s="330">
        <f t="shared" si="8"/>
        <v>0</v>
      </c>
      <c r="G32" s="331" t="e">
        <f t="shared" si="0"/>
        <v>#DIV/0!</v>
      </c>
      <c r="H32" s="332">
        <f>'MMMH reszletes'!D67</f>
        <v>0</v>
      </c>
      <c r="I32" s="333">
        <f>'MMMH reszletes'!E67</f>
        <v>0</v>
      </c>
      <c r="J32" s="332">
        <f>'MMMH reszletes'!F67/1000</f>
        <v>0</v>
      </c>
      <c r="K32" s="333">
        <f>'MMMH reszletes'!G67/1000</f>
        <v>0</v>
      </c>
      <c r="L32" s="332">
        <f>'MMMH reszletes'!H67</f>
        <v>0</v>
      </c>
      <c r="M32" s="333">
        <f>'MMMH reszletes'!I67</f>
        <v>0</v>
      </c>
    </row>
    <row r="33" spans="1:13" s="334" customFormat="1" ht="11.45" customHeight="1">
      <c r="A33" s="327"/>
      <c r="B33" s="327" t="s">
        <v>607</v>
      </c>
      <c r="C33" s="328" t="s">
        <v>608</v>
      </c>
      <c r="D33" s="329">
        <v>0</v>
      </c>
      <c r="E33" s="329">
        <f t="shared" si="8"/>
        <v>0</v>
      </c>
      <c r="F33" s="330">
        <f t="shared" si="8"/>
        <v>0</v>
      </c>
      <c r="G33" s="331" t="e">
        <f t="shared" si="0"/>
        <v>#DIV/0!</v>
      </c>
      <c r="H33" s="332">
        <f>'MMMH reszletes'!D68</f>
        <v>0</v>
      </c>
      <c r="I33" s="333">
        <f>'MMMH reszletes'!E68</f>
        <v>0</v>
      </c>
      <c r="J33" s="332">
        <f>'MMMH reszletes'!F68/1000</f>
        <v>0</v>
      </c>
      <c r="K33" s="333">
        <f>'MMMH reszletes'!G68/1000</f>
        <v>0</v>
      </c>
      <c r="L33" s="332">
        <f>'MMMH reszletes'!H68</f>
        <v>0</v>
      </c>
      <c r="M33" s="333">
        <f>'MMMH reszletes'!I68</f>
        <v>0</v>
      </c>
    </row>
    <row r="34" spans="1:13" s="317" customFormat="1" ht="12.75" customHeight="1">
      <c r="A34" s="322" t="s">
        <v>871</v>
      </c>
      <c r="B34" s="322" t="s">
        <v>611</v>
      </c>
      <c r="C34" s="323" t="s">
        <v>612</v>
      </c>
      <c r="D34" s="324">
        <v>0</v>
      </c>
      <c r="E34" s="324">
        <f t="shared" si="8"/>
        <v>0</v>
      </c>
      <c r="F34" s="324">
        <f t="shared" si="8"/>
        <v>0</v>
      </c>
      <c r="G34" s="325" t="e">
        <f t="shared" si="0"/>
        <v>#DIV/0!</v>
      </c>
      <c r="H34" s="326">
        <f>'MMMH reszletes'!D69</f>
        <v>0</v>
      </c>
      <c r="I34" s="326">
        <f>'MMMH reszletes'!E69</f>
        <v>0</v>
      </c>
      <c r="J34" s="326">
        <f>'MMMH reszletes'!F69/1000</f>
        <v>0</v>
      </c>
      <c r="K34" s="326">
        <f>'MMMH reszletes'!G69/1000</f>
        <v>0</v>
      </c>
      <c r="L34" s="326">
        <f>'MMMH reszletes'!H69</f>
        <v>0</v>
      </c>
      <c r="M34" s="326">
        <f>'MMMH reszletes'!I69</f>
        <v>0</v>
      </c>
    </row>
    <row r="35" spans="1:13" s="317" customFormat="1" ht="12.75" customHeight="1">
      <c r="A35" s="322" t="s">
        <v>872</v>
      </c>
      <c r="B35" s="322" t="s">
        <v>625</v>
      </c>
      <c r="C35" s="323" t="s">
        <v>902</v>
      </c>
      <c r="D35" s="324">
        <f>SUM(D36:D41)</f>
        <v>1618</v>
      </c>
      <c r="E35" s="324">
        <f>SUM(E36:E41)</f>
        <v>1944.3</v>
      </c>
      <c r="F35" s="324">
        <f>SUM(F36:F41)</f>
        <v>0</v>
      </c>
      <c r="G35" s="325">
        <f t="shared" si="0"/>
        <v>0</v>
      </c>
      <c r="H35" s="326">
        <f t="shared" ref="H35:M35" si="9">SUM(H36:H41)</f>
        <v>0</v>
      </c>
      <c r="I35" s="326">
        <f t="shared" si="9"/>
        <v>0</v>
      </c>
      <c r="J35" s="326">
        <f t="shared" si="9"/>
        <v>1944.3</v>
      </c>
      <c r="K35" s="326">
        <f t="shared" si="9"/>
        <v>0</v>
      </c>
      <c r="L35" s="326">
        <f t="shared" si="9"/>
        <v>0</v>
      </c>
      <c r="M35" s="326">
        <f t="shared" si="9"/>
        <v>0</v>
      </c>
    </row>
    <row r="36" spans="1:13" s="334" customFormat="1" ht="11.45" customHeight="1">
      <c r="A36" s="327"/>
      <c r="B36" s="327" t="s">
        <v>613</v>
      </c>
      <c r="C36" s="328" t="s">
        <v>614</v>
      </c>
      <c r="D36" s="329">
        <v>0</v>
      </c>
      <c r="E36" s="329">
        <f t="shared" ref="E36:F41" si="10">H36+J36+L36</f>
        <v>0</v>
      </c>
      <c r="F36" s="330">
        <f t="shared" si="10"/>
        <v>0</v>
      </c>
      <c r="G36" s="331" t="e">
        <f t="shared" si="0"/>
        <v>#DIV/0!</v>
      </c>
      <c r="H36" s="332">
        <f>'MMMH reszletes'!D71</f>
        <v>0</v>
      </c>
      <c r="I36" s="333">
        <f>'MMMH reszletes'!E71</f>
        <v>0</v>
      </c>
      <c r="J36" s="332">
        <f>'MMMH reszletes'!F71/1000</f>
        <v>0</v>
      </c>
      <c r="K36" s="333">
        <f>'MMMH reszletes'!G71/1000</f>
        <v>0</v>
      </c>
      <c r="L36" s="332">
        <f>'MMMH reszletes'!H71</f>
        <v>0</v>
      </c>
      <c r="M36" s="333">
        <f>'MMMH reszletes'!I71</f>
        <v>0</v>
      </c>
    </row>
    <row r="37" spans="1:13" s="334" customFormat="1" ht="11.45" customHeight="1">
      <c r="A37" s="327"/>
      <c r="B37" s="327" t="s">
        <v>615</v>
      </c>
      <c r="C37" s="328" t="s">
        <v>616</v>
      </c>
      <c r="D37" s="329">
        <v>0</v>
      </c>
      <c r="E37" s="329">
        <f t="shared" si="10"/>
        <v>0</v>
      </c>
      <c r="F37" s="330">
        <f t="shared" si="10"/>
        <v>0</v>
      </c>
      <c r="G37" s="331" t="e">
        <f t="shared" si="0"/>
        <v>#DIV/0!</v>
      </c>
      <c r="H37" s="332">
        <f>'MMMH reszletes'!D72</f>
        <v>0</v>
      </c>
      <c r="I37" s="333">
        <f>'MMMH reszletes'!E72</f>
        <v>0</v>
      </c>
      <c r="J37" s="332">
        <f>'MMMH reszletes'!F72/1000</f>
        <v>0</v>
      </c>
      <c r="K37" s="333">
        <f>'MMMH reszletes'!G72/1000</f>
        <v>0</v>
      </c>
      <c r="L37" s="332">
        <f>'MMMH reszletes'!H72</f>
        <v>0</v>
      </c>
      <c r="M37" s="333">
        <f>'MMMH reszletes'!I72</f>
        <v>0</v>
      </c>
    </row>
    <row r="38" spans="1:13" s="334" customFormat="1" ht="11.45" customHeight="1">
      <c r="A38" s="327"/>
      <c r="B38" s="327" t="s">
        <v>617</v>
      </c>
      <c r="C38" s="328" t="s">
        <v>618</v>
      </c>
      <c r="D38" s="329">
        <v>0</v>
      </c>
      <c r="E38" s="329">
        <f t="shared" si="10"/>
        <v>0</v>
      </c>
      <c r="F38" s="330">
        <f t="shared" si="10"/>
        <v>0</v>
      </c>
      <c r="G38" s="331" t="e">
        <f t="shared" si="0"/>
        <v>#DIV/0!</v>
      </c>
      <c r="H38" s="332">
        <f>'MMMH reszletes'!D73</f>
        <v>0</v>
      </c>
      <c r="I38" s="333">
        <f>'MMMH reszletes'!E73</f>
        <v>0</v>
      </c>
      <c r="J38" s="332">
        <f>'MMMH reszletes'!F73/1000</f>
        <v>0</v>
      </c>
      <c r="K38" s="333">
        <f>'MMMH reszletes'!G73/1000</f>
        <v>0</v>
      </c>
      <c r="L38" s="332">
        <f>'MMMH reszletes'!H73</f>
        <v>0</v>
      </c>
      <c r="M38" s="333">
        <f>'MMMH reszletes'!I73</f>
        <v>0</v>
      </c>
    </row>
    <row r="39" spans="1:13" s="334" customFormat="1" ht="11.45" customHeight="1">
      <c r="A39" s="327"/>
      <c r="B39" s="327" t="s">
        <v>619</v>
      </c>
      <c r="C39" s="328" t="s">
        <v>620</v>
      </c>
      <c r="D39" s="329">
        <v>0</v>
      </c>
      <c r="E39" s="329">
        <f t="shared" si="10"/>
        <v>0</v>
      </c>
      <c r="F39" s="330">
        <f t="shared" si="10"/>
        <v>0</v>
      </c>
      <c r="G39" s="331" t="e">
        <f t="shared" si="0"/>
        <v>#DIV/0!</v>
      </c>
      <c r="H39" s="332">
        <f>'MMMH reszletes'!D74</f>
        <v>0</v>
      </c>
      <c r="I39" s="333">
        <f>'MMMH reszletes'!E74</f>
        <v>0</v>
      </c>
      <c r="J39" s="332">
        <f>'MMMH reszletes'!F74/1000</f>
        <v>0</v>
      </c>
      <c r="K39" s="333">
        <f>'MMMH reszletes'!G74/1000</f>
        <v>0</v>
      </c>
      <c r="L39" s="332">
        <f>'MMMH reszletes'!H74</f>
        <v>0</v>
      </c>
      <c r="M39" s="333">
        <f>'MMMH reszletes'!I74</f>
        <v>0</v>
      </c>
    </row>
    <row r="40" spans="1:13" s="334" customFormat="1" ht="11.45" customHeight="1">
      <c r="A40" s="327"/>
      <c r="B40" s="327" t="s">
        <v>621</v>
      </c>
      <c r="C40" s="328" t="s">
        <v>622</v>
      </c>
      <c r="D40" s="329">
        <v>0</v>
      </c>
      <c r="E40" s="329">
        <f t="shared" si="10"/>
        <v>0</v>
      </c>
      <c r="F40" s="330">
        <f t="shared" si="10"/>
        <v>0</v>
      </c>
      <c r="G40" s="331" t="e">
        <f t="shared" si="0"/>
        <v>#DIV/0!</v>
      </c>
      <c r="H40" s="332">
        <f>'MMMH reszletes'!D75</f>
        <v>0</v>
      </c>
      <c r="I40" s="333">
        <f>'MMMH reszletes'!E75</f>
        <v>0</v>
      </c>
      <c r="J40" s="332">
        <f>'MMMH reszletes'!F75/1000</f>
        <v>0</v>
      </c>
      <c r="K40" s="333">
        <f>'MMMH reszletes'!G75/1000</f>
        <v>0</v>
      </c>
      <c r="L40" s="332">
        <f>'MMMH reszletes'!H75</f>
        <v>0</v>
      </c>
      <c r="M40" s="333">
        <f>'MMMH reszletes'!I75</f>
        <v>0</v>
      </c>
    </row>
    <row r="41" spans="1:13" s="334" customFormat="1" ht="11.45" customHeight="1">
      <c r="A41" s="327"/>
      <c r="B41" s="327" t="s">
        <v>623</v>
      </c>
      <c r="C41" s="328" t="s">
        <v>624</v>
      </c>
      <c r="D41" s="329">
        <v>1618</v>
      </c>
      <c r="E41" s="329">
        <f t="shared" si="10"/>
        <v>1944.3</v>
      </c>
      <c r="F41" s="330">
        <f t="shared" si="10"/>
        <v>0</v>
      </c>
      <c r="G41" s="331">
        <f t="shared" si="0"/>
        <v>0</v>
      </c>
      <c r="H41" s="332">
        <f>'MMMH reszletes'!D76</f>
        <v>0</v>
      </c>
      <c r="I41" s="333">
        <f>'MMMH reszletes'!E76</f>
        <v>0</v>
      </c>
      <c r="J41" s="332">
        <f>'MMMH reszletes'!F76/1000</f>
        <v>1944.3</v>
      </c>
      <c r="K41" s="333">
        <f>'MMMH reszletes'!G76/1000</f>
        <v>0</v>
      </c>
      <c r="L41" s="332">
        <f>'MMMH reszletes'!H76</f>
        <v>0</v>
      </c>
      <c r="M41" s="333">
        <f>'MMMH reszletes'!I76</f>
        <v>0</v>
      </c>
    </row>
    <row r="42" spans="1:13" s="317" customFormat="1" ht="12.75" customHeight="1">
      <c r="A42" s="335" t="s">
        <v>873</v>
      </c>
      <c r="B42" s="335" t="s">
        <v>627</v>
      </c>
      <c r="C42" s="336" t="s">
        <v>628</v>
      </c>
      <c r="D42" s="337">
        <f>D6+D13+D14+D15+D18+D19+D20+D28+D29+D30+D31+D34+D35</f>
        <v>28648</v>
      </c>
      <c r="E42" s="337">
        <f>E6+E13+E14+E15+E18+E19+E20+E28+E29+E30+E31+E34+E35</f>
        <v>29280.539999999997</v>
      </c>
      <c r="F42" s="337">
        <f>F6+F13+F14+F15+F18+F19+F20+F28+F29+F30+F31+F34+F35</f>
        <v>0</v>
      </c>
      <c r="G42" s="338">
        <f t="shared" si="0"/>
        <v>0</v>
      </c>
      <c r="H42" s="339">
        <f t="shared" ref="H42:M42" si="11">H6+H13+H14+H15+H18+H19+H20+H28+H29+H30+H31+H34+H35</f>
        <v>0</v>
      </c>
      <c r="I42" s="339">
        <f t="shared" si="11"/>
        <v>0</v>
      </c>
      <c r="J42" s="339">
        <f t="shared" si="11"/>
        <v>29280.539999999997</v>
      </c>
      <c r="K42" s="339">
        <f t="shared" si="11"/>
        <v>0</v>
      </c>
      <c r="L42" s="339">
        <f t="shared" si="11"/>
        <v>0</v>
      </c>
      <c r="M42" s="339">
        <f t="shared" si="11"/>
        <v>0</v>
      </c>
    </row>
    <row r="43" spans="1:13" s="317" customFormat="1" ht="12.75" customHeight="1">
      <c r="A43" s="322" t="s">
        <v>874</v>
      </c>
      <c r="B43" s="322" t="s">
        <v>633</v>
      </c>
      <c r="C43" s="323" t="s">
        <v>634</v>
      </c>
      <c r="D43" s="324">
        <f>SUM(D44:D45)</f>
        <v>0</v>
      </c>
      <c r="E43" s="324">
        <f>SUM(E44:E45)</f>
        <v>0</v>
      </c>
      <c r="F43" s="324">
        <f>SUM(F44:F45)</f>
        <v>0</v>
      </c>
      <c r="G43" s="325" t="e">
        <f t="shared" si="0"/>
        <v>#DIV/0!</v>
      </c>
      <c r="H43" s="326">
        <f t="shared" ref="H43:M43" si="12">SUM(H44:H45)</f>
        <v>0</v>
      </c>
      <c r="I43" s="326">
        <f t="shared" si="12"/>
        <v>0</v>
      </c>
      <c r="J43" s="326">
        <f t="shared" si="12"/>
        <v>0</v>
      </c>
      <c r="K43" s="326">
        <f t="shared" si="12"/>
        <v>0</v>
      </c>
      <c r="L43" s="326">
        <f t="shared" si="12"/>
        <v>0</v>
      </c>
      <c r="M43" s="326">
        <f t="shared" si="12"/>
        <v>0</v>
      </c>
    </row>
    <row r="44" spans="1:13" s="334" customFormat="1" ht="11.45" customHeight="1">
      <c r="A44" s="327"/>
      <c r="B44" s="327" t="s">
        <v>629</v>
      </c>
      <c r="C44" s="328" t="s">
        <v>630</v>
      </c>
      <c r="D44" s="329">
        <v>0</v>
      </c>
      <c r="E44" s="329">
        <f>H44+J44+L44</f>
        <v>0</v>
      </c>
      <c r="F44" s="330">
        <f>I44+K44+M44</f>
        <v>0</v>
      </c>
      <c r="G44" s="331" t="e">
        <f t="shared" si="0"/>
        <v>#DIV/0!</v>
      </c>
      <c r="H44" s="332">
        <f>'MMMH reszletes'!D92</f>
        <v>0</v>
      </c>
      <c r="I44" s="333">
        <f>'MMMH reszletes'!E92</f>
        <v>0</v>
      </c>
      <c r="J44" s="332">
        <f>'MMMH reszletes'!F92/1000</f>
        <v>0</v>
      </c>
      <c r="K44" s="333">
        <f>'MMMH reszletes'!G92/1000</f>
        <v>0</v>
      </c>
      <c r="L44" s="332">
        <f>'MMMH reszletes'!H92</f>
        <v>0</v>
      </c>
      <c r="M44" s="333">
        <f>'MMMH reszletes'!I92</f>
        <v>0</v>
      </c>
    </row>
    <row r="45" spans="1:13" s="334" customFormat="1" ht="11.45" customHeight="1">
      <c r="A45" s="327"/>
      <c r="B45" s="327" t="s">
        <v>631</v>
      </c>
      <c r="C45" s="328" t="s">
        <v>632</v>
      </c>
      <c r="D45" s="329">
        <v>0</v>
      </c>
      <c r="E45" s="329">
        <f>H45+J45+L45</f>
        <v>0</v>
      </c>
      <c r="F45" s="330">
        <f>I45+K45+M45</f>
        <v>0</v>
      </c>
      <c r="G45" s="331" t="e">
        <f t="shared" si="0"/>
        <v>#DIV/0!</v>
      </c>
      <c r="H45" s="332">
        <f>'MMMH reszletes'!D93</f>
        <v>0</v>
      </c>
      <c r="I45" s="333">
        <f>'MMMH reszletes'!E93</f>
        <v>0</v>
      </c>
      <c r="J45" s="332">
        <f>'MMMH reszletes'!F93/1000</f>
        <v>0</v>
      </c>
      <c r="K45" s="333">
        <f>'MMMH reszletes'!G93/1000</f>
        <v>0</v>
      </c>
      <c r="L45" s="332">
        <f>'MMMH reszletes'!H93</f>
        <v>0</v>
      </c>
      <c r="M45" s="333">
        <f>'MMMH reszletes'!I93</f>
        <v>0</v>
      </c>
    </row>
    <row r="46" spans="1:13" s="317" customFormat="1" ht="12.75" customHeight="1">
      <c r="A46" s="322" t="s">
        <v>875</v>
      </c>
      <c r="B46" s="322" t="s">
        <v>640</v>
      </c>
      <c r="C46" s="323" t="s">
        <v>903</v>
      </c>
      <c r="D46" s="324">
        <f>SUM(D47:D48)</f>
        <v>1900</v>
      </c>
      <c r="E46" s="324">
        <f>SUM(E47:E48)</f>
        <v>1900</v>
      </c>
      <c r="F46" s="324">
        <f>SUM(F47:F48)</f>
        <v>0</v>
      </c>
      <c r="G46" s="325">
        <f t="shared" si="0"/>
        <v>0</v>
      </c>
      <c r="H46" s="326">
        <f t="shared" ref="H46:M46" si="13">SUM(H47:H48)</f>
        <v>0</v>
      </c>
      <c r="I46" s="326">
        <f t="shared" si="13"/>
        <v>0</v>
      </c>
      <c r="J46" s="326">
        <f t="shared" si="13"/>
        <v>1900</v>
      </c>
      <c r="K46" s="326">
        <f t="shared" si="13"/>
        <v>0</v>
      </c>
      <c r="L46" s="326">
        <f t="shared" si="13"/>
        <v>0</v>
      </c>
      <c r="M46" s="326">
        <f t="shared" si="13"/>
        <v>0</v>
      </c>
    </row>
    <row r="47" spans="1:13" s="334" customFormat="1" ht="11.45" customHeight="1">
      <c r="A47" s="327"/>
      <c r="B47" s="327" t="s">
        <v>635</v>
      </c>
      <c r="C47" s="328" t="s">
        <v>636</v>
      </c>
      <c r="D47" s="329">
        <v>1900</v>
      </c>
      <c r="E47" s="329">
        <f>H47+J47+L47</f>
        <v>1900</v>
      </c>
      <c r="F47" s="330">
        <f>I47+K47+M47</f>
        <v>0</v>
      </c>
      <c r="G47" s="331">
        <f t="shared" si="0"/>
        <v>0</v>
      </c>
      <c r="H47" s="332">
        <f>'MMMH reszletes'!D95</f>
        <v>0</v>
      </c>
      <c r="I47" s="333">
        <f>'MMMH reszletes'!E95</f>
        <v>0</v>
      </c>
      <c r="J47" s="332">
        <f>'MMMH reszletes'!F95/1000</f>
        <v>1900</v>
      </c>
      <c r="K47" s="333">
        <f>'MMMH reszletes'!G95/1000</f>
        <v>0</v>
      </c>
      <c r="L47" s="332">
        <f>'MMMH reszletes'!H95</f>
        <v>0</v>
      </c>
      <c r="M47" s="333">
        <f>'MMMH reszletes'!I95</f>
        <v>0</v>
      </c>
    </row>
    <row r="48" spans="1:13" s="334" customFormat="1" ht="11.45" customHeight="1">
      <c r="A48" s="327"/>
      <c r="B48" s="327" t="s">
        <v>638</v>
      </c>
      <c r="C48" s="328" t="s">
        <v>639</v>
      </c>
      <c r="D48" s="329">
        <v>0</v>
      </c>
      <c r="E48" s="329">
        <f>H48+J48+L48</f>
        <v>0</v>
      </c>
      <c r="F48" s="330">
        <f>I48+K48+M48</f>
        <v>0</v>
      </c>
      <c r="G48" s="331" t="e">
        <f t="shared" si="0"/>
        <v>#DIV/0!</v>
      </c>
      <c r="H48" s="332">
        <f>'MMMH reszletes'!D102</f>
        <v>0</v>
      </c>
      <c r="I48" s="333">
        <f>'MMMH reszletes'!E102</f>
        <v>0</v>
      </c>
      <c r="J48" s="332">
        <f>'MMMH reszletes'!F102/1000</f>
        <v>0</v>
      </c>
      <c r="K48" s="333">
        <f>'MMMH reszletes'!G102</f>
        <v>0</v>
      </c>
      <c r="L48" s="332">
        <f>'MMMH reszletes'!H102</f>
        <v>0</v>
      </c>
      <c r="M48" s="333">
        <f>'MMMH reszletes'!I102</f>
        <v>0</v>
      </c>
    </row>
    <row r="49" spans="1:13" s="317" customFormat="1" ht="12.75" customHeight="1">
      <c r="A49" s="322" t="s">
        <v>876</v>
      </c>
      <c r="B49" s="322" t="s">
        <v>657</v>
      </c>
      <c r="C49" s="323" t="s">
        <v>658</v>
      </c>
      <c r="D49" s="324">
        <f>SUM(D50:D56)</f>
        <v>0</v>
      </c>
      <c r="E49" s="324">
        <f>SUM(E50:E56)</f>
        <v>641.4</v>
      </c>
      <c r="F49" s="324">
        <f>SUM(F50:F56)</f>
        <v>0</v>
      </c>
      <c r="G49" s="325">
        <f t="shared" si="0"/>
        <v>0</v>
      </c>
      <c r="H49" s="326">
        <f t="shared" ref="H49:M49" si="14">SUM(H50:H56)</f>
        <v>0</v>
      </c>
      <c r="I49" s="326">
        <f t="shared" si="14"/>
        <v>0</v>
      </c>
      <c r="J49" s="326">
        <f t="shared" si="14"/>
        <v>641.4</v>
      </c>
      <c r="K49" s="326">
        <f t="shared" si="14"/>
        <v>0</v>
      </c>
      <c r="L49" s="326">
        <f t="shared" si="14"/>
        <v>0</v>
      </c>
      <c r="M49" s="326">
        <f t="shared" si="14"/>
        <v>0</v>
      </c>
    </row>
    <row r="50" spans="1:13" s="334" customFormat="1" ht="11.45" customHeight="1">
      <c r="A50" s="327"/>
      <c r="B50" s="327" t="s">
        <v>642</v>
      </c>
      <c r="C50" s="328" t="s">
        <v>904</v>
      </c>
      <c r="D50" s="329">
        <v>0</v>
      </c>
      <c r="E50" s="329">
        <f t="shared" ref="E50:F56" si="15">H50+J50+L50</f>
        <v>0</v>
      </c>
      <c r="F50" s="330">
        <f t="shared" si="15"/>
        <v>0</v>
      </c>
      <c r="G50" s="331" t="e">
        <f t="shared" si="0"/>
        <v>#DIV/0!</v>
      </c>
      <c r="H50" s="332">
        <f>'MMMH reszletes'!D104</f>
        <v>0</v>
      </c>
      <c r="I50" s="333">
        <f>'MMMH reszletes'!E104</f>
        <v>0</v>
      </c>
      <c r="J50" s="332">
        <f>'MMMH reszletes'!F104/1000</f>
        <v>0</v>
      </c>
      <c r="K50" s="333">
        <f>'MMMH reszletes'!G104/1000</f>
        <v>0</v>
      </c>
      <c r="L50" s="332">
        <f>'MMMH reszletes'!H104</f>
        <v>0</v>
      </c>
      <c r="M50" s="333">
        <f>'MMMH reszletes'!I104</f>
        <v>0</v>
      </c>
    </row>
    <row r="51" spans="1:13" s="334" customFormat="1" ht="11.45" customHeight="1">
      <c r="A51" s="327"/>
      <c r="B51" s="327" t="s">
        <v>644</v>
      </c>
      <c r="C51" s="328" t="s">
        <v>905</v>
      </c>
      <c r="D51" s="329">
        <v>0</v>
      </c>
      <c r="E51" s="329">
        <f t="shared" si="15"/>
        <v>0</v>
      </c>
      <c r="F51" s="330">
        <f t="shared" si="15"/>
        <v>0</v>
      </c>
      <c r="G51" s="331" t="e">
        <f t="shared" si="0"/>
        <v>#DIV/0!</v>
      </c>
      <c r="H51" s="332">
        <f>'MMMH reszletes'!D105</f>
        <v>0</v>
      </c>
      <c r="I51" s="333">
        <f>'MMMH reszletes'!E105</f>
        <v>0</v>
      </c>
      <c r="J51" s="332">
        <f>'MMMH reszletes'!F105/1000</f>
        <v>0</v>
      </c>
      <c r="K51" s="333">
        <f>'MMMH reszletes'!G105/1000</f>
        <v>0</v>
      </c>
      <c r="L51" s="332">
        <f>'MMMH reszletes'!H105</f>
        <v>0</v>
      </c>
      <c r="M51" s="333">
        <f>'MMMH reszletes'!I105</f>
        <v>0</v>
      </c>
    </row>
    <row r="52" spans="1:13" s="334" customFormat="1" ht="11.45" customHeight="1">
      <c r="A52" s="327"/>
      <c r="B52" s="327" t="s">
        <v>906</v>
      </c>
      <c r="C52" s="328" t="s">
        <v>647</v>
      </c>
      <c r="D52" s="329">
        <v>0</v>
      </c>
      <c r="E52" s="329">
        <f t="shared" si="15"/>
        <v>0</v>
      </c>
      <c r="F52" s="330">
        <f t="shared" si="15"/>
        <v>0</v>
      </c>
      <c r="G52" s="331" t="e">
        <f t="shared" si="0"/>
        <v>#DIV/0!</v>
      </c>
      <c r="H52" s="332">
        <f>'MMMH reszletes'!D106</f>
        <v>0</v>
      </c>
      <c r="I52" s="333">
        <f>'MMMH reszletes'!E106</f>
        <v>0</v>
      </c>
      <c r="J52" s="332">
        <f>'MMMH reszletes'!F106/1000</f>
        <v>0</v>
      </c>
      <c r="K52" s="333">
        <f>'MMMH reszletes'!G106/1000</f>
        <v>0</v>
      </c>
      <c r="L52" s="332">
        <f>'MMMH reszletes'!H106</f>
        <v>0</v>
      </c>
      <c r="M52" s="333">
        <f>'MMMH reszletes'!I106</f>
        <v>0</v>
      </c>
    </row>
    <row r="53" spans="1:13" s="334" customFormat="1" ht="11.45" customHeight="1">
      <c r="A53" s="327"/>
      <c r="B53" s="327" t="s">
        <v>646</v>
      </c>
      <c r="C53" s="328" t="s">
        <v>649</v>
      </c>
      <c r="D53" s="329">
        <v>0</v>
      </c>
      <c r="E53" s="329">
        <f t="shared" si="15"/>
        <v>341.4</v>
      </c>
      <c r="F53" s="330">
        <f t="shared" si="15"/>
        <v>0</v>
      </c>
      <c r="G53" s="331">
        <f t="shared" si="0"/>
        <v>0</v>
      </c>
      <c r="H53" s="332">
        <f>'MMMH reszletes'!D107</f>
        <v>0</v>
      </c>
      <c r="I53" s="333">
        <f>'MMMH reszletes'!E107</f>
        <v>0</v>
      </c>
      <c r="J53" s="332">
        <f>'MMMH reszletes'!F107/1000</f>
        <v>341.4</v>
      </c>
      <c r="K53" s="333">
        <f>'MMMH reszletes'!G107/1000</f>
        <v>0</v>
      </c>
      <c r="L53" s="332">
        <f>'MMMH reszletes'!H107</f>
        <v>0</v>
      </c>
      <c r="M53" s="333">
        <f>'MMMH reszletes'!I107</f>
        <v>0</v>
      </c>
    </row>
    <row r="54" spans="1:13" s="334" customFormat="1" ht="11.45" customHeight="1">
      <c r="A54" s="327"/>
      <c r="B54" s="327" t="s">
        <v>648</v>
      </c>
      <c r="C54" s="328" t="s">
        <v>907</v>
      </c>
      <c r="D54" s="329">
        <v>0</v>
      </c>
      <c r="E54" s="329">
        <f t="shared" si="15"/>
        <v>0</v>
      </c>
      <c r="F54" s="330">
        <f t="shared" si="15"/>
        <v>0</v>
      </c>
      <c r="G54" s="331" t="e">
        <f t="shared" si="0"/>
        <v>#DIV/0!</v>
      </c>
      <c r="H54" s="332">
        <f>'MMMH reszletes'!D108</f>
        <v>0</v>
      </c>
      <c r="I54" s="333">
        <f>'MMMH reszletes'!E108</f>
        <v>0</v>
      </c>
      <c r="J54" s="332">
        <f>'MMMH reszletes'!F108/1000</f>
        <v>0</v>
      </c>
      <c r="K54" s="333">
        <f>'MMMH reszletes'!G108/1000</f>
        <v>0</v>
      </c>
      <c r="L54" s="332">
        <f>'MMMH reszletes'!H108</f>
        <v>0</v>
      </c>
      <c r="M54" s="333">
        <f>'MMMH reszletes'!I108</f>
        <v>0</v>
      </c>
    </row>
    <row r="55" spans="1:13" s="334" customFormat="1" ht="11.45" customHeight="1">
      <c r="A55" s="327"/>
      <c r="B55" s="327" t="s">
        <v>650</v>
      </c>
      <c r="C55" s="328" t="s">
        <v>653</v>
      </c>
      <c r="D55" s="329">
        <v>0</v>
      </c>
      <c r="E55" s="329">
        <f t="shared" si="15"/>
        <v>300</v>
      </c>
      <c r="F55" s="330">
        <f t="shared" si="15"/>
        <v>0</v>
      </c>
      <c r="G55" s="331">
        <f t="shared" si="0"/>
        <v>0</v>
      </c>
      <c r="H55" s="332">
        <f>'MMMH reszletes'!D109/1000</f>
        <v>0</v>
      </c>
      <c r="I55" s="333">
        <f>'MMMH reszletes'!E109</f>
        <v>0</v>
      </c>
      <c r="J55" s="332">
        <f>'MMMH reszletes'!F109/1000</f>
        <v>300</v>
      </c>
      <c r="K55" s="333">
        <f>'MMMH reszletes'!G109/1000</f>
        <v>0</v>
      </c>
      <c r="L55" s="332">
        <f>'MMMH reszletes'!H109</f>
        <v>0</v>
      </c>
      <c r="M55" s="333">
        <f>'MMMH reszletes'!I109</f>
        <v>0</v>
      </c>
    </row>
    <row r="56" spans="1:13" s="334" customFormat="1" ht="11.45" customHeight="1">
      <c r="A56" s="327"/>
      <c r="B56" s="327" t="s">
        <v>655</v>
      </c>
      <c r="C56" s="328" t="s">
        <v>908</v>
      </c>
      <c r="D56" s="329">
        <v>0</v>
      </c>
      <c r="E56" s="329">
        <f t="shared" si="15"/>
        <v>0</v>
      </c>
      <c r="F56" s="330">
        <f t="shared" si="15"/>
        <v>0</v>
      </c>
      <c r="G56" s="331" t="e">
        <f t="shared" si="0"/>
        <v>#DIV/0!</v>
      </c>
      <c r="H56" s="332">
        <f>'MMMH reszletes'!D110</f>
        <v>0</v>
      </c>
      <c r="I56" s="333">
        <f>'MMMH reszletes'!E110</f>
        <v>0</v>
      </c>
      <c r="J56" s="332">
        <f>'MMMH reszletes'!F110/1000</f>
        <v>0</v>
      </c>
      <c r="K56" s="333">
        <f>'MMMH reszletes'!G110/1000</f>
        <v>0</v>
      </c>
      <c r="L56" s="332">
        <f>'MMMH reszletes'!H110</f>
        <v>0</v>
      </c>
      <c r="M56" s="333">
        <f>'MMMH reszletes'!I110</f>
        <v>0</v>
      </c>
    </row>
    <row r="57" spans="1:13" s="317" customFormat="1" ht="12.75" customHeight="1">
      <c r="A57" s="335" t="s">
        <v>877</v>
      </c>
      <c r="B57" s="335" t="s">
        <v>659</v>
      </c>
      <c r="C57" s="336" t="s">
        <v>660</v>
      </c>
      <c r="D57" s="337">
        <f>D43+D46+D49</f>
        <v>1900</v>
      </c>
      <c r="E57" s="337">
        <f>E43+E46+E49</f>
        <v>2541.4</v>
      </c>
      <c r="F57" s="337">
        <f>F43+F46+F49</f>
        <v>0</v>
      </c>
      <c r="G57" s="338">
        <f t="shared" si="0"/>
        <v>0</v>
      </c>
      <c r="H57" s="339">
        <f t="shared" ref="H57:M57" si="16">H43+H46+H49</f>
        <v>0</v>
      </c>
      <c r="I57" s="339">
        <f t="shared" si="16"/>
        <v>0</v>
      </c>
      <c r="J57" s="339">
        <f t="shared" si="16"/>
        <v>2541.4</v>
      </c>
      <c r="K57" s="339">
        <f t="shared" si="16"/>
        <v>0</v>
      </c>
      <c r="L57" s="339">
        <f t="shared" si="16"/>
        <v>0</v>
      </c>
      <c r="M57" s="339">
        <f t="shared" si="16"/>
        <v>0</v>
      </c>
    </row>
    <row r="58" spans="1:13" s="317" customFormat="1" ht="12.75" customHeight="1">
      <c r="A58" s="340" t="s">
        <v>878</v>
      </c>
      <c r="B58" s="340" t="s">
        <v>661</v>
      </c>
      <c r="C58" s="341" t="s">
        <v>662</v>
      </c>
      <c r="D58" s="342">
        <f>D42+D57</f>
        <v>30548</v>
      </c>
      <c r="E58" s="342">
        <f>ROUND(E42+E57,0)</f>
        <v>31822</v>
      </c>
      <c r="F58" s="342">
        <f>F42+F57</f>
        <v>0</v>
      </c>
      <c r="G58" s="343">
        <f t="shared" si="0"/>
        <v>0</v>
      </c>
      <c r="H58" s="344">
        <f t="shared" ref="H58:M58" si="17">H42+H57</f>
        <v>0</v>
      </c>
      <c r="I58" s="344">
        <f t="shared" si="17"/>
        <v>0</v>
      </c>
      <c r="J58" s="344">
        <f>ROUND(J42+J57,0)</f>
        <v>31822</v>
      </c>
      <c r="K58" s="344">
        <f t="shared" si="17"/>
        <v>0</v>
      </c>
      <c r="L58" s="344">
        <f t="shared" si="17"/>
        <v>0</v>
      </c>
      <c r="M58" s="344">
        <f t="shared" si="17"/>
        <v>0</v>
      </c>
    </row>
    <row r="59" spans="1:13" s="334" customFormat="1" ht="11.45" customHeight="1">
      <c r="A59" s="327"/>
      <c r="B59" s="327" t="s">
        <v>663</v>
      </c>
      <c r="C59" s="328" t="s">
        <v>664</v>
      </c>
      <c r="D59" s="329">
        <v>7720</v>
      </c>
      <c r="E59" s="329">
        <f t="shared" ref="E59:F66" si="18">H59+J59+L59</f>
        <v>7532.7300000000014</v>
      </c>
      <c r="F59" s="330">
        <f t="shared" si="18"/>
        <v>0</v>
      </c>
      <c r="G59" s="331">
        <f t="shared" si="0"/>
        <v>0</v>
      </c>
      <c r="H59" s="332">
        <f>'MMMH reszletes'!D113</f>
        <v>0</v>
      </c>
      <c r="I59" s="333">
        <f>'MMMH reszletes'!E113</f>
        <v>0</v>
      </c>
      <c r="J59" s="332">
        <f>'MMMH reszletes'!F113/1000</f>
        <v>7532.7300000000014</v>
      </c>
      <c r="K59" s="333">
        <f>'MMMH reszletes'!G113/1000</f>
        <v>0</v>
      </c>
      <c r="L59" s="332">
        <f>'MMMH reszletes'!H113</f>
        <v>0</v>
      </c>
      <c r="M59" s="333">
        <f>'MMMH reszletes'!I113</f>
        <v>0</v>
      </c>
    </row>
    <row r="60" spans="1:13" s="334" customFormat="1" ht="11.45" customHeight="1">
      <c r="A60" s="327"/>
      <c r="B60" s="327" t="s">
        <v>665</v>
      </c>
      <c r="C60" s="328" t="s">
        <v>666</v>
      </c>
      <c r="D60" s="329">
        <v>0</v>
      </c>
      <c r="E60" s="329">
        <f t="shared" si="18"/>
        <v>0</v>
      </c>
      <c r="F60" s="330">
        <f t="shared" si="18"/>
        <v>0</v>
      </c>
      <c r="G60" s="331" t="e">
        <f t="shared" si="0"/>
        <v>#DIV/0!</v>
      </c>
      <c r="H60" s="332">
        <f>'MMMH reszletes'!D114</f>
        <v>0</v>
      </c>
      <c r="I60" s="333">
        <f>'MMMH reszletes'!E114</f>
        <v>0</v>
      </c>
      <c r="J60" s="332">
        <f>'MMMH reszletes'!F114/1000</f>
        <v>0</v>
      </c>
      <c r="K60" s="333">
        <f>'MMMH reszletes'!G114/1000</f>
        <v>0</v>
      </c>
      <c r="L60" s="332">
        <f>'MMMH reszletes'!H114</f>
        <v>0</v>
      </c>
      <c r="M60" s="333">
        <f>'MMMH reszletes'!I114</f>
        <v>0</v>
      </c>
    </row>
    <row r="61" spans="1:13" s="334" customFormat="1" ht="11.45" customHeight="1">
      <c r="A61" s="327"/>
      <c r="B61" s="327" t="s">
        <v>667</v>
      </c>
      <c r="C61" s="328" t="s">
        <v>668</v>
      </c>
      <c r="D61" s="329">
        <v>293</v>
      </c>
      <c r="E61" s="329">
        <f t="shared" si="18"/>
        <v>293.9776</v>
      </c>
      <c r="F61" s="330">
        <f t="shared" si="18"/>
        <v>0</v>
      </c>
      <c r="G61" s="331">
        <f t="shared" si="0"/>
        <v>0</v>
      </c>
      <c r="H61" s="332">
        <f>'MMMH reszletes'!D115</f>
        <v>0</v>
      </c>
      <c r="I61" s="333">
        <f>'MMMH reszletes'!E115</f>
        <v>0</v>
      </c>
      <c r="J61" s="332">
        <f>'MMMH reszletes'!F115/1000</f>
        <v>293.9776</v>
      </c>
      <c r="K61" s="333">
        <f>'MMMH reszletes'!G115/1000</f>
        <v>0</v>
      </c>
      <c r="L61" s="332">
        <f>'MMMH reszletes'!H115</f>
        <v>0</v>
      </c>
      <c r="M61" s="333">
        <f>'MMMH reszletes'!I115</f>
        <v>0</v>
      </c>
    </row>
    <row r="62" spans="1:13" s="334" customFormat="1" ht="11.45" customHeight="1">
      <c r="A62" s="327"/>
      <c r="B62" s="327" t="s">
        <v>669</v>
      </c>
      <c r="C62" s="328" t="s">
        <v>670</v>
      </c>
      <c r="D62" s="329">
        <v>0</v>
      </c>
      <c r="E62" s="329">
        <f t="shared" si="18"/>
        <v>0</v>
      </c>
      <c r="F62" s="330">
        <f t="shared" si="18"/>
        <v>0</v>
      </c>
      <c r="G62" s="331" t="e">
        <f t="shared" si="0"/>
        <v>#DIV/0!</v>
      </c>
      <c r="H62" s="332">
        <f>'MMMH reszletes'!D116</f>
        <v>0</v>
      </c>
      <c r="I62" s="333">
        <f>'MMMH reszletes'!E116</f>
        <v>0</v>
      </c>
      <c r="J62" s="332">
        <f>'MMMH reszletes'!F116/1000</f>
        <v>0</v>
      </c>
      <c r="K62" s="333">
        <f>'MMMH reszletes'!G116/1000</f>
        <v>0</v>
      </c>
      <c r="L62" s="332">
        <f>'MMMH reszletes'!H116</f>
        <v>0</v>
      </c>
      <c r="M62" s="333">
        <f>'MMMH reszletes'!I116</f>
        <v>0</v>
      </c>
    </row>
    <row r="63" spans="1:13" s="334" customFormat="1" ht="11.45" customHeight="1">
      <c r="A63" s="327"/>
      <c r="B63" s="327" t="s">
        <v>671</v>
      </c>
      <c r="C63" s="328" t="s">
        <v>672</v>
      </c>
      <c r="D63" s="329">
        <v>0</v>
      </c>
      <c r="E63" s="329">
        <f t="shared" si="18"/>
        <v>0</v>
      </c>
      <c r="F63" s="330">
        <f t="shared" si="18"/>
        <v>0</v>
      </c>
      <c r="G63" s="331" t="e">
        <f t="shared" si="0"/>
        <v>#DIV/0!</v>
      </c>
      <c r="H63" s="332">
        <f>'MMMH reszletes'!D117</f>
        <v>0</v>
      </c>
      <c r="I63" s="333">
        <f>'MMMH reszletes'!E117</f>
        <v>0</v>
      </c>
      <c r="J63" s="332">
        <f>'MMMH reszletes'!F117/1000</f>
        <v>0</v>
      </c>
      <c r="K63" s="333">
        <f>'MMMH reszletes'!G117/1000</f>
        <v>0</v>
      </c>
      <c r="L63" s="332">
        <f>'MMMH reszletes'!H117</f>
        <v>0</v>
      </c>
      <c r="M63" s="333">
        <f>'MMMH reszletes'!I117</f>
        <v>0</v>
      </c>
    </row>
    <row r="64" spans="1:13" s="334" customFormat="1" ht="11.45" customHeight="1">
      <c r="A64" s="327"/>
      <c r="B64" s="327" t="s">
        <v>673</v>
      </c>
      <c r="C64" s="328" t="s">
        <v>674</v>
      </c>
      <c r="D64" s="329">
        <v>0</v>
      </c>
      <c r="E64" s="329">
        <f t="shared" si="18"/>
        <v>0</v>
      </c>
      <c r="F64" s="330">
        <f t="shared" si="18"/>
        <v>0</v>
      </c>
      <c r="G64" s="331" t="e">
        <f t="shared" si="0"/>
        <v>#DIV/0!</v>
      </c>
      <c r="H64" s="332">
        <f>'MMMH reszletes'!D118</f>
        <v>0</v>
      </c>
      <c r="I64" s="333">
        <f>'MMMH reszletes'!E118</f>
        <v>0</v>
      </c>
      <c r="J64" s="332">
        <f>'MMMH reszletes'!F118/1000</f>
        <v>0</v>
      </c>
      <c r="K64" s="333">
        <f>'MMMH reszletes'!G118/1000</f>
        <v>0</v>
      </c>
      <c r="L64" s="332">
        <f>'MMMH reszletes'!H118</f>
        <v>0</v>
      </c>
      <c r="M64" s="333">
        <f>'MMMH reszletes'!I118</f>
        <v>0</v>
      </c>
    </row>
    <row r="65" spans="1:13" s="334" customFormat="1" ht="11.45" customHeight="1">
      <c r="A65" s="327"/>
      <c r="B65" s="327" t="s">
        <v>675</v>
      </c>
      <c r="C65" s="328" t="s">
        <v>676</v>
      </c>
      <c r="D65" s="329">
        <v>0</v>
      </c>
      <c r="E65" s="329">
        <f t="shared" si="18"/>
        <v>282.93440000000004</v>
      </c>
      <c r="F65" s="330">
        <f t="shared" si="18"/>
        <v>0</v>
      </c>
      <c r="G65" s="331">
        <f t="shared" si="0"/>
        <v>0</v>
      </c>
      <c r="H65" s="332">
        <f>'MMMH reszletes'!D119</f>
        <v>0</v>
      </c>
      <c r="I65" s="333">
        <f>'MMMH reszletes'!E119</f>
        <v>0</v>
      </c>
      <c r="J65" s="332">
        <f>'MMMH reszletes'!F119/1000</f>
        <v>282.93440000000004</v>
      </c>
      <c r="K65" s="333">
        <f>'MMMH reszletes'!G119/1000</f>
        <v>0</v>
      </c>
      <c r="L65" s="332">
        <f>'MMMH reszletes'!H119</f>
        <v>0</v>
      </c>
      <c r="M65" s="333">
        <f>'MMMH reszletes'!I119</f>
        <v>0</v>
      </c>
    </row>
    <row r="66" spans="1:13" s="334" customFormat="1" ht="11.45" customHeight="1">
      <c r="A66" s="327"/>
      <c r="B66" s="327" t="s">
        <v>677</v>
      </c>
      <c r="C66" s="328" t="s">
        <v>909</v>
      </c>
      <c r="D66" s="329">
        <v>0</v>
      </c>
      <c r="E66" s="329">
        <f t="shared" si="18"/>
        <v>0</v>
      </c>
      <c r="F66" s="330">
        <f t="shared" si="18"/>
        <v>0</v>
      </c>
      <c r="G66" s="331" t="e">
        <f t="shared" si="0"/>
        <v>#DIV/0!</v>
      </c>
      <c r="H66" s="332">
        <f>'MMMH reszletes'!D120</f>
        <v>0</v>
      </c>
      <c r="I66" s="333">
        <f>'MMMH reszletes'!E120</f>
        <v>0</v>
      </c>
      <c r="J66" s="332">
        <f>'MMMH reszletes'!F120/1000</f>
        <v>0</v>
      </c>
      <c r="K66" s="333">
        <f>'MMMH reszletes'!G120/1000</f>
        <v>0</v>
      </c>
      <c r="L66" s="332">
        <f>'MMMH reszletes'!H120</f>
        <v>0</v>
      </c>
      <c r="M66" s="333">
        <f>'MMMH reszletes'!I120</f>
        <v>0</v>
      </c>
    </row>
    <row r="67" spans="1:13" s="317" customFormat="1" ht="12.75" customHeight="1">
      <c r="A67" s="340" t="s">
        <v>879</v>
      </c>
      <c r="B67" s="340" t="s">
        <v>679</v>
      </c>
      <c r="C67" s="341" t="s">
        <v>680</v>
      </c>
      <c r="D67" s="342">
        <f>SUM(D59:D66)</f>
        <v>8013</v>
      </c>
      <c r="E67" s="342">
        <f>ROUND(SUM(E59:E66),0)</f>
        <v>8110</v>
      </c>
      <c r="F67" s="342">
        <f>SUM(F59:F66)</f>
        <v>0</v>
      </c>
      <c r="G67" s="343">
        <f t="shared" si="0"/>
        <v>0</v>
      </c>
      <c r="H67" s="344">
        <f t="shared" ref="H67:M67" si="19">SUM(H59:H66)</f>
        <v>0</v>
      </c>
      <c r="I67" s="344">
        <f t="shared" si="19"/>
        <v>0</v>
      </c>
      <c r="J67" s="344">
        <f>ROUND(SUM(J59:J66),0)</f>
        <v>8110</v>
      </c>
      <c r="K67" s="344">
        <f t="shared" si="19"/>
        <v>0</v>
      </c>
      <c r="L67" s="344">
        <f t="shared" si="19"/>
        <v>0</v>
      </c>
      <c r="M67" s="344">
        <f t="shared" si="19"/>
        <v>0</v>
      </c>
    </row>
    <row r="68" spans="1:13" s="317" customFormat="1" ht="14.1" customHeight="1">
      <c r="A68" s="707" t="s">
        <v>910</v>
      </c>
      <c r="B68" s="707"/>
      <c r="C68" s="707"/>
      <c r="D68" s="345">
        <f>D58+D67</f>
        <v>38561</v>
      </c>
      <c r="E68" s="345">
        <f>E58+E67</f>
        <v>39932</v>
      </c>
      <c r="F68" s="345">
        <f>F58+F67</f>
        <v>0</v>
      </c>
      <c r="G68" s="346">
        <f t="shared" si="0"/>
        <v>0</v>
      </c>
      <c r="H68" s="347">
        <f t="shared" ref="H68:M68" si="20">H58+H67</f>
        <v>0</v>
      </c>
      <c r="I68" s="347">
        <f t="shared" si="20"/>
        <v>0</v>
      </c>
      <c r="J68" s="347">
        <f t="shared" si="20"/>
        <v>39932</v>
      </c>
      <c r="K68" s="347">
        <f t="shared" si="20"/>
        <v>0</v>
      </c>
      <c r="L68" s="347">
        <f t="shared" si="20"/>
        <v>0</v>
      </c>
      <c r="M68" s="347">
        <f t="shared" si="20"/>
        <v>0</v>
      </c>
    </row>
    <row r="69" spans="1:13" s="315" customFormat="1" ht="12.75" customHeight="1">
      <c r="A69" s="699" t="s">
        <v>886</v>
      </c>
      <c r="B69" s="699"/>
      <c r="C69" s="699"/>
      <c r="D69" s="699"/>
      <c r="E69" s="699"/>
      <c r="F69" s="699"/>
      <c r="G69" s="699"/>
      <c r="H69" s="699"/>
      <c r="I69" s="699"/>
      <c r="J69" s="699"/>
      <c r="K69" s="699"/>
      <c r="L69" s="699"/>
      <c r="M69" s="699"/>
    </row>
    <row r="70" spans="1:13" s="315" customFormat="1" ht="14.1" customHeight="1">
      <c r="A70" s="699" t="s">
        <v>887</v>
      </c>
      <c r="B70" s="702" t="s">
        <v>888</v>
      </c>
      <c r="C70" s="699" t="s">
        <v>889</v>
      </c>
      <c r="D70" s="695" t="s">
        <v>890</v>
      </c>
      <c r="E70" s="695" t="s">
        <v>891</v>
      </c>
      <c r="F70" s="695" t="s">
        <v>892</v>
      </c>
      <c r="G70" s="711" t="s">
        <v>893</v>
      </c>
      <c r="H70" s="695" t="s">
        <v>894</v>
      </c>
      <c r="I70" s="695"/>
      <c r="J70" s="695" t="s">
        <v>895</v>
      </c>
      <c r="K70" s="695"/>
      <c r="L70" s="695" t="s">
        <v>896</v>
      </c>
      <c r="M70" s="695"/>
    </row>
    <row r="71" spans="1:13" s="317" customFormat="1" ht="14.1" customHeight="1">
      <c r="A71" s="699"/>
      <c r="B71" s="702"/>
      <c r="C71" s="699"/>
      <c r="D71" s="695"/>
      <c r="E71" s="695"/>
      <c r="F71" s="695"/>
      <c r="G71" s="711"/>
      <c r="H71" s="316" t="s">
        <v>897</v>
      </c>
      <c r="I71" s="316" t="s">
        <v>898</v>
      </c>
      <c r="J71" s="316" t="s">
        <v>897</v>
      </c>
      <c r="K71" s="316" t="s">
        <v>898</v>
      </c>
      <c r="L71" s="316" t="s">
        <v>897</v>
      </c>
      <c r="M71" s="316" t="s">
        <v>898</v>
      </c>
    </row>
    <row r="72" spans="1:13" ht="5.65" customHeight="1"/>
    <row r="73" spans="1:13" ht="14.1" customHeight="1">
      <c r="A73" s="700" t="s">
        <v>911</v>
      </c>
      <c r="B73" s="700"/>
      <c r="C73" s="700"/>
      <c r="D73" s="700"/>
      <c r="E73" s="700"/>
      <c r="F73" s="700"/>
      <c r="G73" s="700"/>
      <c r="H73" s="700"/>
      <c r="I73" s="700"/>
      <c r="J73" s="700"/>
      <c r="K73" s="700"/>
      <c r="L73" s="700"/>
      <c r="M73" s="700"/>
    </row>
    <row r="74" spans="1:13" s="317" customFormat="1" ht="14.1" customHeight="1">
      <c r="A74" s="322" t="s">
        <v>228</v>
      </c>
      <c r="B74" s="322" t="s">
        <v>695</v>
      </c>
      <c r="C74" s="323" t="s">
        <v>696</v>
      </c>
      <c r="D74" s="326">
        <f>SUM(D75:D80)</f>
        <v>290</v>
      </c>
      <c r="E74" s="326">
        <f>SUM(E75:E80)</f>
        <v>290</v>
      </c>
      <c r="F74" s="326">
        <f>SUM(F75:F80)</f>
        <v>0</v>
      </c>
      <c r="G74" s="326">
        <f t="shared" ref="G74:G90" si="21">F74/E74</f>
        <v>0</v>
      </c>
      <c r="H74" s="326">
        <f t="shared" ref="H74:M74" si="22">SUM(H75:H80)</f>
        <v>250</v>
      </c>
      <c r="I74" s="326">
        <f t="shared" si="22"/>
        <v>0</v>
      </c>
      <c r="J74" s="326">
        <f t="shared" si="22"/>
        <v>40</v>
      </c>
      <c r="K74" s="326">
        <f t="shared" si="22"/>
        <v>0</v>
      </c>
      <c r="L74" s="326">
        <f t="shared" si="22"/>
        <v>0</v>
      </c>
      <c r="M74" s="326">
        <f t="shared" si="22"/>
        <v>0</v>
      </c>
    </row>
    <row r="75" spans="1:13" ht="14.1" customHeight="1">
      <c r="A75" s="348"/>
      <c r="B75" s="348" t="s">
        <v>681</v>
      </c>
      <c r="C75" s="349" t="s">
        <v>682</v>
      </c>
      <c r="D75" s="350">
        <v>40</v>
      </c>
      <c r="E75" s="350">
        <f t="shared" ref="E75:F80" si="23">H75+J75+L75</f>
        <v>40</v>
      </c>
      <c r="F75" s="351">
        <f t="shared" si="23"/>
        <v>0</v>
      </c>
      <c r="G75" s="350">
        <f t="shared" si="21"/>
        <v>0</v>
      </c>
      <c r="H75" s="350">
        <f>'MMMH reszletes'!D130/1000</f>
        <v>0</v>
      </c>
      <c r="I75" s="351">
        <f>'MMMH reszletes'!E130/1000</f>
        <v>0</v>
      </c>
      <c r="J75" s="350">
        <f>'MMMH reszletes'!F130/1000</f>
        <v>40</v>
      </c>
      <c r="K75" s="351">
        <f>'MMMH reszletes'!G130/1000</f>
        <v>0</v>
      </c>
      <c r="L75" s="350">
        <f>'MMMH reszletes'!H130/1000</f>
        <v>0</v>
      </c>
      <c r="M75" s="351">
        <f>'MMMH reszletes'!I130/1000</f>
        <v>0</v>
      </c>
    </row>
    <row r="76" spans="1:13" ht="14.1" customHeight="1">
      <c r="A76" s="348"/>
      <c r="B76" s="348" t="s">
        <v>683</v>
      </c>
      <c r="C76" s="349" t="s">
        <v>684</v>
      </c>
      <c r="D76" s="350">
        <v>0</v>
      </c>
      <c r="E76" s="350">
        <f t="shared" si="23"/>
        <v>0</v>
      </c>
      <c r="F76" s="351">
        <f t="shared" si="23"/>
        <v>0</v>
      </c>
      <c r="G76" s="350" t="e">
        <f t="shared" si="21"/>
        <v>#DIV/0!</v>
      </c>
      <c r="H76" s="350">
        <f>'MMMH reszletes'!D131/1000</f>
        <v>0</v>
      </c>
      <c r="I76" s="351">
        <f>'MMMH reszletes'!E131/1000</f>
        <v>0</v>
      </c>
      <c r="J76" s="350">
        <f>'MMMH reszletes'!F131</f>
        <v>0</v>
      </c>
      <c r="K76" s="351">
        <f>'MMMH reszletes'!G131/1000</f>
        <v>0</v>
      </c>
      <c r="L76" s="350">
        <f>'MMMH reszletes'!H131/1000</f>
        <v>0</v>
      </c>
      <c r="M76" s="351">
        <f>'MMMH reszletes'!I131/1000</f>
        <v>0</v>
      </c>
    </row>
    <row r="77" spans="1:13" ht="14.1" customHeight="1">
      <c r="A77" s="348"/>
      <c r="B77" s="348" t="s">
        <v>685</v>
      </c>
      <c r="C77" s="349" t="s">
        <v>686</v>
      </c>
      <c r="D77" s="350">
        <v>0</v>
      </c>
      <c r="E77" s="350">
        <f t="shared" si="23"/>
        <v>0</v>
      </c>
      <c r="F77" s="351">
        <f t="shared" si="23"/>
        <v>0</v>
      </c>
      <c r="G77" s="350" t="e">
        <f t="shared" si="21"/>
        <v>#DIV/0!</v>
      </c>
      <c r="H77" s="350">
        <f>'MMMH reszletes'!D132/1000</f>
        <v>0</v>
      </c>
      <c r="I77" s="351">
        <f>'MMMH reszletes'!E132/1000</f>
        <v>0</v>
      </c>
      <c r="J77" s="350">
        <f>'MMMH reszletes'!F132</f>
        <v>0</v>
      </c>
      <c r="K77" s="351">
        <f>'MMMH reszletes'!G132/1000</f>
        <v>0</v>
      </c>
      <c r="L77" s="350">
        <f>'MMMH reszletes'!H132/1000</f>
        <v>0</v>
      </c>
      <c r="M77" s="351">
        <f>'MMMH reszletes'!I132/1000</f>
        <v>0</v>
      </c>
    </row>
    <row r="78" spans="1:13" ht="14.1" customHeight="1">
      <c r="A78" s="348"/>
      <c r="B78" s="348" t="s">
        <v>688</v>
      </c>
      <c r="C78" s="349" t="s">
        <v>689</v>
      </c>
      <c r="D78" s="350">
        <v>0</v>
      </c>
      <c r="E78" s="350">
        <f t="shared" si="23"/>
        <v>0</v>
      </c>
      <c r="F78" s="351">
        <f t="shared" si="23"/>
        <v>0</v>
      </c>
      <c r="G78" s="350" t="e">
        <f t="shared" si="21"/>
        <v>#DIV/0!</v>
      </c>
      <c r="H78" s="350">
        <f>'MMMH reszletes'!D133/1000</f>
        <v>0</v>
      </c>
      <c r="I78" s="351">
        <f>'MMMH reszletes'!E133/1000</f>
        <v>0</v>
      </c>
      <c r="J78" s="350">
        <f>'MMMH reszletes'!F133</f>
        <v>0</v>
      </c>
      <c r="K78" s="351">
        <f>'MMMH reszletes'!G133/1000</f>
        <v>0</v>
      </c>
      <c r="L78" s="350">
        <f>'MMMH reszletes'!H133/1000</f>
        <v>0</v>
      </c>
      <c r="M78" s="351">
        <f>'MMMH reszletes'!I133/1000</f>
        <v>0</v>
      </c>
    </row>
    <row r="79" spans="1:13" ht="14.1" customHeight="1">
      <c r="A79" s="348"/>
      <c r="B79" s="348" t="s">
        <v>690</v>
      </c>
      <c r="C79" s="349" t="s">
        <v>912</v>
      </c>
      <c r="D79" s="350">
        <v>0</v>
      </c>
      <c r="E79" s="350">
        <f t="shared" si="23"/>
        <v>0</v>
      </c>
      <c r="F79" s="351">
        <f t="shared" si="23"/>
        <v>0</v>
      </c>
      <c r="G79" s="350" t="e">
        <f t="shared" si="21"/>
        <v>#DIV/0!</v>
      </c>
      <c r="H79" s="350">
        <f>'MMMH reszletes'!D134/1000</f>
        <v>0</v>
      </c>
      <c r="I79" s="351">
        <f>'MMMH reszletes'!E134/1000</f>
        <v>0</v>
      </c>
      <c r="J79" s="350">
        <f>'MMMH reszletes'!F134</f>
        <v>0</v>
      </c>
      <c r="K79" s="351">
        <f>'MMMH reszletes'!G134/1000</f>
        <v>0</v>
      </c>
      <c r="L79" s="350">
        <f>'MMMH reszletes'!H134/1000</f>
        <v>0</v>
      </c>
      <c r="M79" s="351">
        <f>'MMMH reszletes'!I134/1000</f>
        <v>0</v>
      </c>
    </row>
    <row r="80" spans="1:13" ht="14.1" customHeight="1">
      <c r="A80" s="348"/>
      <c r="B80" s="348" t="s">
        <v>692</v>
      </c>
      <c r="C80" s="349" t="s">
        <v>693</v>
      </c>
      <c r="D80" s="350">
        <v>250</v>
      </c>
      <c r="E80" s="350">
        <f t="shared" si="23"/>
        <v>250</v>
      </c>
      <c r="F80" s="351">
        <f t="shared" si="23"/>
        <v>0</v>
      </c>
      <c r="G80" s="350">
        <f t="shared" si="21"/>
        <v>0</v>
      </c>
      <c r="H80" s="350">
        <f>'MMMH reszletes'!D135/1000</f>
        <v>250</v>
      </c>
      <c r="I80" s="351">
        <f>'MMMH reszletes'!E135/1000</f>
        <v>0</v>
      </c>
      <c r="J80" s="350">
        <f>'MMMH reszletes'!F135</f>
        <v>0</v>
      </c>
      <c r="K80" s="351">
        <f>'MMMH reszletes'!G135/1000</f>
        <v>0</v>
      </c>
      <c r="L80" s="350">
        <f>'MMMH reszletes'!H135/1000</f>
        <v>0</v>
      </c>
      <c r="M80" s="351">
        <f>'MMMH reszletes'!I135/1000</f>
        <v>0</v>
      </c>
    </row>
    <row r="81" spans="1:13" s="317" customFormat="1" ht="14.1" customHeight="1">
      <c r="A81" s="322" t="s">
        <v>230</v>
      </c>
      <c r="B81" s="322" t="s">
        <v>711</v>
      </c>
      <c r="C81" s="323" t="s">
        <v>712</v>
      </c>
      <c r="D81" s="326">
        <f>SUM(D82:D87)</f>
        <v>2300</v>
      </c>
      <c r="E81" s="326">
        <f>SUM(E82:E87)</f>
        <v>2200</v>
      </c>
      <c r="F81" s="326">
        <f>SUM(F82:F87)</f>
        <v>0</v>
      </c>
      <c r="G81" s="326">
        <f t="shared" si="21"/>
        <v>0</v>
      </c>
      <c r="H81" s="326">
        <f t="shared" ref="H81:M81" si="24">SUM(H82:H87)</f>
        <v>300</v>
      </c>
      <c r="I81" s="326">
        <f t="shared" si="24"/>
        <v>0</v>
      </c>
      <c r="J81" s="326">
        <f t="shared" si="24"/>
        <v>1900</v>
      </c>
      <c r="K81" s="326">
        <f t="shared" si="24"/>
        <v>0</v>
      </c>
      <c r="L81" s="326">
        <f t="shared" si="24"/>
        <v>0</v>
      </c>
      <c r="M81" s="326">
        <f t="shared" si="24"/>
        <v>0</v>
      </c>
    </row>
    <row r="82" spans="1:13" ht="14.1" customHeight="1">
      <c r="A82" s="348"/>
      <c r="B82" s="348" t="s">
        <v>697</v>
      </c>
      <c r="C82" s="349" t="s">
        <v>698</v>
      </c>
      <c r="D82" s="350">
        <v>400</v>
      </c>
      <c r="E82" s="350">
        <f t="shared" ref="E82:F87" si="25">H82+J82+L82</f>
        <v>250</v>
      </c>
      <c r="F82" s="351">
        <f t="shared" si="25"/>
        <v>0</v>
      </c>
      <c r="G82" s="350">
        <f t="shared" si="21"/>
        <v>0</v>
      </c>
      <c r="H82" s="350">
        <f>'MMMH reszletes'!D137/1000</f>
        <v>250</v>
      </c>
      <c r="I82" s="351">
        <f>'MMMH reszletes'!E137/1000</f>
        <v>0</v>
      </c>
      <c r="J82" s="350">
        <f>'MMMH reszletes'!F137/1000</f>
        <v>0</v>
      </c>
      <c r="K82" s="351">
        <f>'MMMH reszletes'!G137/1000</f>
        <v>0</v>
      </c>
      <c r="L82" s="350">
        <f>'MMMH reszletes'!H137/1000</f>
        <v>0</v>
      </c>
      <c r="M82" s="351">
        <f>'MMMH reszletes'!I137/1000</f>
        <v>0</v>
      </c>
    </row>
    <row r="83" spans="1:13" ht="14.1" customHeight="1">
      <c r="A83" s="348"/>
      <c r="B83" s="348" t="s">
        <v>699</v>
      </c>
      <c r="C83" s="349" t="s">
        <v>913</v>
      </c>
      <c r="D83" s="350">
        <v>400</v>
      </c>
      <c r="E83" s="350">
        <f t="shared" si="25"/>
        <v>400</v>
      </c>
      <c r="F83" s="351">
        <f t="shared" si="25"/>
        <v>0</v>
      </c>
      <c r="G83" s="350">
        <f t="shared" si="21"/>
        <v>0</v>
      </c>
      <c r="H83" s="350">
        <f>'MMMH reszletes'!D141/1000</f>
        <v>0</v>
      </c>
      <c r="I83" s="351">
        <f>'MMMH reszletes'!E141/1000</f>
        <v>0</v>
      </c>
      <c r="J83" s="350">
        <f>'MMMH reszletes'!F141/1000</f>
        <v>400</v>
      </c>
      <c r="K83" s="351">
        <f>'MMMH reszletes'!G141/1000</f>
        <v>0</v>
      </c>
      <c r="L83" s="350">
        <f>'MMMH reszletes'!H141/1000</f>
        <v>0</v>
      </c>
      <c r="M83" s="351">
        <f>'MMMH reszletes'!I141/1000</f>
        <v>0</v>
      </c>
    </row>
    <row r="84" spans="1:13" ht="14.1" customHeight="1">
      <c r="A84" s="348"/>
      <c r="B84" s="348" t="s">
        <v>701</v>
      </c>
      <c r="C84" s="349" t="s">
        <v>702</v>
      </c>
      <c r="D84" s="350">
        <v>0</v>
      </c>
      <c r="E84" s="350">
        <f t="shared" si="25"/>
        <v>0</v>
      </c>
      <c r="F84" s="351">
        <f t="shared" si="25"/>
        <v>0</v>
      </c>
      <c r="G84" s="350" t="e">
        <f t="shared" si="21"/>
        <v>#DIV/0!</v>
      </c>
      <c r="H84" s="350">
        <f>'MMMH reszletes'!D145/1000</f>
        <v>0</v>
      </c>
      <c r="I84" s="351">
        <f>'MMMH reszletes'!E145/1000</f>
        <v>0</v>
      </c>
      <c r="J84" s="350">
        <f>'MMMH reszletes'!F145/1000</f>
        <v>0</v>
      </c>
      <c r="K84" s="351">
        <f>'MMMH reszletes'!G145/1000</f>
        <v>0</v>
      </c>
      <c r="L84" s="350">
        <f>'MMMH reszletes'!H145/1000</f>
        <v>0</v>
      </c>
      <c r="M84" s="351">
        <f>'MMMH reszletes'!I145/1000</f>
        <v>0</v>
      </c>
    </row>
    <row r="85" spans="1:13" ht="14.1" customHeight="1">
      <c r="A85" s="348"/>
      <c r="B85" s="348" t="s">
        <v>703</v>
      </c>
      <c r="C85" s="349" t="s">
        <v>914</v>
      </c>
      <c r="D85" s="350">
        <v>0</v>
      </c>
      <c r="E85" s="350">
        <f t="shared" si="25"/>
        <v>0</v>
      </c>
      <c r="F85" s="351">
        <f t="shared" si="25"/>
        <v>0</v>
      </c>
      <c r="G85" s="350" t="e">
        <f t="shared" si="21"/>
        <v>#DIV/0!</v>
      </c>
      <c r="H85" s="350">
        <f>'MMMH reszletes'!D146/1000</f>
        <v>0</v>
      </c>
      <c r="I85" s="351">
        <f>'MMMH reszletes'!E146/1000</f>
        <v>0</v>
      </c>
      <c r="J85" s="350">
        <f>'MMMH reszletes'!F146/1000</f>
        <v>0</v>
      </c>
      <c r="K85" s="351">
        <f>'MMMH reszletes'!G146/1000</f>
        <v>0</v>
      </c>
      <c r="L85" s="350">
        <f>'MMMH reszletes'!H146/1000</f>
        <v>0</v>
      </c>
      <c r="M85" s="351">
        <f>'MMMH reszletes'!I146/1000</f>
        <v>0</v>
      </c>
    </row>
    <row r="86" spans="1:13" ht="14.1" customHeight="1">
      <c r="A86" s="348"/>
      <c r="B86" s="348" t="s">
        <v>705</v>
      </c>
      <c r="C86" s="349" t="s">
        <v>706</v>
      </c>
      <c r="D86" s="350">
        <v>0</v>
      </c>
      <c r="E86" s="350">
        <f t="shared" si="25"/>
        <v>150</v>
      </c>
      <c r="F86" s="351">
        <f t="shared" si="25"/>
        <v>0</v>
      </c>
      <c r="G86" s="350">
        <f t="shared" si="21"/>
        <v>0</v>
      </c>
      <c r="H86" s="350">
        <f>'MMMH reszletes'!D147/1000</f>
        <v>0</v>
      </c>
      <c r="I86" s="351">
        <f>'MMMH reszletes'!E147/1000</f>
        <v>0</v>
      </c>
      <c r="J86" s="350">
        <f>'MMMH reszletes'!F147/1000</f>
        <v>150</v>
      </c>
      <c r="K86" s="351">
        <f>'MMMH reszletes'!G147/1000</f>
        <v>0</v>
      </c>
      <c r="L86" s="350">
        <f>'MMMH reszletes'!H147/1000</f>
        <v>0</v>
      </c>
      <c r="M86" s="351">
        <f>'MMMH reszletes'!I147/1000</f>
        <v>0</v>
      </c>
    </row>
    <row r="87" spans="1:13" ht="14.1" customHeight="1">
      <c r="A87" s="348"/>
      <c r="B87" s="348" t="s">
        <v>708</v>
      </c>
      <c r="C87" s="349" t="s">
        <v>915</v>
      </c>
      <c r="D87" s="350">
        <v>1500</v>
      </c>
      <c r="E87" s="350">
        <f t="shared" si="25"/>
        <v>1400</v>
      </c>
      <c r="F87" s="351">
        <f t="shared" si="25"/>
        <v>0</v>
      </c>
      <c r="G87" s="350">
        <f t="shared" si="21"/>
        <v>0</v>
      </c>
      <c r="H87" s="350">
        <f>'MMMH reszletes'!D148/1000</f>
        <v>50</v>
      </c>
      <c r="I87" s="351">
        <f>'MMMH reszletes'!E148/1000</f>
        <v>0</v>
      </c>
      <c r="J87" s="350">
        <f>'MMMH reszletes'!F148/1000</f>
        <v>1350</v>
      </c>
      <c r="K87" s="351">
        <f>'MMMH reszletes'!G148/1000</f>
        <v>0</v>
      </c>
      <c r="L87" s="350">
        <f>'MMMH reszletes'!H148/1000</f>
        <v>0</v>
      </c>
      <c r="M87" s="351">
        <f>'MMMH reszletes'!I148/1000</f>
        <v>0</v>
      </c>
    </row>
    <row r="88" spans="1:13" s="317" customFormat="1" ht="14.1" customHeight="1">
      <c r="A88" s="322" t="s">
        <v>232</v>
      </c>
      <c r="B88" s="322" t="s">
        <v>716</v>
      </c>
      <c r="C88" s="323" t="s">
        <v>717</v>
      </c>
      <c r="D88" s="326">
        <f>SUM(D89:D90)</f>
        <v>0</v>
      </c>
      <c r="E88" s="326">
        <f>SUM(E89:E90)</f>
        <v>0</v>
      </c>
      <c r="F88" s="326">
        <f>SUM(F89:F90)</f>
        <v>0</v>
      </c>
      <c r="G88" s="326" t="e">
        <f t="shared" si="21"/>
        <v>#DIV/0!</v>
      </c>
      <c r="H88" s="326">
        <f t="shared" ref="H88:M88" si="26">SUM(H89:H90)</f>
        <v>0</v>
      </c>
      <c r="I88" s="326">
        <f t="shared" si="26"/>
        <v>0</v>
      </c>
      <c r="J88" s="326">
        <f t="shared" si="26"/>
        <v>0</v>
      </c>
      <c r="K88" s="326">
        <f t="shared" si="26"/>
        <v>0</v>
      </c>
      <c r="L88" s="326">
        <f t="shared" si="26"/>
        <v>0</v>
      </c>
      <c r="M88" s="326">
        <f t="shared" si="26"/>
        <v>0</v>
      </c>
    </row>
    <row r="89" spans="1:13" ht="14.1" customHeight="1">
      <c r="A89" s="348"/>
      <c r="B89" s="348" t="s">
        <v>713</v>
      </c>
      <c r="C89" s="349" t="s">
        <v>233</v>
      </c>
      <c r="D89" s="350">
        <v>0</v>
      </c>
      <c r="E89" s="350">
        <f>H89+J89+L89</f>
        <v>0</v>
      </c>
      <c r="F89" s="351">
        <f>I89+K89+M89</f>
        <v>0</v>
      </c>
      <c r="G89" s="350" t="e">
        <f t="shared" si="21"/>
        <v>#DIV/0!</v>
      </c>
      <c r="H89" s="350">
        <f>'MMMH reszletes'!D154/1000</f>
        <v>0</v>
      </c>
      <c r="I89" s="351">
        <f>'MMMH reszletes'!E154/1000</f>
        <v>0</v>
      </c>
      <c r="J89" s="350">
        <f>'MMMH reszletes'!F154/1000</f>
        <v>0</v>
      </c>
      <c r="K89" s="351">
        <f>'MMMH reszletes'!G154/1000</f>
        <v>0</v>
      </c>
      <c r="L89" s="350">
        <f>'MMMH reszletes'!H154/1000</f>
        <v>0</v>
      </c>
      <c r="M89" s="351">
        <f>'MMMH reszletes'!I154/1000</f>
        <v>0</v>
      </c>
    </row>
    <row r="90" spans="1:13" ht="14.1" customHeight="1">
      <c r="A90" s="348"/>
      <c r="B90" s="348" t="s">
        <v>714</v>
      </c>
      <c r="C90" s="349" t="s">
        <v>715</v>
      </c>
      <c r="D90" s="350">
        <v>0</v>
      </c>
      <c r="E90" s="350">
        <f>H90+J90+L90</f>
        <v>0</v>
      </c>
      <c r="F90" s="351">
        <f>I90+K90+M90</f>
        <v>0</v>
      </c>
      <c r="G90" s="350" t="e">
        <f t="shared" si="21"/>
        <v>#DIV/0!</v>
      </c>
      <c r="H90" s="350">
        <f>'MMMH reszletes'!D155/1000</f>
        <v>0</v>
      </c>
      <c r="I90" s="351">
        <f>'MMMH reszletes'!E155/1000</f>
        <v>0</v>
      </c>
      <c r="J90" s="350">
        <f>'MMMH reszletes'!F155/1000</f>
        <v>0</v>
      </c>
      <c r="K90" s="351">
        <f>'MMMH reszletes'!G155/1000</f>
        <v>0</v>
      </c>
      <c r="L90" s="350">
        <f>'MMMH reszletes'!H155/1000</f>
        <v>0</v>
      </c>
      <c r="M90" s="351">
        <f>'MMMH reszletes'!I155/1000</f>
        <v>0</v>
      </c>
    </row>
    <row r="91" spans="1:13" s="317" customFormat="1" ht="14.1" customHeight="1">
      <c r="A91" s="335" t="s">
        <v>234</v>
      </c>
      <c r="B91" s="335" t="s">
        <v>718</v>
      </c>
      <c r="C91" s="336" t="s">
        <v>719</v>
      </c>
      <c r="D91" s="339">
        <f t="shared" ref="D91:M91" si="27">D74+D81+D88</f>
        <v>2590</v>
      </c>
      <c r="E91" s="339">
        <f t="shared" si="27"/>
        <v>2490</v>
      </c>
      <c r="F91" s="339">
        <f t="shared" si="27"/>
        <v>0</v>
      </c>
      <c r="G91" s="339" t="e">
        <f t="shared" si="27"/>
        <v>#DIV/0!</v>
      </c>
      <c r="H91" s="339">
        <f t="shared" si="27"/>
        <v>550</v>
      </c>
      <c r="I91" s="339">
        <f t="shared" si="27"/>
        <v>0</v>
      </c>
      <c r="J91" s="339">
        <f t="shared" si="27"/>
        <v>1940</v>
      </c>
      <c r="K91" s="339">
        <f t="shared" si="27"/>
        <v>0</v>
      </c>
      <c r="L91" s="339">
        <f t="shared" si="27"/>
        <v>0</v>
      </c>
      <c r="M91" s="339">
        <f t="shared" si="27"/>
        <v>0</v>
      </c>
    </row>
    <row r="92" spans="1:13" s="317" customFormat="1" ht="14.1" customHeight="1">
      <c r="A92" s="322" t="s">
        <v>236</v>
      </c>
      <c r="B92" s="322" t="s">
        <v>734</v>
      </c>
      <c r="C92" s="323" t="s">
        <v>237</v>
      </c>
      <c r="D92" s="326">
        <f>SUM(D93:D98)</f>
        <v>1110</v>
      </c>
      <c r="E92" s="326">
        <f>SUM(E93:E98)</f>
        <v>1010</v>
      </c>
      <c r="F92" s="326">
        <f>SUM(F93:F98)</f>
        <v>0</v>
      </c>
      <c r="G92" s="326">
        <f t="shared" ref="G92:G152" si="28">F92/E92</f>
        <v>0</v>
      </c>
      <c r="H92" s="326">
        <f t="shared" ref="H92:M92" si="29">SUM(H93:H98)</f>
        <v>170</v>
      </c>
      <c r="I92" s="326">
        <f t="shared" si="29"/>
        <v>0</v>
      </c>
      <c r="J92" s="326">
        <f t="shared" si="29"/>
        <v>840</v>
      </c>
      <c r="K92" s="326">
        <f t="shared" si="29"/>
        <v>0</v>
      </c>
      <c r="L92" s="326">
        <f t="shared" si="29"/>
        <v>0</v>
      </c>
      <c r="M92" s="326">
        <f t="shared" si="29"/>
        <v>0</v>
      </c>
    </row>
    <row r="93" spans="1:13" ht="14.1" customHeight="1">
      <c r="A93" s="348"/>
      <c r="B93" s="348" t="s">
        <v>720</v>
      </c>
      <c r="C93" s="349" t="s">
        <v>916</v>
      </c>
      <c r="D93" s="350">
        <v>0</v>
      </c>
      <c r="E93" s="350">
        <f t="shared" ref="E93:F98" si="30">H93+J93+L93</f>
        <v>0</v>
      </c>
      <c r="F93" s="351">
        <f t="shared" si="30"/>
        <v>0</v>
      </c>
      <c r="G93" s="350" t="e">
        <f t="shared" si="28"/>
        <v>#DIV/0!</v>
      </c>
      <c r="H93" s="350">
        <f>'MMMH reszletes'!D158/1000</f>
        <v>0</v>
      </c>
      <c r="I93" s="351">
        <f>'MMMH reszletes'!E158/1000</f>
        <v>0</v>
      </c>
      <c r="J93" s="350">
        <f>'MMMH reszletes'!F158/1000</f>
        <v>0</v>
      </c>
      <c r="K93" s="351">
        <f>'MMMH reszletes'!G158/1000</f>
        <v>0</v>
      </c>
      <c r="L93" s="350">
        <f>'MMMH reszletes'!H158/1000</f>
        <v>0</v>
      </c>
      <c r="M93" s="351">
        <f>'MMMH reszletes'!I158/1000</f>
        <v>0</v>
      </c>
    </row>
    <row r="94" spans="1:13" ht="14.1" customHeight="1">
      <c r="A94" s="348"/>
      <c r="B94" s="348" t="s">
        <v>722</v>
      </c>
      <c r="C94" s="349" t="s">
        <v>723</v>
      </c>
      <c r="D94" s="350">
        <v>720</v>
      </c>
      <c r="E94" s="350">
        <f t="shared" si="30"/>
        <v>720</v>
      </c>
      <c r="F94" s="351">
        <f t="shared" si="30"/>
        <v>0</v>
      </c>
      <c r="G94" s="350">
        <f t="shared" si="28"/>
        <v>0</v>
      </c>
      <c r="H94" s="350">
        <f>'MMMH reszletes'!D159/1000</f>
        <v>0</v>
      </c>
      <c r="I94" s="351">
        <f>'MMMH reszletes'!E159/1000</f>
        <v>0</v>
      </c>
      <c r="J94" s="350">
        <f>'MMMH reszletes'!F159/1000</f>
        <v>720</v>
      </c>
      <c r="K94" s="351">
        <f>'MMMH reszletes'!G159/1000</f>
        <v>0</v>
      </c>
      <c r="L94" s="350">
        <f>'MMMH reszletes'!H159/1000</f>
        <v>0</v>
      </c>
      <c r="M94" s="351">
        <f>'MMMH reszletes'!I159/1000</f>
        <v>0</v>
      </c>
    </row>
    <row r="95" spans="1:13" ht="14.1" customHeight="1">
      <c r="A95" s="348"/>
      <c r="B95" s="348" t="s">
        <v>725</v>
      </c>
      <c r="C95" s="349" t="s">
        <v>917</v>
      </c>
      <c r="D95" s="350">
        <v>0</v>
      </c>
      <c r="E95" s="350">
        <f t="shared" si="30"/>
        <v>0</v>
      </c>
      <c r="F95" s="351">
        <f t="shared" si="30"/>
        <v>0</v>
      </c>
      <c r="G95" s="350" t="e">
        <f t="shared" si="28"/>
        <v>#DIV/0!</v>
      </c>
      <c r="H95" s="350">
        <f>'MMMH reszletes'!D162/1000</f>
        <v>0</v>
      </c>
      <c r="I95" s="351">
        <f>'MMMH reszletes'!E162/1000</f>
        <v>0</v>
      </c>
      <c r="J95" s="350">
        <f>'MMMH reszletes'!F162/1000</f>
        <v>0</v>
      </c>
      <c r="K95" s="351">
        <f>'MMMH reszletes'!G162/1000</f>
        <v>0</v>
      </c>
      <c r="L95" s="350">
        <f>'MMMH reszletes'!H162/1000</f>
        <v>0</v>
      </c>
      <c r="M95" s="351">
        <f>'MMMH reszletes'!I162/1000</f>
        <v>0</v>
      </c>
    </row>
    <row r="96" spans="1:13" ht="14.1" customHeight="1">
      <c r="A96" s="348"/>
      <c r="B96" s="348" t="s">
        <v>727</v>
      </c>
      <c r="C96" s="349" t="s">
        <v>728</v>
      </c>
      <c r="D96" s="350">
        <v>0</v>
      </c>
      <c r="E96" s="350">
        <f t="shared" si="30"/>
        <v>0</v>
      </c>
      <c r="F96" s="351">
        <f t="shared" si="30"/>
        <v>0</v>
      </c>
      <c r="G96" s="350" t="e">
        <f t="shared" si="28"/>
        <v>#DIV/0!</v>
      </c>
      <c r="H96" s="350">
        <f>'MMMH reszletes'!D163/1000</f>
        <v>0</v>
      </c>
      <c r="I96" s="351">
        <f>'MMMH reszletes'!E163/1000</f>
        <v>0</v>
      </c>
      <c r="J96" s="350">
        <f>'MMMH reszletes'!F163/1000</f>
        <v>0</v>
      </c>
      <c r="K96" s="351">
        <f>'MMMH reszletes'!G163/1000</f>
        <v>0</v>
      </c>
      <c r="L96" s="350">
        <f>'MMMH reszletes'!H163/1000</f>
        <v>0</v>
      </c>
      <c r="M96" s="351">
        <f>'MMMH reszletes'!I163/1000</f>
        <v>0</v>
      </c>
    </row>
    <row r="97" spans="1:13" ht="14.1" customHeight="1">
      <c r="A97" s="348"/>
      <c r="B97" s="348" t="s">
        <v>729</v>
      </c>
      <c r="C97" s="349" t="s">
        <v>730</v>
      </c>
      <c r="D97" s="350">
        <v>240</v>
      </c>
      <c r="E97" s="350">
        <f t="shared" si="30"/>
        <v>240</v>
      </c>
      <c r="F97" s="351">
        <f t="shared" si="30"/>
        <v>0</v>
      </c>
      <c r="G97" s="350">
        <f t="shared" si="28"/>
        <v>0</v>
      </c>
      <c r="H97" s="350">
        <f>'MMMH reszletes'!D164/1000</f>
        <v>120</v>
      </c>
      <c r="I97" s="351">
        <f>'MMMH reszletes'!E164/1000</f>
        <v>0</v>
      </c>
      <c r="J97" s="350">
        <f>'MMMH reszletes'!F164/1000</f>
        <v>120</v>
      </c>
      <c r="K97" s="351">
        <f>'MMMH reszletes'!G164/1000</f>
        <v>0</v>
      </c>
      <c r="L97" s="350">
        <f>'MMMH reszletes'!H164/1000</f>
        <v>0</v>
      </c>
      <c r="M97" s="351">
        <f>'MMMH reszletes'!I164/1000</f>
        <v>0</v>
      </c>
    </row>
    <row r="98" spans="1:13" ht="14.1" customHeight="1">
      <c r="A98" s="348"/>
      <c r="B98" s="348" t="s">
        <v>732</v>
      </c>
      <c r="C98" s="349" t="s">
        <v>733</v>
      </c>
      <c r="D98" s="350">
        <v>150</v>
      </c>
      <c r="E98" s="350">
        <f t="shared" si="30"/>
        <v>50</v>
      </c>
      <c r="F98" s="351">
        <f t="shared" si="30"/>
        <v>0</v>
      </c>
      <c r="G98" s="350">
        <f t="shared" si="28"/>
        <v>0</v>
      </c>
      <c r="H98" s="350">
        <f>'MMMH reszletes'!D165/1000</f>
        <v>50</v>
      </c>
      <c r="I98" s="351">
        <f>'MMMH reszletes'!E165/1000</f>
        <v>0</v>
      </c>
      <c r="J98" s="350">
        <f>'MMMH reszletes'!F165/1000</f>
        <v>0</v>
      </c>
      <c r="K98" s="351">
        <f>'MMMH reszletes'!G165/1000</f>
        <v>0</v>
      </c>
      <c r="L98" s="350">
        <f>'MMMH reszletes'!H165/1000</f>
        <v>0</v>
      </c>
      <c r="M98" s="351">
        <f>'MMMH reszletes'!I165/1000</f>
        <v>0</v>
      </c>
    </row>
    <row r="99" spans="1:13" s="317" customFormat="1" ht="14.1" customHeight="1">
      <c r="A99" s="322" t="s">
        <v>238</v>
      </c>
      <c r="B99" s="322" t="s">
        <v>738</v>
      </c>
      <c r="C99" s="323" t="s">
        <v>918</v>
      </c>
      <c r="D99" s="326">
        <f>SUM(D100:D101)</f>
        <v>420</v>
      </c>
      <c r="E99" s="326">
        <f>SUM(E100:E101)</f>
        <v>330</v>
      </c>
      <c r="F99" s="326">
        <f>SUM(F100:F101)</f>
        <v>0</v>
      </c>
      <c r="G99" s="326">
        <f t="shared" si="28"/>
        <v>0</v>
      </c>
      <c r="H99" s="326">
        <f t="shared" ref="H99:M99" si="31">SUM(H100:H101)</f>
        <v>165</v>
      </c>
      <c r="I99" s="326">
        <f t="shared" si="31"/>
        <v>0</v>
      </c>
      <c r="J99" s="326">
        <f t="shared" si="31"/>
        <v>165</v>
      </c>
      <c r="K99" s="326">
        <f t="shared" si="31"/>
        <v>0</v>
      </c>
      <c r="L99" s="326">
        <f t="shared" si="31"/>
        <v>0</v>
      </c>
      <c r="M99" s="326">
        <f t="shared" si="31"/>
        <v>0</v>
      </c>
    </row>
    <row r="100" spans="1:13" ht="14.1" customHeight="1">
      <c r="A100" s="348"/>
      <c r="B100" s="348" t="s">
        <v>735</v>
      </c>
      <c r="C100" s="349" t="s">
        <v>736</v>
      </c>
      <c r="D100" s="350">
        <v>420</v>
      </c>
      <c r="E100" s="350">
        <f>H100+J100+L100</f>
        <v>330</v>
      </c>
      <c r="F100" s="351">
        <f>I100+K100+M100</f>
        <v>0</v>
      </c>
      <c r="G100" s="350">
        <f t="shared" si="28"/>
        <v>0</v>
      </c>
      <c r="H100" s="350">
        <f>'MMMH reszletes'!D169/1000</f>
        <v>165</v>
      </c>
      <c r="I100" s="351">
        <f>'MMMH reszletes'!E169/1000</f>
        <v>0</v>
      </c>
      <c r="J100" s="350">
        <f>'MMMH reszletes'!F169/1000</f>
        <v>165</v>
      </c>
      <c r="K100" s="351">
        <f>'MMMH reszletes'!G169/1000</f>
        <v>0</v>
      </c>
      <c r="L100" s="350">
        <f>'MMMH reszletes'!H169/1000</f>
        <v>0</v>
      </c>
      <c r="M100" s="351">
        <f>'MMMH reszletes'!I169/1000</f>
        <v>0</v>
      </c>
    </row>
    <row r="101" spans="1:13" ht="14.1" customHeight="1">
      <c r="A101" s="348"/>
      <c r="B101" s="348" t="s">
        <v>919</v>
      </c>
      <c r="C101" s="349" t="s">
        <v>239</v>
      </c>
      <c r="D101" s="350">
        <v>0</v>
      </c>
      <c r="E101" s="350">
        <f>H101+J101+L101</f>
        <v>0</v>
      </c>
      <c r="F101" s="351">
        <f>I101+K101+M101</f>
        <v>0</v>
      </c>
      <c r="G101" s="350" t="e">
        <f t="shared" si="28"/>
        <v>#DIV/0!</v>
      </c>
      <c r="H101" s="350">
        <f>'MMMH reszletes'!D174/1000</f>
        <v>0</v>
      </c>
      <c r="I101" s="351">
        <f>'MMMH reszletes'!E174/1000</f>
        <v>0</v>
      </c>
      <c r="J101" s="350">
        <f>'MMMH reszletes'!F174/1000</f>
        <v>0</v>
      </c>
      <c r="K101" s="351">
        <f>'MMMH reszletes'!G174/1000</f>
        <v>0</v>
      </c>
      <c r="L101" s="350">
        <f>'MMMH reszletes'!H174/1000</f>
        <v>0</v>
      </c>
      <c r="M101" s="351">
        <f>'MMMH reszletes'!I174/1000</f>
        <v>0</v>
      </c>
    </row>
    <row r="102" spans="1:13" s="317" customFormat="1" ht="14.1" customHeight="1">
      <c r="A102" s="335" t="s">
        <v>240</v>
      </c>
      <c r="B102" s="335" t="s">
        <v>740</v>
      </c>
      <c r="C102" s="336" t="s">
        <v>741</v>
      </c>
      <c r="D102" s="339">
        <f>D92+D99</f>
        <v>1530</v>
      </c>
      <c r="E102" s="339">
        <f>E92+E99</f>
        <v>1340</v>
      </c>
      <c r="F102" s="339">
        <f>F92+F99</f>
        <v>0</v>
      </c>
      <c r="G102" s="339">
        <f t="shared" si="28"/>
        <v>0</v>
      </c>
      <c r="H102" s="339">
        <f t="shared" ref="H102:M102" si="32">H92+H99</f>
        <v>335</v>
      </c>
      <c r="I102" s="339">
        <f t="shared" si="32"/>
        <v>0</v>
      </c>
      <c r="J102" s="339">
        <f t="shared" si="32"/>
        <v>1005</v>
      </c>
      <c r="K102" s="339">
        <f t="shared" si="32"/>
        <v>0</v>
      </c>
      <c r="L102" s="339">
        <f t="shared" si="32"/>
        <v>0</v>
      </c>
      <c r="M102" s="339">
        <f t="shared" si="32"/>
        <v>0</v>
      </c>
    </row>
    <row r="103" spans="1:13" s="317" customFormat="1" ht="14.1" customHeight="1">
      <c r="A103" s="322" t="s">
        <v>242</v>
      </c>
      <c r="B103" s="322" t="s">
        <v>752</v>
      </c>
      <c r="C103" s="323" t="s">
        <v>753</v>
      </c>
      <c r="D103" s="326">
        <f>SUM(D104:D107)</f>
        <v>18520</v>
      </c>
      <c r="E103" s="326">
        <f>SUM(E104:E107)</f>
        <v>20701</v>
      </c>
      <c r="F103" s="326">
        <f>SUM(F104:F107)</f>
        <v>0</v>
      </c>
      <c r="G103" s="326">
        <f t="shared" si="28"/>
        <v>0</v>
      </c>
      <c r="H103" s="326">
        <f t="shared" ref="H103:M103" si="33">SUM(H104:H107)</f>
        <v>0</v>
      </c>
      <c r="I103" s="326">
        <f t="shared" si="33"/>
        <v>0</v>
      </c>
      <c r="J103" s="326">
        <f t="shared" si="33"/>
        <v>20701</v>
      </c>
      <c r="K103" s="326">
        <f t="shared" si="33"/>
        <v>0</v>
      </c>
      <c r="L103" s="326">
        <f t="shared" si="33"/>
        <v>0</v>
      </c>
      <c r="M103" s="326">
        <f t="shared" si="33"/>
        <v>0</v>
      </c>
    </row>
    <row r="104" spans="1:13" ht="14.1" customHeight="1">
      <c r="A104" s="348"/>
      <c r="B104" s="348" t="s">
        <v>742</v>
      </c>
      <c r="C104" s="349" t="s">
        <v>920</v>
      </c>
      <c r="D104" s="350">
        <v>10000</v>
      </c>
      <c r="E104" s="350">
        <f t="shared" ref="E104:F108" si="34">H104+J104+L104</f>
        <v>11000</v>
      </c>
      <c r="F104" s="351">
        <f t="shared" si="34"/>
        <v>0</v>
      </c>
      <c r="G104" s="350">
        <f t="shared" si="28"/>
        <v>0</v>
      </c>
      <c r="H104" s="350">
        <f>'MMMH reszletes'!D177/1000</f>
        <v>0</v>
      </c>
      <c r="I104" s="351">
        <f>'MMMH reszletes'!E177/1000</f>
        <v>0</v>
      </c>
      <c r="J104" s="350">
        <f>'MMMH reszletes'!F177/1000</f>
        <v>11000</v>
      </c>
      <c r="K104" s="351">
        <f>'MMMH reszletes'!G177/1000</f>
        <v>0</v>
      </c>
      <c r="L104" s="350">
        <f>'MMMH reszletes'!H177/1000</f>
        <v>0</v>
      </c>
      <c r="M104" s="351">
        <f>'MMMH reszletes'!I177/1000</f>
        <v>0</v>
      </c>
    </row>
    <row r="105" spans="1:13" ht="14.1" customHeight="1">
      <c r="A105" s="348"/>
      <c r="B105" s="348" t="s">
        <v>745</v>
      </c>
      <c r="C105" s="349" t="s">
        <v>921</v>
      </c>
      <c r="D105" s="350">
        <v>8000</v>
      </c>
      <c r="E105" s="350">
        <f t="shared" si="34"/>
        <v>9181</v>
      </c>
      <c r="F105" s="351">
        <f t="shared" si="34"/>
        <v>0</v>
      </c>
      <c r="G105" s="350">
        <f t="shared" si="28"/>
        <v>0</v>
      </c>
      <c r="H105" s="350">
        <f>'MMMH reszletes'!D178/1000</f>
        <v>0</v>
      </c>
      <c r="I105" s="351">
        <f>'MMMH reszletes'!E178/1000</f>
        <v>0</v>
      </c>
      <c r="J105" s="350">
        <f>'MMMH reszletes'!F178/1000+1181</f>
        <v>9181</v>
      </c>
      <c r="K105" s="351">
        <f>'MMMH reszletes'!G178/1000</f>
        <v>0</v>
      </c>
      <c r="L105" s="350">
        <f>'MMMH reszletes'!H178/1000</f>
        <v>0</v>
      </c>
      <c r="M105" s="351">
        <f>'MMMH reszletes'!I178/1000</f>
        <v>0</v>
      </c>
    </row>
    <row r="106" spans="1:13" ht="14.1" customHeight="1">
      <c r="A106" s="348"/>
      <c r="B106" s="348" t="s">
        <v>748</v>
      </c>
      <c r="C106" s="349" t="s">
        <v>922</v>
      </c>
      <c r="D106" s="350">
        <v>0</v>
      </c>
      <c r="E106" s="350">
        <f t="shared" si="34"/>
        <v>0</v>
      </c>
      <c r="F106" s="351">
        <f t="shared" si="34"/>
        <v>0</v>
      </c>
      <c r="G106" s="350" t="e">
        <f t="shared" si="28"/>
        <v>#DIV/0!</v>
      </c>
      <c r="H106" s="350">
        <f>'MMMH reszletes'!D179/1000</f>
        <v>0</v>
      </c>
      <c r="I106" s="351">
        <f>'MMMH reszletes'!E179/1000</f>
        <v>0</v>
      </c>
      <c r="J106" s="350">
        <f>'MMMH reszletes'!F179/1000</f>
        <v>0</v>
      </c>
      <c r="K106" s="351">
        <f>'MMMH reszletes'!G179/1000</f>
        <v>0</v>
      </c>
      <c r="L106" s="350">
        <f>'MMMH reszletes'!H179/1000</f>
        <v>0</v>
      </c>
      <c r="M106" s="351">
        <f>'MMMH reszletes'!I179/1000</f>
        <v>0</v>
      </c>
    </row>
    <row r="107" spans="1:13" ht="14.1" customHeight="1">
      <c r="A107" s="348"/>
      <c r="B107" s="348" t="s">
        <v>750</v>
      </c>
      <c r="C107" s="349" t="s">
        <v>923</v>
      </c>
      <c r="D107" s="350">
        <v>520</v>
      </c>
      <c r="E107" s="350">
        <f t="shared" si="34"/>
        <v>520</v>
      </c>
      <c r="F107" s="351">
        <f t="shared" si="34"/>
        <v>0</v>
      </c>
      <c r="G107" s="350">
        <f t="shared" si="28"/>
        <v>0</v>
      </c>
      <c r="H107" s="350">
        <f>'MMMH reszletes'!D180/1000</f>
        <v>0</v>
      </c>
      <c r="I107" s="351">
        <f>'MMMH reszletes'!E180/1000</f>
        <v>0</v>
      </c>
      <c r="J107" s="350">
        <f>'MMMH reszletes'!F180/1000</f>
        <v>520</v>
      </c>
      <c r="K107" s="351">
        <f>'MMMH reszletes'!G180/1000</f>
        <v>0</v>
      </c>
      <c r="L107" s="350">
        <f>'MMMH reszletes'!H180/1000</f>
        <v>0</v>
      </c>
      <c r="M107" s="351">
        <f>'MMMH reszletes'!I180/1000</f>
        <v>0</v>
      </c>
    </row>
    <row r="108" spans="1:13" s="317" customFormat="1" ht="14.1" customHeight="1">
      <c r="A108" s="322" t="s">
        <v>244</v>
      </c>
      <c r="B108" s="322" t="s">
        <v>754</v>
      </c>
      <c r="C108" s="323" t="s">
        <v>245</v>
      </c>
      <c r="D108" s="326">
        <v>0</v>
      </c>
      <c r="E108" s="326">
        <f t="shared" si="34"/>
        <v>0</v>
      </c>
      <c r="F108" s="326">
        <f t="shared" si="34"/>
        <v>0</v>
      </c>
      <c r="G108" s="326" t="e">
        <f t="shared" si="28"/>
        <v>#DIV/0!</v>
      </c>
      <c r="H108" s="326">
        <f>'MMMH reszletes'!D181/1000</f>
        <v>0</v>
      </c>
      <c r="I108" s="326">
        <f>'MMMH reszletes'!E181/1000</f>
        <v>0</v>
      </c>
      <c r="J108" s="326">
        <f>'MMMH reszletes'!F181/1000</f>
        <v>0</v>
      </c>
      <c r="K108" s="326">
        <f>'MMMH reszletes'!G181/1000</f>
        <v>0</v>
      </c>
      <c r="L108" s="326">
        <f>'MMMH reszletes'!H181/1000</f>
        <v>0</v>
      </c>
      <c r="M108" s="326">
        <f>'MMMH reszletes'!I181/1000</f>
        <v>0</v>
      </c>
    </row>
    <row r="109" spans="1:13" s="317" customFormat="1" ht="14.1" customHeight="1">
      <c r="A109" s="322" t="s">
        <v>246</v>
      </c>
      <c r="B109" s="322" t="s">
        <v>924</v>
      </c>
      <c r="C109" s="323" t="s">
        <v>925</v>
      </c>
      <c r="D109" s="326">
        <f>SUM(D110:D111)</f>
        <v>1000</v>
      </c>
      <c r="E109" s="326">
        <f>SUM(E110:E111)</f>
        <v>50</v>
      </c>
      <c r="F109" s="326">
        <f>SUM(F110:F111)</f>
        <v>0</v>
      </c>
      <c r="G109" s="326">
        <f t="shared" si="28"/>
        <v>0</v>
      </c>
      <c r="H109" s="326">
        <f t="shared" ref="H109:M109" si="35">SUM(H110:H111)</f>
        <v>50</v>
      </c>
      <c r="I109" s="326">
        <f t="shared" si="35"/>
        <v>0</v>
      </c>
      <c r="J109" s="326">
        <f t="shared" si="35"/>
        <v>0</v>
      </c>
      <c r="K109" s="326">
        <f t="shared" si="35"/>
        <v>0</v>
      </c>
      <c r="L109" s="326">
        <f t="shared" si="35"/>
        <v>0</v>
      </c>
      <c r="M109" s="326">
        <f t="shared" si="35"/>
        <v>0</v>
      </c>
    </row>
    <row r="110" spans="1:13" ht="14.1" customHeight="1">
      <c r="A110" s="348"/>
      <c r="B110" s="348" t="s">
        <v>755</v>
      </c>
      <c r="C110" s="349" t="s">
        <v>926</v>
      </c>
      <c r="D110" s="350">
        <v>0</v>
      </c>
      <c r="E110" s="350">
        <f t="shared" ref="E110:F112" si="36">H110+J110+L110</f>
        <v>0</v>
      </c>
      <c r="F110" s="351">
        <f t="shared" si="36"/>
        <v>0</v>
      </c>
      <c r="G110" s="350" t="e">
        <f t="shared" si="28"/>
        <v>#DIV/0!</v>
      </c>
      <c r="H110" s="350">
        <f>'MMMH reszletes'!D183/1000</f>
        <v>0</v>
      </c>
      <c r="I110" s="351">
        <f>'MMMH reszletes'!E183/1000</f>
        <v>0</v>
      </c>
      <c r="J110" s="350">
        <f>'MMMH reszletes'!F183/1000</f>
        <v>0</v>
      </c>
      <c r="K110" s="351">
        <f>'MMMH reszletes'!G183/1000</f>
        <v>0</v>
      </c>
      <c r="L110" s="350">
        <f>'MMMH reszletes'!H183/1000</f>
        <v>0</v>
      </c>
      <c r="M110" s="351">
        <f>'MMMH reszletes'!I183/1000</f>
        <v>0</v>
      </c>
    </row>
    <row r="111" spans="1:13" ht="14.1" customHeight="1">
      <c r="A111" s="348"/>
      <c r="B111" s="348" t="s">
        <v>757</v>
      </c>
      <c r="C111" s="349" t="s">
        <v>758</v>
      </c>
      <c r="D111" s="350">
        <v>1000</v>
      </c>
      <c r="E111" s="350">
        <f t="shared" si="36"/>
        <v>50</v>
      </c>
      <c r="F111" s="351">
        <f t="shared" si="36"/>
        <v>0</v>
      </c>
      <c r="G111" s="350">
        <f t="shared" si="28"/>
        <v>0</v>
      </c>
      <c r="H111" s="350">
        <f>'MMMH reszletes'!D184/1000</f>
        <v>50</v>
      </c>
      <c r="I111" s="351">
        <f>'MMMH reszletes'!E184/1000</f>
        <v>0</v>
      </c>
      <c r="J111" s="350">
        <f>'MMMH reszletes'!F184/1000</f>
        <v>0</v>
      </c>
      <c r="K111" s="351">
        <f>'MMMH reszletes'!G184/1000</f>
        <v>0</v>
      </c>
      <c r="L111" s="350">
        <f>'MMMH reszletes'!H184/1000</f>
        <v>0</v>
      </c>
      <c r="M111" s="351">
        <f>'MMMH reszletes'!I184/1000</f>
        <v>0</v>
      </c>
    </row>
    <row r="112" spans="1:13" s="317" customFormat="1" ht="14.1" customHeight="1">
      <c r="A112" s="322" t="s">
        <v>248</v>
      </c>
      <c r="B112" s="322" t="s">
        <v>760</v>
      </c>
      <c r="C112" s="323" t="s">
        <v>249</v>
      </c>
      <c r="D112" s="326">
        <v>9150</v>
      </c>
      <c r="E112" s="326">
        <f t="shared" si="36"/>
        <v>9843.8119160000006</v>
      </c>
      <c r="F112" s="326">
        <f t="shared" si="36"/>
        <v>0</v>
      </c>
      <c r="G112" s="326">
        <f t="shared" si="28"/>
        <v>0</v>
      </c>
      <c r="H112" s="326">
        <f>'MMMH reszletes'!D189/1000</f>
        <v>0</v>
      </c>
      <c r="I112" s="326">
        <f>'MMMH reszletes'!E189/1000</f>
        <v>0</v>
      </c>
      <c r="J112" s="326">
        <f>'MMMH reszletes'!F189/1000</f>
        <v>9843.8119160000006</v>
      </c>
      <c r="K112" s="326">
        <f>'MMMH reszletes'!G189/1000</f>
        <v>0</v>
      </c>
      <c r="L112" s="326">
        <f>'MMMH reszletes'!H189/1000</f>
        <v>0</v>
      </c>
      <c r="M112" s="326">
        <f>'MMMH reszletes'!I189/1000</f>
        <v>0</v>
      </c>
    </row>
    <row r="113" spans="1:13" s="317" customFormat="1" ht="14.1" customHeight="1">
      <c r="A113" s="322" t="s">
        <v>250</v>
      </c>
      <c r="B113" s="322" t="s">
        <v>766</v>
      </c>
      <c r="C113" s="323" t="s">
        <v>767</v>
      </c>
      <c r="D113" s="326">
        <f>SUM(D114:D115)</f>
        <v>400</v>
      </c>
      <c r="E113" s="326">
        <f>SUM(E114:E115)</f>
        <v>2720</v>
      </c>
      <c r="F113" s="326">
        <f>SUM(F114:F115)</f>
        <v>0</v>
      </c>
      <c r="G113" s="326">
        <f t="shared" si="28"/>
        <v>0</v>
      </c>
      <c r="H113" s="326">
        <f t="shared" ref="H113:M113" si="37">SUM(H114:H115)</f>
        <v>0</v>
      </c>
      <c r="I113" s="326">
        <f t="shared" si="37"/>
        <v>0</v>
      </c>
      <c r="J113" s="326">
        <f t="shared" si="37"/>
        <v>2720</v>
      </c>
      <c r="K113" s="326">
        <f t="shared" si="37"/>
        <v>0</v>
      </c>
      <c r="L113" s="326">
        <f t="shared" si="37"/>
        <v>0</v>
      </c>
      <c r="M113" s="326">
        <f t="shared" si="37"/>
        <v>0</v>
      </c>
    </row>
    <row r="114" spans="1:13" ht="14.1" customHeight="1">
      <c r="A114" s="348"/>
      <c r="B114" s="348" t="s">
        <v>762</v>
      </c>
      <c r="C114" s="349" t="s">
        <v>927</v>
      </c>
      <c r="D114" s="350">
        <v>0</v>
      </c>
      <c r="E114" s="350">
        <f>H114+J114+L114</f>
        <v>2120</v>
      </c>
      <c r="F114" s="351">
        <f>I114+K114+M114</f>
        <v>0</v>
      </c>
      <c r="G114" s="350">
        <f t="shared" si="28"/>
        <v>0</v>
      </c>
      <c r="H114" s="350">
        <f>'MMMH reszletes'!D209/1000</f>
        <v>0</v>
      </c>
      <c r="I114" s="351">
        <f>'MMMH reszletes'!E209/1000</f>
        <v>0</v>
      </c>
      <c r="J114" s="350">
        <f>'MMMH reszletes'!F209/1000</f>
        <v>2120</v>
      </c>
      <c r="K114" s="351">
        <f>'MMMH reszletes'!G209/1000</f>
        <v>0</v>
      </c>
      <c r="L114" s="350">
        <f>'MMMH reszletes'!H209/1000</f>
        <v>0</v>
      </c>
      <c r="M114" s="351">
        <f>'MMMH reszletes'!I209/1000</f>
        <v>0</v>
      </c>
    </row>
    <row r="115" spans="1:13" ht="14.1" customHeight="1">
      <c r="A115" s="348"/>
      <c r="B115" s="348" t="s">
        <v>764</v>
      </c>
      <c r="C115" s="349" t="s">
        <v>928</v>
      </c>
      <c r="D115" s="350">
        <v>400</v>
      </c>
      <c r="E115" s="350">
        <f>H115+J115+L115</f>
        <v>600</v>
      </c>
      <c r="F115" s="351">
        <f>I115+K115+M115</f>
        <v>0</v>
      </c>
      <c r="G115" s="350">
        <f t="shared" si="28"/>
        <v>0</v>
      </c>
      <c r="H115" s="350">
        <f>'MMMH reszletes'!D212/1000</f>
        <v>0</v>
      </c>
      <c r="I115" s="351">
        <f>'MMMH reszletes'!E212/1000</f>
        <v>0</v>
      </c>
      <c r="J115" s="350">
        <f>'MMMH reszletes'!F212/1000</f>
        <v>600</v>
      </c>
      <c r="K115" s="351">
        <f>'MMMH reszletes'!G212/1000</f>
        <v>0</v>
      </c>
      <c r="L115" s="350">
        <f>'MMMH reszletes'!H212/1000</f>
        <v>0</v>
      </c>
      <c r="M115" s="351">
        <f>'MMMH reszletes'!I212/1000</f>
        <v>0</v>
      </c>
    </row>
    <row r="116" spans="1:13" s="317" customFormat="1" ht="14.1" customHeight="1">
      <c r="A116" s="322" t="s">
        <v>252</v>
      </c>
      <c r="B116" s="322" t="s">
        <v>774</v>
      </c>
      <c r="C116" s="323" t="s">
        <v>253</v>
      </c>
      <c r="D116" s="326">
        <f>SUM(D117:D119)</f>
        <v>23520</v>
      </c>
      <c r="E116" s="326">
        <f>SUM(E117:E119)</f>
        <v>19000</v>
      </c>
      <c r="F116" s="326">
        <f>SUM(F117:F119)</f>
        <v>0</v>
      </c>
      <c r="G116" s="326">
        <f t="shared" si="28"/>
        <v>0</v>
      </c>
      <c r="H116" s="326">
        <f t="shared" ref="H116:M116" si="38">SUM(H117:H119)</f>
        <v>15900</v>
      </c>
      <c r="I116" s="326">
        <f t="shared" si="38"/>
        <v>0</v>
      </c>
      <c r="J116" s="326">
        <f t="shared" si="38"/>
        <v>0</v>
      </c>
      <c r="K116" s="326">
        <f t="shared" si="38"/>
        <v>0</v>
      </c>
      <c r="L116" s="326">
        <f t="shared" si="38"/>
        <v>3100</v>
      </c>
      <c r="M116" s="326">
        <f t="shared" si="38"/>
        <v>0</v>
      </c>
    </row>
    <row r="117" spans="1:13" ht="14.1" customHeight="1">
      <c r="A117" s="348"/>
      <c r="B117" s="348" t="s">
        <v>768</v>
      </c>
      <c r="C117" s="349" t="s">
        <v>769</v>
      </c>
      <c r="D117" s="350">
        <v>80</v>
      </c>
      <c r="E117" s="350">
        <f t="shared" ref="E117:F119" si="39">H117+J117+L117</f>
        <v>0</v>
      </c>
      <c r="F117" s="351">
        <f t="shared" si="39"/>
        <v>0</v>
      </c>
      <c r="G117" s="350" t="e">
        <f t="shared" si="28"/>
        <v>#DIV/0!</v>
      </c>
      <c r="H117" s="350">
        <f>'MMMH reszletes'!D216/1000</f>
        <v>0</v>
      </c>
      <c r="I117" s="351">
        <f>'MMMH reszletes'!E216/1000</f>
        <v>0</v>
      </c>
      <c r="J117" s="350">
        <f>'MMMH reszletes'!F216/1000</f>
        <v>0</v>
      </c>
      <c r="K117" s="351">
        <f>'MMMH reszletes'!G216/1000</f>
        <v>0</v>
      </c>
      <c r="L117" s="350">
        <f>'MMMH reszletes'!H216/1000</f>
        <v>0</v>
      </c>
      <c r="M117" s="351">
        <f>'MMMH reszletes'!I216/1000</f>
        <v>0</v>
      </c>
    </row>
    <row r="118" spans="1:13" ht="14.1" customHeight="1">
      <c r="A118" s="348"/>
      <c r="B118" s="348" t="s">
        <v>770</v>
      </c>
      <c r="C118" s="349" t="s">
        <v>929</v>
      </c>
      <c r="D118" s="350">
        <v>10340</v>
      </c>
      <c r="E118" s="350">
        <f t="shared" si="39"/>
        <v>8600</v>
      </c>
      <c r="F118" s="351">
        <f t="shared" si="39"/>
        <v>0</v>
      </c>
      <c r="G118" s="350">
        <f t="shared" si="28"/>
        <v>0</v>
      </c>
      <c r="H118" s="350">
        <f>'MMMH reszletes'!D219/1000</f>
        <v>7000</v>
      </c>
      <c r="I118" s="351">
        <f>'MMMH reszletes'!E219/1000</f>
        <v>0</v>
      </c>
      <c r="J118" s="350">
        <f>'MMMH reszletes'!F219/1000</f>
        <v>0</v>
      </c>
      <c r="K118" s="351">
        <f>'MMMH reszletes'!G219/1000</f>
        <v>0</v>
      </c>
      <c r="L118" s="350">
        <f>'MMMH reszletes'!H219/1000</f>
        <v>1600</v>
      </c>
      <c r="M118" s="351">
        <f>'MMMH reszletes'!I219/1000</f>
        <v>0</v>
      </c>
    </row>
    <row r="119" spans="1:13" ht="14.1" customHeight="1">
      <c r="A119" s="348"/>
      <c r="B119" s="348" t="s">
        <v>772</v>
      </c>
      <c r="C119" s="349" t="s">
        <v>773</v>
      </c>
      <c r="D119" s="350">
        <v>13100</v>
      </c>
      <c r="E119" s="350">
        <f t="shared" si="39"/>
        <v>10400</v>
      </c>
      <c r="F119" s="351">
        <f t="shared" si="39"/>
        <v>0</v>
      </c>
      <c r="G119" s="350">
        <f t="shared" si="28"/>
        <v>0</v>
      </c>
      <c r="H119" s="350">
        <f>'MMMH reszletes'!D232/1000</f>
        <v>8900</v>
      </c>
      <c r="I119" s="351">
        <f>'MMMH reszletes'!E232/1000</f>
        <v>0</v>
      </c>
      <c r="J119" s="350">
        <f>'MMMH reszletes'!F232/1000</f>
        <v>0</v>
      </c>
      <c r="K119" s="351">
        <f>'MMMH reszletes'!G232/1000</f>
        <v>0</v>
      </c>
      <c r="L119" s="350">
        <f>'MMMH reszletes'!H232/1000</f>
        <v>1500</v>
      </c>
      <c r="M119" s="351">
        <f>'MMMH reszletes'!I232/1000</f>
        <v>0</v>
      </c>
    </row>
    <row r="120" spans="1:13" s="317" customFormat="1" ht="14.1" customHeight="1">
      <c r="A120" s="322" t="s">
        <v>254</v>
      </c>
      <c r="B120" s="322" t="s">
        <v>784</v>
      </c>
      <c r="C120" s="323" t="s">
        <v>785</v>
      </c>
      <c r="D120" s="326">
        <f>SUM(D121:D124)</f>
        <v>10393</v>
      </c>
      <c r="E120" s="326">
        <f>SUM(E121:E124)</f>
        <v>11630.616</v>
      </c>
      <c r="F120" s="326">
        <f>SUM(F121:F124)</f>
        <v>0</v>
      </c>
      <c r="G120" s="326">
        <f t="shared" si="28"/>
        <v>0</v>
      </c>
      <c r="H120" s="326">
        <f t="shared" ref="H120:M120" si="40">SUM(H121:H124)</f>
        <v>60</v>
      </c>
      <c r="I120" s="326">
        <f t="shared" si="40"/>
        <v>0</v>
      </c>
      <c r="J120" s="326">
        <f t="shared" si="40"/>
        <v>11570.616</v>
      </c>
      <c r="K120" s="326">
        <f t="shared" si="40"/>
        <v>0</v>
      </c>
      <c r="L120" s="326">
        <f t="shared" si="40"/>
        <v>0</v>
      </c>
      <c r="M120" s="326">
        <f t="shared" si="40"/>
        <v>0</v>
      </c>
    </row>
    <row r="121" spans="1:13" ht="14.1" customHeight="1">
      <c r="A121" s="348"/>
      <c r="B121" s="348" t="s">
        <v>776</v>
      </c>
      <c r="C121" s="349" t="s">
        <v>777</v>
      </c>
      <c r="D121" s="350">
        <v>0</v>
      </c>
      <c r="E121" s="350">
        <f t="shared" ref="E121:F124" si="41">H121+J121+L121</f>
        <v>0</v>
      </c>
      <c r="F121" s="351">
        <f t="shared" si="41"/>
        <v>0</v>
      </c>
      <c r="G121" s="350" t="e">
        <f t="shared" si="28"/>
        <v>#DIV/0!</v>
      </c>
      <c r="H121" s="350">
        <f>'MMMH reszletes'!D247/1000</f>
        <v>0</v>
      </c>
      <c r="I121" s="351">
        <f>'MMMH reszletes'!E247/1000</f>
        <v>0</v>
      </c>
      <c r="J121" s="350">
        <f>'MMMH reszletes'!F247/1000</f>
        <v>0</v>
      </c>
      <c r="K121" s="351">
        <f>'MMMH reszletes'!G247/1000</f>
        <v>0</v>
      </c>
      <c r="L121" s="350">
        <f>'MMMH reszletes'!H247/1000</f>
        <v>0</v>
      </c>
      <c r="M121" s="351">
        <f>'MMMH reszletes'!I247/1000</f>
        <v>0</v>
      </c>
    </row>
    <row r="122" spans="1:13" ht="14.1" customHeight="1">
      <c r="A122" s="348"/>
      <c r="B122" s="348" t="s">
        <v>778</v>
      </c>
      <c r="C122" s="349" t="s">
        <v>779</v>
      </c>
      <c r="D122" s="350">
        <v>182</v>
      </c>
      <c r="E122" s="350">
        <f t="shared" si="41"/>
        <v>250</v>
      </c>
      <c r="F122" s="351">
        <f t="shared" si="41"/>
        <v>0</v>
      </c>
      <c r="G122" s="350">
        <f t="shared" si="28"/>
        <v>0</v>
      </c>
      <c r="H122" s="350">
        <f>'MMMH reszletes'!D248/1000</f>
        <v>0</v>
      </c>
      <c r="I122" s="351">
        <f>'MMMH reszletes'!E248/1000</f>
        <v>0</v>
      </c>
      <c r="J122" s="350">
        <f>'MMMH reszletes'!F248/1000</f>
        <v>250</v>
      </c>
      <c r="K122" s="351">
        <f>'MMMH reszletes'!G248/1000</f>
        <v>0</v>
      </c>
      <c r="L122" s="350">
        <f>'MMMH reszletes'!H248/1000</f>
        <v>0</v>
      </c>
      <c r="M122" s="351">
        <f>'MMMH reszletes'!I248/1000</f>
        <v>0</v>
      </c>
    </row>
    <row r="123" spans="1:13" ht="14.1" customHeight="1">
      <c r="A123" s="348"/>
      <c r="B123" s="348" t="s">
        <v>780</v>
      </c>
      <c r="C123" s="349" t="s">
        <v>781</v>
      </c>
      <c r="D123" s="350">
        <v>200</v>
      </c>
      <c r="E123" s="350">
        <f t="shared" si="41"/>
        <v>80</v>
      </c>
      <c r="F123" s="351">
        <f t="shared" si="41"/>
        <v>0</v>
      </c>
      <c r="G123" s="350">
        <f t="shared" si="28"/>
        <v>0</v>
      </c>
      <c r="H123" s="350">
        <f>'MMMH reszletes'!D250/1000</f>
        <v>60</v>
      </c>
      <c r="I123" s="351">
        <f>'MMMH reszletes'!E250/1000</f>
        <v>0</v>
      </c>
      <c r="J123" s="350">
        <f>'MMMH reszletes'!F250/1000</f>
        <v>20</v>
      </c>
      <c r="K123" s="351">
        <f>'MMMH reszletes'!G250/1000</f>
        <v>0</v>
      </c>
      <c r="L123" s="350">
        <f>'MMMH reszletes'!H250/1000</f>
        <v>0</v>
      </c>
      <c r="M123" s="351">
        <f>'MMMH reszletes'!I250/1000</f>
        <v>0</v>
      </c>
    </row>
    <row r="124" spans="1:13" ht="14.1" customHeight="1">
      <c r="A124" s="348"/>
      <c r="B124" s="348" t="s">
        <v>782</v>
      </c>
      <c r="C124" s="349" t="s">
        <v>930</v>
      </c>
      <c r="D124" s="350">
        <v>10011</v>
      </c>
      <c r="E124" s="350">
        <f t="shared" si="41"/>
        <v>11300.616</v>
      </c>
      <c r="F124" s="351">
        <f t="shared" si="41"/>
        <v>0</v>
      </c>
      <c r="G124" s="350">
        <f t="shared" si="28"/>
        <v>0</v>
      </c>
      <c r="H124" s="350">
        <f>'MMMH reszletes'!D255/1000</f>
        <v>0</v>
      </c>
      <c r="I124" s="351">
        <f>'MMMH reszletes'!E255/1000</f>
        <v>0</v>
      </c>
      <c r="J124" s="350">
        <f>'MMMH reszletes'!F255/1000</f>
        <v>11300.616</v>
      </c>
      <c r="K124" s="351">
        <f>'MMMH reszletes'!G255/1000</f>
        <v>0</v>
      </c>
      <c r="L124" s="350">
        <f>'MMMH reszletes'!H255/1000</f>
        <v>0</v>
      </c>
      <c r="M124" s="351">
        <f>'MMMH reszletes'!I255/1000</f>
        <v>0</v>
      </c>
    </row>
    <row r="125" spans="1:13" s="317" customFormat="1" ht="14.1" customHeight="1">
      <c r="A125" s="335" t="s">
        <v>256</v>
      </c>
      <c r="B125" s="335" t="s">
        <v>786</v>
      </c>
      <c r="C125" s="336" t="s">
        <v>787</v>
      </c>
      <c r="D125" s="339">
        <f>D103+D108+D109+D112+D113+D116+D120</f>
        <v>62983</v>
      </c>
      <c r="E125" s="339">
        <f>E103+E108+E109+E112+E113+E116+E120</f>
        <v>63945.427916000001</v>
      </c>
      <c r="F125" s="339">
        <f>F103+F108+F109+F112+F113+F116+F120</f>
        <v>0</v>
      </c>
      <c r="G125" s="339">
        <f t="shared" si="28"/>
        <v>0</v>
      </c>
      <c r="H125" s="339">
        <f t="shared" ref="H125:M125" si="42">H103+H108+H109+H112+H113+H116+H120</f>
        <v>16010</v>
      </c>
      <c r="I125" s="339">
        <f t="shared" si="42"/>
        <v>0</v>
      </c>
      <c r="J125" s="339">
        <f t="shared" si="42"/>
        <v>44835.427916000001</v>
      </c>
      <c r="K125" s="339">
        <f t="shared" si="42"/>
        <v>0</v>
      </c>
      <c r="L125" s="339">
        <f t="shared" si="42"/>
        <v>3100</v>
      </c>
      <c r="M125" s="339">
        <f t="shared" si="42"/>
        <v>0</v>
      </c>
    </row>
    <row r="126" spans="1:13" s="317" customFormat="1" ht="14.1" customHeight="1">
      <c r="A126" s="322" t="s">
        <v>258</v>
      </c>
      <c r="B126" s="322" t="s">
        <v>792</v>
      </c>
      <c r="C126" s="323" t="s">
        <v>793</v>
      </c>
      <c r="D126" s="326">
        <f>SUM(D127:D128)</f>
        <v>150</v>
      </c>
      <c r="E126" s="326">
        <f>SUM(E127:E128)</f>
        <v>60</v>
      </c>
      <c r="F126" s="326">
        <f>SUM(F127:F128)</f>
        <v>0</v>
      </c>
      <c r="G126" s="326">
        <f t="shared" si="28"/>
        <v>0</v>
      </c>
      <c r="H126" s="326">
        <f t="shared" ref="H126:M126" si="43">SUM(H127:H128)</f>
        <v>15</v>
      </c>
      <c r="I126" s="326">
        <f t="shared" si="43"/>
        <v>0</v>
      </c>
      <c r="J126" s="326">
        <f t="shared" si="43"/>
        <v>45</v>
      </c>
      <c r="K126" s="326">
        <f t="shared" si="43"/>
        <v>0</v>
      </c>
      <c r="L126" s="326">
        <f t="shared" si="43"/>
        <v>0</v>
      </c>
      <c r="M126" s="326">
        <f t="shared" si="43"/>
        <v>0</v>
      </c>
    </row>
    <row r="127" spans="1:13" ht="14.1" customHeight="1">
      <c r="A127" s="348"/>
      <c r="B127" s="348" t="s">
        <v>788</v>
      </c>
      <c r="C127" s="349" t="s">
        <v>789</v>
      </c>
      <c r="D127" s="350">
        <v>150</v>
      </c>
      <c r="E127" s="350">
        <f t="shared" ref="E127:F129" si="44">H127+J127+L127</f>
        <v>60</v>
      </c>
      <c r="F127" s="351">
        <f t="shared" si="44"/>
        <v>0</v>
      </c>
      <c r="G127" s="350">
        <f t="shared" si="28"/>
        <v>0</v>
      </c>
      <c r="H127" s="350">
        <f>'MMMH reszletes'!D275/1000</f>
        <v>15</v>
      </c>
      <c r="I127" s="351">
        <f>'MMMH reszletes'!E275/1000</f>
        <v>0</v>
      </c>
      <c r="J127" s="350">
        <f>'MMMH reszletes'!F275/1000</f>
        <v>45</v>
      </c>
      <c r="K127" s="351">
        <f>'MMMH reszletes'!G275/1000</f>
        <v>0</v>
      </c>
      <c r="L127" s="350">
        <f>'MMMH reszletes'!H275/1000</f>
        <v>0</v>
      </c>
      <c r="M127" s="351">
        <f>'MMMH reszletes'!I275/1000</f>
        <v>0</v>
      </c>
    </row>
    <row r="128" spans="1:13" ht="14.1" customHeight="1">
      <c r="A128" s="348"/>
      <c r="B128" s="348" t="s">
        <v>790</v>
      </c>
      <c r="C128" s="349" t="s">
        <v>791</v>
      </c>
      <c r="D128" s="350">
        <v>0</v>
      </c>
      <c r="E128" s="350">
        <f t="shared" si="44"/>
        <v>0</v>
      </c>
      <c r="F128" s="351">
        <f t="shared" si="44"/>
        <v>0</v>
      </c>
      <c r="G128" s="350" t="e">
        <f t="shared" si="28"/>
        <v>#DIV/0!</v>
      </c>
      <c r="H128" s="350">
        <f>'MMMH reszletes'!D280/1000</f>
        <v>0</v>
      </c>
      <c r="I128" s="351">
        <f>'MMMH reszletes'!E280/1000</f>
        <v>0</v>
      </c>
      <c r="J128" s="350">
        <f>'MMMH reszletes'!F280/1000</f>
        <v>0</v>
      </c>
      <c r="K128" s="351">
        <f>'MMMH reszletes'!G280/1000</f>
        <v>0</v>
      </c>
      <c r="L128" s="350">
        <f>'MMMH reszletes'!H280/1000</f>
        <v>0</v>
      </c>
      <c r="M128" s="351">
        <f>'MMMH reszletes'!I280/1000</f>
        <v>0</v>
      </c>
    </row>
    <row r="129" spans="1:13" s="317" customFormat="1" ht="14.1" customHeight="1">
      <c r="A129" s="322" t="s">
        <v>260</v>
      </c>
      <c r="B129" s="322" t="s">
        <v>794</v>
      </c>
      <c r="C129" s="323" t="s">
        <v>931</v>
      </c>
      <c r="D129" s="326">
        <v>2400</v>
      </c>
      <c r="E129" s="326">
        <f t="shared" si="44"/>
        <v>1900</v>
      </c>
      <c r="F129" s="326">
        <f t="shared" si="44"/>
        <v>0</v>
      </c>
      <c r="G129" s="326">
        <f t="shared" si="28"/>
        <v>0</v>
      </c>
      <c r="H129" s="326">
        <f>'MMMH reszletes'!D281/1000</f>
        <v>1900</v>
      </c>
      <c r="I129" s="326">
        <f>'MMMH reszletes'!E281/1000</f>
        <v>0</v>
      </c>
      <c r="J129" s="326">
        <f>'MMMH reszletes'!F281/1000</f>
        <v>0</v>
      </c>
      <c r="K129" s="326">
        <f>'MMMH reszletes'!G281/1000</f>
        <v>0</v>
      </c>
      <c r="L129" s="326">
        <f>'MMMH reszletes'!H281/1000</f>
        <v>0</v>
      </c>
      <c r="M129" s="326">
        <f>'MMMH reszletes'!I281/1000</f>
        <v>0</v>
      </c>
    </row>
    <row r="130" spans="1:13" s="317" customFormat="1" ht="14.1" customHeight="1">
      <c r="A130" s="335" t="s">
        <v>262</v>
      </c>
      <c r="B130" s="335" t="s">
        <v>795</v>
      </c>
      <c r="C130" s="336" t="s">
        <v>796</v>
      </c>
      <c r="D130" s="339">
        <f>D126+D129</f>
        <v>2550</v>
      </c>
      <c r="E130" s="339">
        <f>E126+E129</f>
        <v>1960</v>
      </c>
      <c r="F130" s="339">
        <f>F126+F129</f>
        <v>0</v>
      </c>
      <c r="G130" s="339">
        <f t="shared" si="28"/>
        <v>0</v>
      </c>
      <c r="H130" s="339">
        <f t="shared" ref="H130:M130" si="45">H126+H129</f>
        <v>1915</v>
      </c>
      <c r="I130" s="339">
        <f t="shared" si="45"/>
        <v>0</v>
      </c>
      <c r="J130" s="339">
        <f t="shared" si="45"/>
        <v>45</v>
      </c>
      <c r="K130" s="339">
        <f t="shared" si="45"/>
        <v>0</v>
      </c>
      <c r="L130" s="339">
        <f t="shared" si="45"/>
        <v>0</v>
      </c>
      <c r="M130" s="339">
        <f t="shared" si="45"/>
        <v>0</v>
      </c>
    </row>
    <row r="131" spans="1:13" s="317" customFormat="1" ht="14.1" customHeight="1">
      <c r="A131" s="322" t="s">
        <v>264</v>
      </c>
      <c r="B131" s="322" t="s">
        <v>801</v>
      </c>
      <c r="C131" s="323" t="s">
        <v>932</v>
      </c>
      <c r="D131" s="326">
        <f>SUM(D132:D133)</f>
        <v>19431</v>
      </c>
      <c r="E131" s="326">
        <f>SUM(E132:E133)</f>
        <v>18815.19553732</v>
      </c>
      <c r="F131" s="326">
        <f>SUM(F132:F133)</f>
        <v>0</v>
      </c>
      <c r="G131" s="326">
        <f t="shared" si="28"/>
        <v>0</v>
      </c>
      <c r="H131" s="326">
        <f t="shared" ref="H131:M131" si="46">SUM(H132:H133)</f>
        <v>5132.7</v>
      </c>
      <c r="I131" s="326">
        <f t="shared" si="46"/>
        <v>0</v>
      </c>
      <c r="J131" s="326">
        <f t="shared" si="46"/>
        <v>12845.495537320001</v>
      </c>
      <c r="K131" s="326">
        <f t="shared" si="46"/>
        <v>0</v>
      </c>
      <c r="L131" s="326">
        <f t="shared" si="46"/>
        <v>837</v>
      </c>
      <c r="M131" s="326">
        <f t="shared" si="46"/>
        <v>0</v>
      </c>
    </row>
    <row r="132" spans="1:13" ht="14.1" customHeight="1">
      <c r="A132" s="348"/>
      <c r="B132" s="348" t="s">
        <v>797</v>
      </c>
      <c r="C132" s="349" t="s">
        <v>933</v>
      </c>
      <c r="D132" s="350">
        <v>2000</v>
      </c>
      <c r="E132" s="350">
        <f>H132+J132+L132</f>
        <v>6010.2</v>
      </c>
      <c r="F132" s="351">
        <f>I132+K132+M132</f>
        <v>0</v>
      </c>
      <c r="G132" s="350">
        <f t="shared" si="28"/>
        <v>0</v>
      </c>
      <c r="H132" s="350">
        <f>'MMMH reszletes'!D288/1000</f>
        <v>4428</v>
      </c>
      <c r="I132" s="351">
        <f>'MMMH reszletes'!E288/1000</f>
        <v>0</v>
      </c>
      <c r="J132" s="350">
        <f>'MMMH reszletes'!F288/1000</f>
        <v>745.2</v>
      </c>
      <c r="K132" s="351">
        <f>'MMMH reszletes'!G288/1000</f>
        <v>0</v>
      </c>
      <c r="L132" s="350">
        <f>'MMMH reszletes'!H288/1000</f>
        <v>837</v>
      </c>
      <c r="M132" s="351">
        <f>'MMMH reszletes'!I288/1000</f>
        <v>0</v>
      </c>
    </row>
    <row r="133" spans="1:13" ht="14.1" customHeight="1">
      <c r="A133" s="348"/>
      <c r="B133" s="348" t="s">
        <v>799</v>
      </c>
      <c r="C133" s="349" t="s">
        <v>934</v>
      </c>
      <c r="D133" s="350">
        <v>17431</v>
      </c>
      <c r="E133" s="350">
        <f>H133+J133+L133</f>
        <v>12804.995537320001</v>
      </c>
      <c r="F133" s="351">
        <f>I133+K133+M133</f>
        <v>0</v>
      </c>
      <c r="G133" s="350">
        <f t="shared" si="28"/>
        <v>0</v>
      </c>
      <c r="H133" s="350">
        <f>'MMMH reszletes'!D289/1000</f>
        <v>704.7</v>
      </c>
      <c r="I133" s="351">
        <f>'MMMH reszletes'!E289/1000</f>
        <v>0</v>
      </c>
      <c r="J133" s="350">
        <f>'MMMH reszletes'!F289/1000+319</f>
        <v>12100.29553732</v>
      </c>
      <c r="K133" s="351">
        <f>'MMMH reszletes'!G289/1000</f>
        <v>0</v>
      </c>
      <c r="L133" s="350">
        <f>'MMMH reszletes'!H289/1000</f>
        <v>0</v>
      </c>
      <c r="M133" s="351">
        <f>'MMMH reszletes'!I289/1000</f>
        <v>0</v>
      </c>
    </row>
    <row r="134" spans="1:13" s="317" customFormat="1" ht="14.1" customHeight="1">
      <c r="A134" s="322" t="s">
        <v>266</v>
      </c>
      <c r="B134" s="322" t="s">
        <v>809</v>
      </c>
      <c r="C134" s="323" t="s">
        <v>935</v>
      </c>
      <c r="D134" s="326">
        <f>SUM(D135:D137)</f>
        <v>4000</v>
      </c>
      <c r="E134" s="326">
        <f>SUM(E135:E137)</f>
        <v>5000</v>
      </c>
      <c r="F134" s="326">
        <f>SUM(F135:F137)</f>
        <v>0</v>
      </c>
      <c r="G134" s="326">
        <f t="shared" si="28"/>
        <v>0</v>
      </c>
      <c r="H134" s="326">
        <f t="shared" ref="H134:M134" si="47">SUM(H135:H137)</f>
        <v>5000</v>
      </c>
      <c r="I134" s="326">
        <f t="shared" si="47"/>
        <v>0</v>
      </c>
      <c r="J134" s="326">
        <f t="shared" si="47"/>
        <v>0</v>
      </c>
      <c r="K134" s="326">
        <f t="shared" si="47"/>
        <v>0</v>
      </c>
      <c r="L134" s="326">
        <f t="shared" si="47"/>
        <v>0</v>
      </c>
      <c r="M134" s="326">
        <f t="shared" si="47"/>
        <v>0</v>
      </c>
    </row>
    <row r="135" spans="1:13" ht="14.1" customHeight="1">
      <c r="A135" s="348"/>
      <c r="B135" s="348" t="s">
        <v>803</v>
      </c>
      <c r="C135" s="349" t="s">
        <v>804</v>
      </c>
      <c r="D135" s="350">
        <v>4000</v>
      </c>
      <c r="E135" s="350">
        <f t="shared" ref="E135:F137" si="48">H135+J135+L135</f>
        <v>5000</v>
      </c>
      <c r="F135" s="351">
        <f t="shared" si="48"/>
        <v>0</v>
      </c>
      <c r="G135" s="350">
        <f t="shared" si="28"/>
        <v>0</v>
      </c>
      <c r="H135" s="350">
        <f>'MMMH reszletes'!D291/1000</f>
        <v>5000</v>
      </c>
      <c r="I135" s="351">
        <f>'MMMH reszletes'!E291/1000</f>
        <v>0</v>
      </c>
      <c r="J135" s="350">
        <f>'MMMH reszletes'!F291/1000</f>
        <v>0</v>
      </c>
      <c r="K135" s="351">
        <f>'MMMH reszletes'!G291/1000</f>
        <v>0</v>
      </c>
      <c r="L135" s="350">
        <f>'MMMH reszletes'!H291/1000</f>
        <v>0</v>
      </c>
      <c r="M135" s="351">
        <f>'MMMH reszletes'!I291/1000</f>
        <v>0</v>
      </c>
    </row>
    <row r="136" spans="1:13" ht="14.1" customHeight="1">
      <c r="A136" s="348"/>
      <c r="B136" s="348" t="s">
        <v>805</v>
      </c>
      <c r="C136" s="349" t="s">
        <v>936</v>
      </c>
      <c r="D136" s="350">
        <v>0</v>
      </c>
      <c r="E136" s="350">
        <f t="shared" si="48"/>
        <v>0</v>
      </c>
      <c r="F136" s="351">
        <f t="shared" si="48"/>
        <v>0</v>
      </c>
      <c r="G136" s="350" t="e">
        <f t="shared" si="28"/>
        <v>#DIV/0!</v>
      </c>
      <c r="H136" s="350">
        <f>'MMMH reszletes'!D292/1000</f>
        <v>0</v>
      </c>
      <c r="I136" s="351">
        <f>'MMMH reszletes'!E292/1000</f>
        <v>0</v>
      </c>
      <c r="J136" s="350">
        <f>'MMMH reszletes'!F292/1000</f>
        <v>0</v>
      </c>
      <c r="K136" s="351">
        <f>'MMMH reszletes'!G292/1000</f>
        <v>0</v>
      </c>
      <c r="L136" s="350">
        <f>'MMMH reszletes'!H292/1000</f>
        <v>0</v>
      </c>
      <c r="M136" s="351">
        <f>'MMMH reszletes'!I292/1000</f>
        <v>0</v>
      </c>
    </row>
    <row r="137" spans="1:13" ht="14.1" customHeight="1">
      <c r="A137" s="348"/>
      <c r="B137" s="348" t="s">
        <v>807</v>
      </c>
      <c r="C137" s="349" t="s">
        <v>937</v>
      </c>
      <c r="D137" s="350">
        <v>0</v>
      </c>
      <c r="E137" s="350">
        <f t="shared" si="48"/>
        <v>0</v>
      </c>
      <c r="F137" s="351">
        <f t="shared" si="48"/>
        <v>0</v>
      </c>
      <c r="G137" s="350" t="e">
        <f t="shared" si="28"/>
        <v>#DIV/0!</v>
      </c>
      <c r="H137" s="350">
        <f>'MMMH reszletes'!D293/1000</f>
        <v>0</v>
      </c>
      <c r="I137" s="351">
        <f>'MMMH reszletes'!E293/1000</f>
        <v>0</v>
      </c>
      <c r="J137" s="350">
        <f>'MMMH reszletes'!F293/1000</f>
        <v>0</v>
      </c>
      <c r="K137" s="351">
        <f>'MMMH reszletes'!G293/1000</f>
        <v>0</v>
      </c>
      <c r="L137" s="350">
        <f>'MMMH reszletes'!H293/1000</f>
        <v>0</v>
      </c>
      <c r="M137" s="351">
        <f>'MMMH reszletes'!I293/1000</f>
        <v>0</v>
      </c>
    </row>
    <row r="138" spans="1:13" s="317" customFormat="1" ht="14.1" customHeight="1">
      <c r="A138" s="322" t="s">
        <v>268</v>
      </c>
      <c r="B138" s="322" t="s">
        <v>819</v>
      </c>
      <c r="C138" s="323" t="s">
        <v>269</v>
      </c>
      <c r="D138" s="326">
        <f>SUM(D139:D142)</f>
        <v>0</v>
      </c>
      <c r="E138" s="326">
        <f>SUM(E139:E142)</f>
        <v>0</v>
      </c>
      <c r="F138" s="326">
        <f>SUM(F139:F142)</f>
        <v>0</v>
      </c>
      <c r="G138" s="326" t="e">
        <f t="shared" si="28"/>
        <v>#DIV/0!</v>
      </c>
      <c r="H138" s="326">
        <f t="shared" ref="H138:M138" si="49">SUM(H139:H142)</f>
        <v>0</v>
      </c>
      <c r="I138" s="326">
        <f t="shared" si="49"/>
        <v>0</v>
      </c>
      <c r="J138" s="326">
        <f t="shared" si="49"/>
        <v>0</v>
      </c>
      <c r="K138" s="326">
        <f t="shared" si="49"/>
        <v>0</v>
      </c>
      <c r="L138" s="326">
        <f t="shared" si="49"/>
        <v>0</v>
      </c>
      <c r="M138" s="326">
        <f t="shared" si="49"/>
        <v>0</v>
      </c>
    </row>
    <row r="139" spans="1:13" ht="14.1" customHeight="1">
      <c r="A139" s="348"/>
      <c r="B139" s="348" t="s">
        <v>811</v>
      </c>
      <c r="C139" s="349" t="s">
        <v>812</v>
      </c>
      <c r="D139" s="350">
        <v>0</v>
      </c>
      <c r="E139" s="350">
        <f t="shared" ref="E139:F142" si="50">H139+J139+L139</f>
        <v>0</v>
      </c>
      <c r="F139" s="351">
        <f t="shared" si="50"/>
        <v>0</v>
      </c>
      <c r="G139" s="350" t="e">
        <f t="shared" si="28"/>
        <v>#DIV/0!</v>
      </c>
      <c r="H139" s="350">
        <f>'MMMH reszletes'!D295/1000</f>
        <v>0</v>
      </c>
      <c r="I139" s="351">
        <f>'MMMH reszletes'!E295/1000</f>
        <v>0</v>
      </c>
      <c r="J139" s="350">
        <f>'MMMH reszletes'!F295/1000</f>
        <v>0</v>
      </c>
      <c r="K139" s="351">
        <f>'MMMH reszletes'!G295/1000</f>
        <v>0</v>
      </c>
      <c r="L139" s="350">
        <f>'MMMH reszletes'!H295/1000</f>
        <v>0</v>
      </c>
      <c r="M139" s="351">
        <f>'MMMH reszletes'!I295/1000</f>
        <v>0</v>
      </c>
    </row>
    <row r="140" spans="1:13" ht="14.1" customHeight="1">
      <c r="A140" s="348"/>
      <c r="B140" s="348" t="s">
        <v>813</v>
      </c>
      <c r="C140" s="349" t="s">
        <v>814</v>
      </c>
      <c r="D140" s="350">
        <v>0</v>
      </c>
      <c r="E140" s="350">
        <f t="shared" si="50"/>
        <v>0</v>
      </c>
      <c r="F140" s="351">
        <f t="shared" si="50"/>
        <v>0</v>
      </c>
      <c r="G140" s="350" t="e">
        <f t="shared" si="28"/>
        <v>#DIV/0!</v>
      </c>
      <c r="H140" s="350">
        <f>'MMMH reszletes'!D296/1000</f>
        <v>0</v>
      </c>
      <c r="I140" s="351">
        <f>'MMMH reszletes'!E296/1000</f>
        <v>0</v>
      </c>
      <c r="J140" s="350">
        <f>'MMMH reszletes'!F296/1000</f>
        <v>0</v>
      </c>
      <c r="K140" s="351">
        <f>'MMMH reszletes'!G296/1000</f>
        <v>0</v>
      </c>
      <c r="L140" s="350">
        <f>'MMMH reszletes'!H296/1000</f>
        <v>0</v>
      </c>
      <c r="M140" s="351">
        <f>'MMMH reszletes'!I296/1000</f>
        <v>0</v>
      </c>
    </row>
    <row r="141" spans="1:13" ht="14.1" customHeight="1">
      <c r="A141" s="348"/>
      <c r="B141" s="348" t="s">
        <v>815</v>
      </c>
      <c r="C141" s="349" t="s">
        <v>816</v>
      </c>
      <c r="D141" s="350">
        <v>0</v>
      </c>
      <c r="E141" s="350">
        <f t="shared" si="50"/>
        <v>0</v>
      </c>
      <c r="F141" s="351">
        <f t="shared" si="50"/>
        <v>0</v>
      </c>
      <c r="G141" s="350" t="e">
        <f t="shared" si="28"/>
        <v>#DIV/0!</v>
      </c>
      <c r="H141" s="350">
        <f>'MMMH reszletes'!D297/1000</f>
        <v>0</v>
      </c>
      <c r="I141" s="351">
        <f>'MMMH reszletes'!E297/1000</f>
        <v>0</v>
      </c>
      <c r="J141" s="350">
        <f>'MMMH reszletes'!F297/1000</f>
        <v>0</v>
      </c>
      <c r="K141" s="351">
        <f>'MMMH reszletes'!G297/1000</f>
        <v>0</v>
      </c>
      <c r="L141" s="350">
        <f>'MMMH reszletes'!H297/1000</f>
        <v>0</v>
      </c>
      <c r="M141" s="351">
        <f>'MMMH reszletes'!I297/1000</f>
        <v>0</v>
      </c>
    </row>
    <row r="142" spans="1:13" ht="14.1" customHeight="1">
      <c r="A142" s="348"/>
      <c r="B142" s="348" t="s">
        <v>817</v>
      </c>
      <c r="C142" s="349" t="s">
        <v>818</v>
      </c>
      <c r="D142" s="350">
        <v>0</v>
      </c>
      <c r="E142" s="350">
        <f t="shared" si="50"/>
        <v>0</v>
      </c>
      <c r="F142" s="351">
        <f t="shared" si="50"/>
        <v>0</v>
      </c>
      <c r="G142" s="350" t="e">
        <f t="shared" si="28"/>
        <v>#DIV/0!</v>
      </c>
      <c r="H142" s="350">
        <f>'MMMH reszletes'!D298/1000</f>
        <v>0</v>
      </c>
      <c r="I142" s="351">
        <f>'MMMH reszletes'!E298/1000</f>
        <v>0</v>
      </c>
      <c r="J142" s="350">
        <f>'MMMH reszletes'!F298/1000</f>
        <v>0</v>
      </c>
      <c r="K142" s="351">
        <f>'MMMH reszletes'!G298/1000</f>
        <v>0</v>
      </c>
      <c r="L142" s="350">
        <f>'MMMH reszletes'!H298/1000</f>
        <v>0</v>
      </c>
      <c r="M142" s="351">
        <f>'MMMH reszletes'!I298/1000</f>
        <v>0</v>
      </c>
    </row>
    <row r="143" spans="1:13" s="317" customFormat="1" ht="14.1" customHeight="1">
      <c r="A143" s="322" t="s">
        <v>270</v>
      </c>
      <c r="B143" s="322" t="s">
        <v>824</v>
      </c>
      <c r="C143" s="323" t="s">
        <v>271</v>
      </c>
      <c r="D143" s="326">
        <f>SUM(D144:D145)</f>
        <v>0</v>
      </c>
      <c r="E143" s="326">
        <f>SUM(E144:E145)</f>
        <v>0</v>
      </c>
      <c r="F143" s="326">
        <f>SUM(F144:F145)</f>
        <v>0</v>
      </c>
      <c r="G143" s="326" t="e">
        <f t="shared" si="28"/>
        <v>#DIV/0!</v>
      </c>
      <c r="H143" s="326">
        <f t="shared" ref="H143:M143" si="51">SUM(H144:H145)</f>
        <v>0</v>
      </c>
      <c r="I143" s="326">
        <f t="shared" si="51"/>
        <v>0</v>
      </c>
      <c r="J143" s="326">
        <f t="shared" si="51"/>
        <v>0</v>
      </c>
      <c r="K143" s="326">
        <f t="shared" si="51"/>
        <v>0</v>
      </c>
      <c r="L143" s="326">
        <f t="shared" si="51"/>
        <v>0</v>
      </c>
      <c r="M143" s="326">
        <f t="shared" si="51"/>
        <v>0</v>
      </c>
    </row>
    <row r="144" spans="1:13" ht="14.1" customHeight="1">
      <c r="A144" s="348"/>
      <c r="B144" s="348" t="s">
        <v>820</v>
      </c>
      <c r="C144" s="349" t="s">
        <v>821</v>
      </c>
      <c r="D144" s="350">
        <v>0</v>
      </c>
      <c r="E144" s="350">
        <f>H144+J144+L144</f>
        <v>0</v>
      </c>
      <c r="F144" s="351">
        <f>I144+K144+M144</f>
        <v>0</v>
      </c>
      <c r="G144" s="350" t="e">
        <f t="shared" si="28"/>
        <v>#DIV/0!</v>
      </c>
      <c r="H144" s="350">
        <f>'MMMH reszletes'!D300/1000</f>
        <v>0</v>
      </c>
      <c r="I144" s="351">
        <f>'MMMH reszletes'!E300/1000</f>
        <v>0</v>
      </c>
      <c r="J144" s="350">
        <f>'MMMH reszletes'!F300/1000</f>
        <v>0</v>
      </c>
      <c r="K144" s="351">
        <f>'MMMH reszletes'!G300/1000</f>
        <v>0</v>
      </c>
      <c r="L144" s="350">
        <f>'MMMH reszletes'!H300/1000</f>
        <v>0</v>
      </c>
      <c r="M144" s="351">
        <f>'MMMH reszletes'!I300/1000</f>
        <v>0</v>
      </c>
    </row>
    <row r="145" spans="1:256" ht="14.1" customHeight="1">
      <c r="A145" s="348"/>
      <c r="B145" s="348" t="s">
        <v>822</v>
      </c>
      <c r="C145" s="349" t="s">
        <v>938</v>
      </c>
      <c r="D145" s="350">
        <v>0</v>
      </c>
      <c r="E145" s="350">
        <f>H145+J145+L145</f>
        <v>0</v>
      </c>
      <c r="F145" s="351">
        <f>I145+K145+M145</f>
        <v>0</v>
      </c>
      <c r="G145" s="350" t="e">
        <f t="shared" si="28"/>
        <v>#DIV/0!</v>
      </c>
      <c r="H145" s="350">
        <f>'MMMH reszletes'!D301/1000</f>
        <v>0</v>
      </c>
      <c r="I145" s="351">
        <f>'MMMH reszletes'!E301/1000</f>
        <v>0</v>
      </c>
      <c r="J145" s="350">
        <f>'MMMH reszletes'!F301/1000</f>
        <v>0</v>
      </c>
      <c r="K145" s="351">
        <f>'MMMH reszletes'!G301/1000</f>
        <v>0</v>
      </c>
      <c r="L145" s="350">
        <f>'MMMH reszletes'!H301/1000</f>
        <v>0</v>
      </c>
      <c r="M145" s="351">
        <f>'MMMH reszletes'!I301/1000</f>
        <v>0</v>
      </c>
    </row>
    <row r="146" spans="1:256" s="317" customFormat="1" ht="14.1" customHeight="1">
      <c r="A146" s="322" t="s">
        <v>272</v>
      </c>
      <c r="B146" s="322" t="s">
        <v>833</v>
      </c>
      <c r="C146" s="323" t="s">
        <v>273</v>
      </c>
      <c r="D146" s="326">
        <f>SUM(D147:D150)</f>
        <v>400</v>
      </c>
      <c r="E146" s="326">
        <f>SUM(E147:E150)</f>
        <v>200</v>
      </c>
      <c r="F146" s="326">
        <f>SUM(F147:F150)</f>
        <v>0</v>
      </c>
      <c r="G146" s="326">
        <f t="shared" si="28"/>
        <v>0</v>
      </c>
      <c r="H146" s="326">
        <f t="shared" ref="H146:M146" si="52">SUM(H147:H150)</f>
        <v>200</v>
      </c>
      <c r="I146" s="326">
        <f t="shared" si="52"/>
        <v>0</v>
      </c>
      <c r="J146" s="326">
        <f t="shared" si="52"/>
        <v>0</v>
      </c>
      <c r="K146" s="326">
        <f t="shared" si="52"/>
        <v>0</v>
      </c>
      <c r="L146" s="326">
        <f t="shared" si="52"/>
        <v>0</v>
      </c>
      <c r="M146" s="326">
        <f t="shared" si="52"/>
        <v>0</v>
      </c>
    </row>
    <row r="147" spans="1:256" ht="14.1" customHeight="1">
      <c r="A147" s="348"/>
      <c r="B147" s="348" t="s">
        <v>825</v>
      </c>
      <c r="C147" s="349" t="s">
        <v>826</v>
      </c>
      <c r="D147" s="350">
        <v>0</v>
      </c>
      <c r="E147" s="350">
        <f t="shared" ref="E147:F150" si="53">H147+J147+L147</f>
        <v>0</v>
      </c>
      <c r="F147" s="351">
        <f t="shared" si="53"/>
        <v>0</v>
      </c>
      <c r="G147" s="350" t="e">
        <f t="shared" si="28"/>
        <v>#DIV/0!</v>
      </c>
      <c r="H147" s="350">
        <f>'MMMH reszletes'!D303/1000</f>
        <v>0</v>
      </c>
      <c r="I147" s="351">
        <f>'MMMH reszletes'!E303/1000</f>
        <v>0</v>
      </c>
      <c r="J147" s="350">
        <f>'MMMH reszletes'!F303/1000</f>
        <v>0</v>
      </c>
      <c r="K147" s="351">
        <f>'MMMH reszletes'!G303/1000</f>
        <v>0</v>
      </c>
      <c r="L147" s="350">
        <f>'MMMH reszletes'!H303/1000</f>
        <v>0</v>
      </c>
      <c r="M147" s="351">
        <f>'MMMH reszletes'!I303/1000</f>
        <v>0</v>
      </c>
    </row>
    <row r="148" spans="1:256" ht="14.1" customHeight="1">
      <c r="A148" s="348"/>
      <c r="B148" s="348" t="s">
        <v>827</v>
      </c>
      <c r="C148" s="349" t="s">
        <v>828</v>
      </c>
      <c r="D148" s="350">
        <v>400</v>
      </c>
      <c r="E148" s="350">
        <f t="shared" si="53"/>
        <v>200</v>
      </c>
      <c r="F148" s="351">
        <f t="shared" si="53"/>
        <v>0</v>
      </c>
      <c r="G148" s="350">
        <f t="shared" si="28"/>
        <v>0</v>
      </c>
      <c r="H148" s="350">
        <f>'MMMH reszletes'!D304/1000</f>
        <v>200</v>
      </c>
      <c r="I148" s="351">
        <f>'MMMH reszletes'!E304/1000</f>
        <v>0</v>
      </c>
      <c r="J148" s="350">
        <f>'MMMH reszletes'!F304/1000</f>
        <v>0</v>
      </c>
      <c r="K148" s="351">
        <f>'MMMH reszletes'!G304/1000</f>
        <v>0</v>
      </c>
      <c r="L148" s="350">
        <f>'MMMH reszletes'!H304/1000</f>
        <v>0</v>
      </c>
      <c r="M148" s="351">
        <f>'MMMH reszletes'!I304/1000</f>
        <v>0</v>
      </c>
    </row>
    <row r="149" spans="1:256" ht="14.1" customHeight="1">
      <c r="A149" s="348"/>
      <c r="B149" s="348" t="s">
        <v>829</v>
      </c>
      <c r="C149" s="349" t="s">
        <v>830</v>
      </c>
      <c r="D149" s="350">
        <v>0</v>
      </c>
      <c r="E149" s="350">
        <f t="shared" si="53"/>
        <v>0</v>
      </c>
      <c r="F149" s="351">
        <f t="shared" si="53"/>
        <v>0</v>
      </c>
      <c r="G149" s="350" t="e">
        <f t="shared" si="28"/>
        <v>#DIV/0!</v>
      </c>
      <c r="H149" s="350">
        <f>'MMMH reszletes'!D307/1000</f>
        <v>0</v>
      </c>
      <c r="I149" s="351">
        <f>'MMMH reszletes'!E307/1000</f>
        <v>0</v>
      </c>
      <c r="J149" s="350">
        <f>'MMMH reszletes'!F307/1000</f>
        <v>0</v>
      </c>
      <c r="K149" s="351">
        <f>'MMMH reszletes'!G307/1000</f>
        <v>0</v>
      </c>
      <c r="L149" s="350">
        <f>'MMMH reszletes'!H307/1000</f>
        <v>0</v>
      </c>
      <c r="M149" s="351">
        <f>'MMMH reszletes'!I307/1000</f>
        <v>0</v>
      </c>
    </row>
    <row r="150" spans="1:256" ht="14.1" customHeight="1">
      <c r="A150" s="348"/>
      <c r="B150" s="348" t="s">
        <v>831</v>
      </c>
      <c r="C150" s="349" t="s">
        <v>832</v>
      </c>
      <c r="D150" s="350">
        <v>0</v>
      </c>
      <c r="E150" s="350">
        <f t="shared" si="53"/>
        <v>0</v>
      </c>
      <c r="F150" s="351">
        <f t="shared" si="53"/>
        <v>0</v>
      </c>
      <c r="G150" s="350" t="e">
        <f t="shared" si="28"/>
        <v>#DIV/0!</v>
      </c>
      <c r="H150" s="350">
        <f>'MMMH reszletes'!D308/1000</f>
        <v>0</v>
      </c>
      <c r="I150" s="351">
        <f>'MMMH reszletes'!E308/1000</f>
        <v>0</v>
      </c>
      <c r="J150" s="350">
        <f>'MMMH reszletes'!F308/1000</f>
        <v>0</v>
      </c>
      <c r="K150" s="351">
        <f>'MMMH reszletes'!G308/1000</f>
        <v>0</v>
      </c>
      <c r="L150" s="350">
        <f>'MMMH reszletes'!H308/1000</f>
        <v>0</v>
      </c>
      <c r="M150" s="351">
        <f>'MMMH reszletes'!I308/1000</f>
        <v>0</v>
      </c>
    </row>
    <row r="151" spans="1:256" s="317" customFormat="1" ht="14.1" customHeight="1">
      <c r="A151" s="335" t="s">
        <v>274</v>
      </c>
      <c r="B151" s="335" t="s">
        <v>834</v>
      </c>
      <c r="C151" s="336" t="s">
        <v>275</v>
      </c>
      <c r="D151" s="339">
        <f>D131+D134+D138+D143+D146</f>
        <v>23831</v>
      </c>
      <c r="E151" s="339">
        <f>E131+E134+E138+E143+E146</f>
        <v>24015.19553732</v>
      </c>
      <c r="F151" s="339">
        <f>F131+F134+F138+F143+F146</f>
        <v>0</v>
      </c>
      <c r="G151" s="339">
        <f t="shared" si="28"/>
        <v>0</v>
      </c>
      <c r="H151" s="339">
        <f t="shared" ref="H151:M151" si="54">H131+H134+H138+H143+H146</f>
        <v>10332.700000000001</v>
      </c>
      <c r="I151" s="339">
        <f t="shared" si="54"/>
        <v>0</v>
      </c>
      <c r="J151" s="339">
        <f t="shared" si="54"/>
        <v>12845.495537320001</v>
      </c>
      <c r="K151" s="339">
        <f t="shared" si="54"/>
        <v>0</v>
      </c>
      <c r="L151" s="339">
        <f t="shared" si="54"/>
        <v>837</v>
      </c>
      <c r="M151" s="339">
        <f t="shared" si="54"/>
        <v>0</v>
      </c>
    </row>
    <row r="152" spans="1:256" s="317" customFormat="1" ht="14.1" customHeight="1">
      <c r="A152" s="340" t="s">
        <v>276</v>
      </c>
      <c r="B152" s="340" t="s">
        <v>835</v>
      </c>
      <c r="C152" s="341" t="s">
        <v>939</v>
      </c>
      <c r="D152" s="344">
        <f>D91+D102+D125+D130+D151</f>
        <v>93484</v>
      </c>
      <c r="E152" s="344">
        <f>ROUND(E91+E102+E125+E130+E151,0)</f>
        <v>93751</v>
      </c>
      <c r="F152" s="344">
        <f>F91+F102+F125+F130+F151</f>
        <v>0</v>
      </c>
      <c r="G152" s="344">
        <f t="shared" si="28"/>
        <v>0</v>
      </c>
      <c r="H152" s="344">
        <f>ROUND(H91+H102+H125+H130+H151,0)</f>
        <v>29143</v>
      </c>
      <c r="I152" s="344">
        <f t="shared" ref="I152:M152" si="55">I91+I102+I125+I130+I151</f>
        <v>0</v>
      </c>
      <c r="J152" s="344">
        <f>ROUND(J91+J102+J125+J130+J151,0)</f>
        <v>60671</v>
      </c>
      <c r="K152" s="344">
        <f t="shared" si="55"/>
        <v>0</v>
      </c>
      <c r="L152" s="344">
        <f>ROUND(L91+L102+L125+L130+L151,0)</f>
        <v>3937</v>
      </c>
      <c r="M152" s="344">
        <f t="shared" si="55"/>
        <v>0</v>
      </c>
    </row>
    <row r="153" spans="1:256" ht="14.1" customHeight="1">
      <c r="A153" s="352"/>
      <c r="B153" s="352"/>
      <c r="C153" s="352"/>
      <c r="D153" s="352"/>
      <c r="E153" s="352"/>
      <c r="F153" s="352"/>
      <c r="G153" s="352"/>
      <c r="H153" s="352"/>
      <c r="I153" s="352"/>
      <c r="J153" s="352"/>
      <c r="K153" s="352"/>
      <c r="L153" s="352"/>
      <c r="M153" s="352"/>
      <c r="N153" s="352"/>
      <c r="O153" s="352"/>
      <c r="P153" s="352"/>
      <c r="Q153" s="352"/>
      <c r="R153" s="352"/>
      <c r="S153" s="352"/>
      <c r="T153" s="352"/>
      <c r="U153" s="352"/>
      <c r="V153" s="352"/>
      <c r="W153" s="352"/>
      <c r="X153" s="352"/>
      <c r="Y153" s="352"/>
      <c r="Z153" s="352"/>
      <c r="AA153" s="352"/>
      <c r="AB153" s="352"/>
      <c r="AC153" s="352"/>
      <c r="AD153" s="352"/>
      <c r="AE153" s="352"/>
      <c r="AF153" s="352"/>
      <c r="AG153" s="352"/>
      <c r="AH153" s="352"/>
      <c r="AI153" s="352"/>
      <c r="AJ153" s="352"/>
      <c r="AK153" s="352"/>
      <c r="AL153" s="352"/>
      <c r="AM153" s="352"/>
      <c r="AN153" s="352"/>
      <c r="AO153" s="352"/>
      <c r="AP153" s="352"/>
      <c r="AQ153" s="352"/>
      <c r="AR153" s="352"/>
      <c r="AS153" s="352"/>
      <c r="AT153" s="352"/>
      <c r="AU153" s="352"/>
      <c r="AV153" s="352"/>
      <c r="AW153" s="352"/>
      <c r="AX153" s="352"/>
      <c r="AY153" s="352"/>
      <c r="AZ153" s="352"/>
      <c r="BA153" s="352"/>
      <c r="BB153" s="352"/>
      <c r="BC153" s="352"/>
      <c r="BD153" s="352"/>
      <c r="BE153" s="352"/>
      <c r="BF153" s="352"/>
      <c r="BG153" s="352"/>
      <c r="BH153" s="352"/>
      <c r="BI153" s="352"/>
      <c r="BJ153" s="352"/>
      <c r="BK153" s="352"/>
      <c r="BL153" s="352"/>
      <c r="BM153" s="352"/>
      <c r="BN153" s="352"/>
      <c r="BO153" s="352"/>
      <c r="BP153" s="352"/>
      <c r="BQ153" s="352"/>
      <c r="BR153" s="352"/>
      <c r="BS153" s="352"/>
      <c r="BT153" s="352"/>
      <c r="BU153" s="352"/>
      <c r="BV153" s="352"/>
      <c r="BW153" s="352"/>
      <c r="BX153" s="352"/>
      <c r="BY153" s="352"/>
      <c r="BZ153" s="352"/>
      <c r="CA153" s="352"/>
      <c r="CB153" s="352"/>
      <c r="CC153" s="352"/>
      <c r="CD153" s="352"/>
      <c r="CE153" s="352"/>
      <c r="CF153" s="352"/>
      <c r="CG153" s="352"/>
      <c r="CH153" s="352"/>
      <c r="CI153" s="352"/>
      <c r="CJ153" s="352"/>
      <c r="CK153" s="352"/>
      <c r="CL153" s="352"/>
      <c r="CM153" s="352"/>
      <c r="CN153" s="352"/>
      <c r="CO153" s="352"/>
      <c r="CP153" s="352"/>
      <c r="CQ153" s="352"/>
      <c r="CR153" s="352"/>
      <c r="CS153" s="352"/>
      <c r="CT153" s="352"/>
      <c r="CU153" s="352"/>
      <c r="CV153" s="352"/>
      <c r="CW153" s="352"/>
      <c r="CX153" s="352"/>
      <c r="CY153" s="352"/>
      <c r="CZ153" s="352"/>
      <c r="DA153" s="352"/>
      <c r="DB153" s="352"/>
      <c r="DC153" s="352"/>
      <c r="DD153" s="352"/>
      <c r="DE153" s="352"/>
      <c r="DF153" s="352"/>
      <c r="DG153" s="352"/>
      <c r="DH153" s="352"/>
      <c r="DI153" s="352"/>
      <c r="DJ153" s="352"/>
      <c r="DK153" s="352"/>
      <c r="DL153" s="352"/>
      <c r="DM153" s="352"/>
      <c r="DN153" s="352"/>
      <c r="DO153" s="352"/>
      <c r="DP153" s="352"/>
      <c r="DQ153" s="352"/>
      <c r="DR153" s="352"/>
      <c r="DS153" s="352"/>
      <c r="DT153" s="352"/>
      <c r="DU153" s="352"/>
      <c r="DV153" s="352"/>
      <c r="DW153" s="352"/>
      <c r="DX153" s="352"/>
      <c r="DY153" s="352"/>
      <c r="DZ153" s="352"/>
      <c r="EA153" s="352"/>
      <c r="EB153" s="352"/>
      <c r="EC153" s="352"/>
      <c r="ED153" s="352"/>
      <c r="EE153" s="352"/>
      <c r="EF153" s="352"/>
      <c r="EG153" s="352"/>
      <c r="EH153" s="352"/>
      <c r="EI153" s="352"/>
      <c r="EJ153" s="352"/>
      <c r="EK153" s="352"/>
      <c r="EL153" s="352"/>
      <c r="EM153" s="352"/>
      <c r="EN153" s="352"/>
      <c r="EO153" s="352"/>
      <c r="EP153" s="352"/>
      <c r="EQ153" s="352"/>
      <c r="ER153" s="352"/>
      <c r="ES153" s="352"/>
      <c r="ET153" s="352"/>
      <c r="EU153" s="352"/>
      <c r="EV153" s="352"/>
      <c r="EW153" s="352"/>
      <c r="EX153" s="352"/>
      <c r="EY153" s="352"/>
      <c r="EZ153" s="352"/>
      <c r="FA153" s="352"/>
      <c r="FB153" s="352"/>
      <c r="FC153" s="352"/>
      <c r="FD153" s="352"/>
      <c r="FE153" s="352"/>
      <c r="FF153" s="352"/>
      <c r="FG153" s="352"/>
      <c r="FH153" s="352"/>
      <c r="FI153" s="352"/>
      <c r="FJ153" s="352"/>
      <c r="FK153" s="352"/>
      <c r="FL153" s="352"/>
      <c r="FM153" s="352"/>
      <c r="FN153" s="352"/>
      <c r="FO153" s="352"/>
      <c r="FP153" s="352"/>
      <c r="FQ153" s="352"/>
      <c r="FR153" s="352"/>
      <c r="FS153" s="352"/>
      <c r="FT153" s="352"/>
      <c r="FU153" s="352"/>
      <c r="FV153" s="352"/>
      <c r="FW153" s="352"/>
      <c r="FX153" s="352"/>
      <c r="FY153" s="352"/>
      <c r="FZ153" s="352"/>
      <c r="GA153" s="352"/>
      <c r="GB153" s="352"/>
      <c r="GC153" s="352"/>
      <c r="GD153" s="352"/>
      <c r="GE153" s="352"/>
      <c r="GF153" s="352"/>
      <c r="GG153" s="352"/>
      <c r="GH153" s="352"/>
      <c r="GI153" s="352"/>
      <c r="GJ153" s="352"/>
      <c r="GK153" s="352"/>
      <c r="GL153" s="352"/>
      <c r="GM153" s="352"/>
      <c r="GN153" s="352"/>
      <c r="GO153" s="352"/>
      <c r="GP153" s="352"/>
      <c r="GQ153" s="352"/>
      <c r="GR153" s="352"/>
      <c r="GS153" s="352"/>
      <c r="GT153" s="352"/>
      <c r="GU153" s="352"/>
      <c r="GV153" s="352"/>
      <c r="GW153" s="352"/>
      <c r="GX153" s="352"/>
      <c r="GY153" s="352"/>
      <c r="GZ153" s="352"/>
      <c r="HA153" s="352"/>
      <c r="HB153" s="352"/>
      <c r="HC153" s="352"/>
      <c r="HD153" s="352"/>
      <c r="HE153" s="352"/>
      <c r="HF153" s="352"/>
      <c r="HG153" s="352"/>
      <c r="HH153" s="352"/>
      <c r="HI153" s="352"/>
      <c r="HJ153" s="352"/>
      <c r="HK153" s="352"/>
      <c r="HL153" s="352"/>
      <c r="HM153" s="352"/>
      <c r="HN153" s="352"/>
      <c r="HO153" s="352"/>
      <c r="HP153" s="352"/>
      <c r="HQ153" s="352"/>
      <c r="HR153" s="352"/>
      <c r="HS153" s="352"/>
      <c r="HT153" s="352"/>
      <c r="HU153" s="352"/>
      <c r="HV153" s="352"/>
      <c r="HW153" s="352"/>
      <c r="HX153" s="352"/>
      <c r="HY153" s="352"/>
      <c r="HZ153" s="352"/>
      <c r="IA153" s="352"/>
      <c r="IB153" s="352"/>
      <c r="IC153" s="352"/>
      <c r="ID153" s="352"/>
      <c r="IE153" s="352"/>
      <c r="IF153" s="352"/>
      <c r="IG153" s="352"/>
      <c r="IH153" s="352"/>
      <c r="II153" s="352"/>
      <c r="IJ153" s="352"/>
      <c r="IK153" s="352"/>
      <c r="IL153" s="352"/>
      <c r="IM153" s="352"/>
      <c r="IN153" s="352"/>
      <c r="IO153" s="352"/>
      <c r="IP153" s="352"/>
      <c r="IQ153" s="352"/>
      <c r="IR153" s="352"/>
      <c r="IS153" s="352"/>
      <c r="IT153" s="352"/>
      <c r="IU153" s="352"/>
      <c r="IV153" s="352"/>
    </row>
    <row r="154" spans="1:256" ht="14.1" customHeight="1">
      <c r="A154" s="352"/>
      <c r="B154" s="352"/>
      <c r="C154" s="352"/>
      <c r="D154" s="352"/>
      <c r="E154" s="352"/>
      <c r="F154" s="352"/>
      <c r="G154" s="352"/>
      <c r="H154" s="352"/>
      <c r="I154" s="352"/>
      <c r="J154" s="352"/>
      <c r="K154" s="352"/>
      <c r="L154" s="352"/>
      <c r="M154" s="352"/>
      <c r="N154" s="352"/>
      <c r="O154" s="352"/>
      <c r="P154" s="352"/>
      <c r="Q154" s="352"/>
      <c r="R154" s="352"/>
      <c r="S154" s="352"/>
      <c r="T154" s="352"/>
      <c r="U154" s="352"/>
      <c r="V154" s="352"/>
      <c r="W154" s="352"/>
      <c r="X154" s="352"/>
      <c r="Y154" s="352"/>
      <c r="Z154" s="352"/>
      <c r="AA154" s="352"/>
      <c r="AB154" s="352"/>
      <c r="AC154" s="352"/>
      <c r="AD154" s="352"/>
      <c r="AE154" s="352"/>
      <c r="AF154" s="352"/>
      <c r="AG154" s="352"/>
      <c r="AH154" s="352"/>
      <c r="AI154" s="352"/>
      <c r="AJ154" s="352"/>
      <c r="AK154" s="352"/>
      <c r="AL154" s="352"/>
      <c r="AM154" s="352"/>
      <c r="AN154" s="352"/>
      <c r="AO154" s="352"/>
      <c r="AP154" s="352"/>
      <c r="AQ154" s="352"/>
      <c r="AR154" s="352"/>
      <c r="AS154" s="352"/>
      <c r="AT154" s="352"/>
      <c r="AU154" s="352"/>
      <c r="AV154" s="352"/>
      <c r="AW154" s="352"/>
      <c r="AX154" s="352"/>
      <c r="AY154" s="352"/>
      <c r="AZ154" s="352"/>
      <c r="BA154" s="352"/>
      <c r="BB154" s="352"/>
      <c r="BC154" s="352"/>
      <c r="BD154" s="352"/>
      <c r="BE154" s="352"/>
      <c r="BF154" s="352"/>
      <c r="BG154" s="352"/>
      <c r="BH154" s="352"/>
      <c r="BI154" s="352"/>
      <c r="BJ154" s="352"/>
      <c r="BK154" s="352"/>
      <c r="BL154" s="352"/>
      <c r="BM154" s="352"/>
      <c r="BN154" s="352"/>
      <c r="BO154" s="352"/>
      <c r="BP154" s="352"/>
      <c r="BQ154" s="352"/>
      <c r="BR154" s="352"/>
      <c r="BS154" s="352"/>
      <c r="BT154" s="352"/>
      <c r="BU154" s="352"/>
      <c r="BV154" s="352"/>
      <c r="BW154" s="352"/>
      <c r="BX154" s="352"/>
      <c r="BY154" s="352"/>
      <c r="BZ154" s="352"/>
      <c r="CA154" s="352"/>
      <c r="CB154" s="352"/>
      <c r="CC154" s="352"/>
      <c r="CD154" s="352"/>
      <c r="CE154" s="352"/>
      <c r="CF154" s="352"/>
      <c r="CG154" s="352"/>
      <c r="CH154" s="352"/>
      <c r="CI154" s="352"/>
      <c r="CJ154" s="352"/>
      <c r="CK154" s="352"/>
      <c r="CL154" s="352"/>
      <c r="CM154" s="352"/>
      <c r="CN154" s="352"/>
      <c r="CO154" s="352"/>
      <c r="CP154" s="352"/>
      <c r="CQ154" s="352"/>
      <c r="CR154" s="352"/>
      <c r="CS154" s="352"/>
      <c r="CT154" s="352"/>
      <c r="CU154" s="352"/>
      <c r="CV154" s="352"/>
      <c r="CW154" s="352"/>
      <c r="CX154" s="352"/>
      <c r="CY154" s="352"/>
      <c r="CZ154" s="352"/>
      <c r="DA154" s="352"/>
      <c r="DB154" s="352"/>
      <c r="DC154" s="352"/>
      <c r="DD154" s="352"/>
      <c r="DE154" s="352"/>
      <c r="DF154" s="352"/>
      <c r="DG154" s="352"/>
      <c r="DH154" s="352"/>
      <c r="DI154" s="352"/>
      <c r="DJ154" s="352"/>
      <c r="DK154" s="352"/>
      <c r="DL154" s="352"/>
      <c r="DM154" s="352"/>
      <c r="DN154" s="352"/>
      <c r="DO154" s="352"/>
      <c r="DP154" s="352"/>
      <c r="DQ154" s="352"/>
      <c r="DR154" s="352"/>
      <c r="DS154" s="352"/>
      <c r="DT154" s="352"/>
      <c r="DU154" s="352"/>
      <c r="DV154" s="352"/>
      <c r="DW154" s="352"/>
      <c r="DX154" s="352"/>
      <c r="DY154" s="352"/>
      <c r="DZ154" s="352"/>
      <c r="EA154" s="352"/>
      <c r="EB154" s="352"/>
      <c r="EC154" s="352"/>
      <c r="ED154" s="352"/>
      <c r="EE154" s="352"/>
      <c r="EF154" s="352"/>
      <c r="EG154" s="352"/>
      <c r="EH154" s="352"/>
      <c r="EI154" s="352"/>
      <c r="EJ154" s="352"/>
      <c r="EK154" s="352"/>
      <c r="EL154" s="352"/>
      <c r="EM154" s="352"/>
      <c r="EN154" s="352"/>
      <c r="EO154" s="352"/>
      <c r="EP154" s="352"/>
      <c r="EQ154" s="352"/>
      <c r="ER154" s="352"/>
      <c r="ES154" s="352"/>
      <c r="ET154" s="352"/>
      <c r="EU154" s="352"/>
      <c r="EV154" s="352"/>
      <c r="EW154" s="352"/>
      <c r="EX154" s="352"/>
      <c r="EY154" s="352"/>
      <c r="EZ154" s="352"/>
      <c r="FA154" s="352"/>
      <c r="FB154" s="352"/>
      <c r="FC154" s="352"/>
      <c r="FD154" s="352"/>
      <c r="FE154" s="352"/>
      <c r="FF154" s="352"/>
      <c r="FG154" s="352"/>
      <c r="FH154" s="352"/>
      <c r="FI154" s="352"/>
      <c r="FJ154" s="352"/>
      <c r="FK154" s="352"/>
      <c r="FL154" s="352"/>
      <c r="FM154" s="352"/>
      <c r="FN154" s="352"/>
      <c r="FO154" s="352"/>
      <c r="FP154" s="352"/>
      <c r="FQ154" s="352"/>
      <c r="FR154" s="352"/>
      <c r="FS154" s="352"/>
      <c r="FT154" s="352"/>
      <c r="FU154" s="352"/>
      <c r="FV154" s="352"/>
      <c r="FW154" s="352"/>
      <c r="FX154" s="352"/>
      <c r="FY154" s="352"/>
      <c r="FZ154" s="352"/>
      <c r="GA154" s="352"/>
      <c r="GB154" s="352"/>
      <c r="GC154" s="352"/>
      <c r="GD154" s="352"/>
      <c r="GE154" s="352"/>
      <c r="GF154" s="352"/>
      <c r="GG154" s="352"/>
      <c r="GH154" s="352"/>
      <c r="GI154" s="352"/>
      <c r="GJ154" s="352"/>
      <c r="GK154" s="352"/>
      <c r="GL154" s="352"/>
      <c r="GM154" s="352"/>
      <c r="GN154" s="352"/>
      <c r="GO154" s="352"/>
      <c r="GP154" s="352"/>
      <c r="GQ154" s="352"/>
      <c r="GR154" s="352"/>
      <c r="GS154" s="352"/>
      <c r="GT154" s="352"/>
      <c r="GU154" s="352"/>
      <c r="GV154" s="352"/>
      <c r="GW154" s="352"/>
      <c r="GX154" s="352"/>
      <c r="GY154" s="352"/>
      <c r="GZ154" s="352"/>
      <c r="HA154" s="352"/>
      <c r="HB154" s="352"/>
      <c r="HC154" s="352"/>
      <c r="HD154" s="352"/>
      <c r="HE154" s="352"/>
      <c r="HF154" s="352"/>
      <c r="HG154" s="352"/>
      <c r="HH154" s="352"/>
      <c r="HI154" s="352"/>
      <c r="HJ154" s="352"/>
      <c r="HK154" s="352"/>
      <c r="HL154" s="352"/>
      <c r="HM154" s="352"/>
      <c r="HN154" s="352"/>
      <c r="HO154" s="352"/>
      <c r="HP154" s="352"/>
      <c r="HQ154" s="352"/>
      <c r="HR154" s="352"/>
      <c r="HS154" s="352"/>
      <c r="HT154" s="352"/>
      <c r="HU154" s="352"/>
      <c r="HV154" s="352"/>
      <c r="HW154" s="352"/>
      <c r="HX154" s="352"/>
      <c r="HY154" s="352"/>
      <c r="HZ154" s="352"/>
      <c r="IA154" s="352"/>
      <c r="IB154" s="352"/>
      <c r="IC154" s="352"/>
      <c r="ID154" s="352"/>
      <c r="IE154" s="352"/>
      <c r="IF154" s="352"/>
      <c r="IG154" s="352"/>
      <c r="IH154" s="352"/>
      <c r="II154" s="352"/>
      <c r="IJ154" s="352"/>
      <c r="IK154" s="352"/>
      <c r="IL154" s="352"/>
      <c r="IM154" s="352"/>
      <c r="IN154" s="352"/>
      <c r="IO154" s="352"/>
      <c r="IP154" s="352"/>
      <c r="IQ154" s="352"/>
      <c r="IR154" s="352"/>
      <c r="IS154" s="352"/>
      <c r="IT154" s="352"/>
      <c r="IU154" s="352"/>
      <c r="IV154" s="352"/>
    </row>
    <row r="155" spans="1:256" ht="14.1" customHeight="1">
      <c r="A155" s="352"/>
      <c r="B155" s="352"/>
      <c r="C155" s="352"/>
      <c r="D155" s="352"/>
      <c r="E155" s="352"/>
      <c r="F155" s="352"/>
      <c r="G155" s="352"/>
      <c r="H155" s="352"/>
      <c r="I155" s="352"/>
      <c r="J155" s="352"/>
      <c r="K155" s="352"/>
      <c r="L155" s="352"/>
      <c r="M155" s="352"/>
      <c r="N155" s="352"/>
      <c r="O155" s="352"/>
      <c r="P155" s="352"/>
      <c r="Q155" s="352"/>
      <c r="R155" s="352"/>
      <c r="S155" s="352"/>
      <c r="T155" s="352"/>
      <c r="U155" s="352"/>
      <c r="V155" s="352"/>
      <c r="W155" s="352"/>
      <c r="X155" s="352"/>
      <c r="Y155" s="352"/>
      <c r="Z155" s="352"/>
      <c r="AA155" s="352"/>
      <c r="AB155" s="352"/>
      <c r="AC155" s="352"/>
      <c r="AD155" s="352"/>
      <c r="AE155" s="352"/>
      <c r="AF155" s="352"/>
      <c r="AG155" s="352"/>
      <c r="AH155" s="352"/>
      <c r="AI155" s="352"/>
      <c r="AJ155" s="352"/>
      <c r="AK155" s="352"/>
      <c r="AL155" s="352"/>
      <c r="AM155" s="352"/>
      <c r="AN155" s="352"/>
      <c r="AO155" s="352"/>
      <c r="AP155" s="352"/>
      <c r="AQ155" s="352"/>
      <c r="AR155" s="352"/>
      <c r="AS155" s="352"/>
      <c r="AT155" s="352"/>
      <c r="AU155" s="352"/>
      <c r="AV155" s="352"/>
      <c r="AW155" s="352"/>
      <c r="AX155" s="352"/>
      <c r="AY155" s="352"/>
      <c r="AZ155" s="352"/>
      <c r="BA155" s="352"/>
      <c r="BB155" s="352"/>
      <c r="BC155" s="352"/>
      <c r="BD155" s="352"/>
      <c r="BE155" s="352"/>
      <c r="BF155" s="352"/>
      <c r="BG155" s="352"/>
      <c r="BH155" s="352"/>
      <c r="BI155" s="352"/>
      <c r="BJ155" s="352"/>
      <c r="BK155" s="352"/>
      <c r="BL155" s="352"/>
      <c r="BM155" s="352"/>
      <c r="BN155" s="352"/>
      <c r="BO155" s="352"/>
      <c r="BP155" s="352"/>
      <c r="BQ155" s="352"/>
      <c r="BR155" s="352"/>
      <c r="BS155" s="352"/>
      <c r="BT155" s="352"/>
      <c r="BU155" s="352"/>
      <c r="BV155" s="352"/>
      <c r="BW155" s="352"/>
      <c r="BX155" s="352"/>
      <c r="BY155" s="352"/>
      <c r="BZ155" s="352"/>
      <c r="CA155" s="352"/>
      <c r="CB155" s="352"/>
      <c r="CC155" s="352"/>
      <c r="CD155" s="352"/>
      <c r="CE155" s="352"/>
      <c r="CF155" s="352"/>
      <c r="CG155" s="352"/>
      <c r="CH155" s="352"/>
      <c r="CI155" s="352"/>
      <c r="CJ155" s="352"/>
      <c r="CK155" s="352"/>
      <c r="CL155" s="352"/>
      <c r="CM155" s="352"/>
      <c r="CN155" s="352"/>
      <c r="CO155" s="352"/>
      <c r="CP155" s="352"/>
      <c r="CQ155" s="352"/>
      <c r="CR155" s="352"/>
      <c r="CS155" s="352"/>
      <c r="CT155" s="352"/>
      <c r="CU155" s="352"/>
      <c r="CV155" s="352"/>
      <c r="CW155" s="352"/>
      <c r="CX155" s="352"/>
      <c r="CY155" s="352"/>
      <c r="CZ155" s="352"/>
      <c r="DA155" s="352"/>
      <c r="DB155" s="352"/>
      <c r="DC155" s="352"/>
      <c r="DD155" s="352"/>
      <c r="DE155" s="352"/>
      <c r="DF155" s="352"/>
      <c r="DG155" s="352"/>
      <c r="DH155" s="352"/>
      <c r="DI155" s="352"/>
      <c r="DJ155" s="352"/>
      <c r="DK155" s="352"/>
      <c r="DL155" s="352"/>
      <c r="DM155" s="352"/>
      <c r="DN155" s="352"/>
      <c r="DO155" s="352"/>
      <c r="DP155" s="352"/>
      <c r="DQ155" s="352"/>
      <c r="DR155" s="352"/>
      <c r="DS155" s="352"/>
      <c r="DT155" s="352"/>
      <c r="DU155" s="352"/>
      <c r="DV155" s="352"/>
      <c r="DW155" s="352"/>
      <c r="DX155" s="352"/>
      <c r="DY155" s="352"/>
      <c r="DZ155" s="352"/>
      <c r="EA155" s="352"/>
      <c r="EB155" s="352"/>
      <c r="EC155" s="352"/>
      <c r="ED155" s="352"/>
      <c r="EE155" s="352"/>
      <c r="EF155" s="352"/>
      <c r="EG155" s="352"/>
      <c r="EH155" s="352"/>
      <c r="EI155" s="352"/>
      <c r="EJ155" s="352"/>
      <c r="EK155" s="352"/>
      <c r="EL155" s="352"/>
      <c r="EM155" s="352"/>
      <c r="EN155" s="352"/>
      <c r="EO155" s="352"/>
      <c r="EP155" s="352"/>
      <c r="EQ155" s="352"/>
      <c r="ER155" s="352"/>
      <c r="ES155" s="352"/>
      <c r="ET155" s="352"/>
      <c r="EU155" s="352"/>
      <c r="EV155" s="352"/>
      <c r="EW155" s="352"/>
      <c r="EX155" s="352"/>
      <c r="EY155" s="352"/>
      <c r="EZ155" s="352"/>
      <c r="FA155" s="352"/>
      <c r="FB155" s="352"/>
      <c r="FC155" s="352"/>
      <c r="FD155" s="352"/>
      <c r="FE155" s="352"/>
      <c r="FF155" s="352"/>
      <c r="FG155" s="352"/>
      <c r="FH155" s="352"/>
      <c r="FI155" s="352"/>
      <c r="FJ155" s="352"/>
      <c r="FK155" s="352"/>
      <c r="FL155" s="352"/>
      <c r="FM155" s="352"/>
      <c r="FN155" s="352"/>
      <c r="FO155" s="352"/>
      <c r="FP155" s="352"/>
      <c r="FQ155" s="352"/>
      <c r="FR155" s="352"/>
      <c r="FS155" s="352"/>
      <c r="FT155" s="352"/>
      <c r="FU155" s="352"/>
      <c r="FV155" s="352"/>
      <c r="FW155" s="352"/>
      <c r="FX155" s="352"/>
      <c r="FY155" s="352"/>
      <c r="FZ155" s="352"/>
      <c r="GA155" s="352"/>
      <c r="GB155" s="352"/>
      <c r="GC155" s="352"/>
      <c r="GD155" s="352"/>
      <c r="GE155" s="352"/>
      <c r="GF155" s="352"/>
      <c r="GG155" s="352"/>
      <c r="GH155" s="352"/>
      <c r="GI155" s="352"/>
      <c r="GJ155" s="352"/>
      <c r="GK155" s="352"/>
      <c r="GL155" s="352"/>
      <c r="GM155" s="352"/>
      <c r="GN155" s="352"/>
      <c r="GO155" s="352"/>
      <c r="GP155" s="352"/>
      <c r="GQ155" s="352"/>
      <c r="GR155" s="352"/>
      <c r="GS155" s="352"/>
      <c r="GT155" s="352"/>
      <c r="GU155" s="352"/>
      <c r="GV155" s="352"/>
      <c r="GW155" s="352"/>
      <c r="GX155" s="352"/>
      <c r="GY155" s="352"/>
      <c r="GZ155" s="352"/>
      <c r="HA155" s="352"/>
      <c r="HB155" s="352"/>
      <c r="HC155" s="352"/>
      <c r="HD155" s="352"/>
      <c r="HE155" s="352"/>
      <c r="HF155" s="352"/>
      <c r="HG155" s="352"/>
      <c r="HH155" s="352"/>
      <c r="HI155" s="352"/>
      <c r="HJ155" s="352"/>
      <c r="HK155" s="352"/>
      <c r="HL155" s="352"/>
      <c r="HM155" s="352"/>
      <c r="HN155" s="352"/>
      <c r="HO155" s="352"/>
      <c r="HP155" s="352"/>
      <c r="HQ155" s="352"/>
      <c r="HR155" s="352"/>
      <c r="HS155" s="352"/>
      <c r="HT155" s="352"/>
      <c r="HU155" s="352"/>
      <c r="HV155" s="352"/>
      <c r="HW155" s="352"/>
      <c r="HX155" s="352"/>
      <c r="HY155" s="352"/>
      <c r="HZ155" s="352"/>
      <c r="IA155" s="352"/>
      <c r="IB155" s="352"/>
      <c r="IC155" s="352"/>
      <c r="ID155" s="352"/>
      <c r="IE155" s="352"/>
      <c r="IF155" s="352"/>
      <c r="IG155" s="352"/>
      <c r="IH155" s="352"/>
      <c r="II155" s="352"/>
      <c r="IJ155" s="352"/>
      <c r="IK155" s="352"/>
      <c r="IL155" s="352"/>
      <c r="IM155" s="352"/>
      <c r="IN155" s="352"/>
      <c r="IO155" s="352"/>
      <c r="IP155" s="352"/>
      <c r="IQ155" s="352"/>
      <c r="IR155" s="352"/>
      <c r="IS155" s="352"/>
      <c r="IT155" s="352"/>
      <c r="IU155" s="352"/>
      <c r="IV155" s="352"/>
    </row>
    <row r="157" spans="1:256" s="315" customFormat="1" ht="12.75" customHeight="1">
      <c r="A157" s="699" t="s">
        <v>886</v>
      </c>
      <c r="B157" s="699"/>
      <c r="C157" s="699"/>
      <c r="D157" s="699"/>
      <c r="E157" s="699"/>
      <c r="F157" s="699"/>
      <c r="G157" s="699"/>
      <c r="H157" s="699"/>
      <c r="I157" s="699"/>
      <c r="J157" s="699"/>
      <c r="K157" s="699"/>
      <c r="L157" s="699"/>
      <c r="M157" s="699"/>
    </row>
    <row r="158" spans="1:256" s="315" customFormat="1" ht="14.1" customHeight="1">
      <c r="A158" s="699" t="s">
        <v>887</v>
      </c>
      <c r="B158" s="702" t="s">
        <v>888</v>
      </c>
      <c r="C158" s="699" t="s">
        <v>889</v>
      </c>
      <c r="D158" s="695" t="s">
        <v>890</v>
      </c>
      <c r="E158" s="695" t="s">
        <v>891</v>
      </c>
      <c r="F158" s="695" t="s">
        <v>892</v>
      </c>
      <c r="G158" s="711" t="s">
        <v>893</v>
      </c>
      <c r="H158" s="695" t="s">
        <v>894</v>
      </c>
      <c r="I158" s="695"/>
      <c r="J158" s="695" t="s">
        <v>895</v>
      </c>
      <c r="K158" s="695"/>
      <c r="L158" s="695" t="s">
        <v>896</v>
      </c>
      <c r="M158" s="695"/>
    </row>
    <row r="159" spans="1:256" s="317" customFormat="1" ht="14.1" customHeight="1">
      <c r="A159" s="699"/>
      <c r="B159" s="702"/>
      <c r="C159" s="699"/>
      <c r="D159" s="695"/>
      <c r="E159" s="695"/>
      <c r="F159" s="695"/>
      <c r="G159" s="711"/>
      <c r="H159" s="316" t="s">
        <v>897</v>
      </c>
      <c r="I159" s="316" t="s">
        <v>898</v>
      </c>
      <c r="J159" s="316" t="s">
        <v>897</v>
      </c>
      <c r="K159" s="316" t="s">
        <v>898</v>
      </c>
      <c r="L159" s="316" t="s">
        <v>897</v>
      </c>
      <c r="M159" s="316" t="s">
        <v>898</v>
      </c>
    </row>
    <row r="160" spans="1:256" ht="5.65" customHeight="1"/>
    <row r="161" spans="1:13" ht="14.1" customHeight="1">
      <c r="A161" s="700" t="s">
        <v>940</v>
      </c>
      <c r="B161" s="700"/>
      <c r="C161" s="700"/>
      <c r="D161" s="700"/>
      <c r="E161" s="700"/>
      <c r="F161" s="700"/>
      <c r="G161" s="700"/>
      <c r="H161" s="700"/>
      <c r="I161" s="700"/>
      <c r="J161" s="700"/>
      <c r="K161" s="700"/>
      <c r="L161" s="700"/>
      <c r="M161" s="700"/>
    </row>
    <row r="162" spans="1:13" ht="14.1" customHeight="1">
      <c r="A162" s="348" t="s">
        <v>320</v>
      </c>
      <c r="B162" s="348" t="s">
        <v>941</v>
      </c>
      <c r="C162" s="349" t="s">
        <v>321</v>
      </c>
      <c r="D162" s="350"/>
      <c r="E162" s="350">
        <f t="shared" ref="E162:F169" si="56">H162+J162+L162</f>
        <v>80</v>
      </c>
      <c r="F162" s="351">
        <f t="shared" si="56"/>
        <v>0</v>
      </c>
      <c r="G162" s="353">
        <f t="shared" ref="G162:G176" si="57">F162/E162</f>
        <v>0</v>
      </c>
      <c r="H162" s="350">
        <f>'MMMH reszletes'!D317/1000</f>
        <v>0</v>
      </c>
      <c r="I162" s="351">
        <f>'MMMH reszletes'!E317/1000</f>
        <v>0</v>
      </c>
      <c r="J162" s="350">
        <f>'MMMH reszletes'!F317/1000</f>
        <v>80</v>
      </c>
      <c r="K162" s="351">
        <f>'MMMH reszletes'!G317/1000</f>
        <v>0</v>
      </c>
      <c r="L162" s="350">
        <f>'MMMH reszletes'!H317/1000</f>
        <v>0</v>
      </c>
      <c r="M162" s="351">
        <f>'MMMH reszletes'!I317/1000</f>
        <v>0</v>
      </c>
    </row>
    <row r="163" spans="1:13" ht="14.1" customHeight="1">
      <c r="A163" s="348" t="s">
        <v>322</v>
      </c>
      <c r="B163" s="348" t="s">
        <v>942</v>
      </c>
      <c r="C163" s="349" t="s">
        <v>323</v>
      </c>
      <c r="D163" s="350"/>
      <c r="E163" s="350">
        <f t="shared" si="56"/>
        <v>0</v>
      </c>
      <c r="F163" s="351">
        <f t="shared" si="56"/>
        <v>0</v>
      </c>
      <c r="G163" s="353" t="e">
        <f t="shared" si="57"/>
        <v>#DIV/0!</v>
      </c>
      <c r="H163" s="350">
        <f>'MMMH reszletes'!D318/1000</f>
        <v>0</v>
      </c>
      <c r="I163" s="351">
        <f>'MMMH reszletes'!E318/1000</f>
        <v>0</v>
      </c>
      <c r="J163" s="350">
        <f>'MMMH reszletes'!F318/1000</f>
        <v>0</v>
      </c>
      <c r="K163" s="351">
        <f>'MMMH reszletes'!G318/1000</f>
        <v>0</v>
      </c>
      <c r="L163" s="350">
        <f>'MMMH reszletes'!H318/1000</f>
        <v>0</v>
      </c>
      <c r="M163" s="351">
        <f>'MMMH reszletes'!I318/1000</f>
        <v>0</v>
      </c>
    </row>
    <row r="164" spans="1:13" ht="14.1" customHeight="1">
      <c r="A164" s="348" t="s">
        <v>324</v>
      </c>
      <c r="B164" s="348" t="s">
        <v>837</v>
      </c>
      <c r="C164" s="349" t="s">
        <v>325</v>
      </c>
      <c r="D164" s="350"/>
      <c r="E164" s="350">
        <f t="shared" si="56"/>
        <v>0</v>
      </c>
      <c r="F164" s="351">
        <f t="shared" si="56"/>
        <v>0</v>
      </c>
      <c r="G164" s="353" t="e">
        <f t="shared" si="57"/>
        <v>#DIV/0!</v>
      </c>
      <c r="H164" s="350">
        <f>'MMMH reszletes'!D319/1000</f>
        <v>0</v>
      </c>
      <c r="I164" s="351">
        <f>'MMMH reszletes'!E319/1000</f>
        <v>0</v>
      </c>
      <c r="J164" s="350">
        <f>'MMMH reszletes'!F319/1000</f>
        <v>0</v>
      </c>
      <c r="K164" s="351">
        <f>'MMMH reszletes'!G319/1000</f>
        <v>0</v>
      </c>
      <c r="L164" s="350">
        <f>'MMMH reszletes'!H319/1000</f>
        <v>0</v>
      </c>
      <c r="M164" s="351">
        <f>'MMMH reszletes'!I319/1000</f>
        <v>0</v>
      </c>
    </row>
    <row r="165" spans="1:13" ht="14.1" customHeight="1">
      <c r="A165" s="348" t="s">
        <v>326</v>
      </c>
      <c r="B165" s="348" t="s">
        <v>839</v>
      </c>
      <c r="C165" s="349" t="s">
        <v>943</v>
      </c>
      <c r="D165" s="350"/>
      <c r="E165" s="350">
        <f t="shared" si="56"/>
        <v>982.5</v>
      </c>
      <c r="F165" s="351">
        <f t="shared" si="56"/>
        <v>0</v>
      </c>
      <c r="G165" s="353">
        <f t="shared" si="57"/>
        <v>0</v>
      </c>
      <c r="H165" s="350">
        <v>866</v>
      </c>
      <c r="I165" s="351">
        <f>'MMMH reszletes'!E320/1000</f>
        <v>0</v>
      </c>
      <c r="J165" s="350">
        <f>'MMMH reszletes'!F320/1000</f>
        <v>116.5</v>
      </c>
      <c r="K165" s="351">
        <f>'MMMH reszletes'!G320/1000</f>
        <v>0</v>
      </c>
      <c r="L165" s="350">
        <f>'MMMH reszletes'!H320/1000</f>
        <v>0</v>
      </c>
      <c r="M165" s="351">
        <f>'MMMH reszletes'!I320/1000</f>
        <v>0</v>
      </c>
    </row>
    <row r="166" spans="1:13" ht="14.1" customHeight="1">
      <c r="A166" s="348"/>
      <c r="B166" s="348" t="s">
        <v>841</v>
      </c>
      <c r="C166" s="349" t="s">
        <v>842</v>
      </c>
      <c r="D166" s="350"/>
      <c r="E166" s="350">
        <f t="shared" si="56"/>
        <v>0</v>
      </c>
      <c r="F166" s="351">
        <f t="shared" si="56"/>
        <v>0</v>
      </c>
      <c r="G166" s="353" t="e">
        <f t="shared" si="57"/>
        <v>#DIV/0!</v>
      </c>
      <c r="H166" s="350">
        <f>'MMMH reszletes'!D321/1000</f>
        <v>0</v>
      </c>
      <c r="I166" s="351">
        <f>'MMMH reszletes'!E321/1000</f>
        <v>0</v>
      </c>
      <c r="J166" s="350">
        <f>'MMMH reszletes'!F321/1000</f>
        <v>0</v>
      </c>
      <c r="K166" s="351">
        <f>'MMMH reszletes'!G321/1000</f>
        <v>0</v>
      </c>
      <c r="L166" s="350">
        <f>'MMMH reszletes'!H321/1000</f>
        <v>0</v>
      </c>
      <c r="M166" s="351">
        <f>'MMMH reszletes'!I321/1000</f>
        <v>0</v>
      </c>
    </row>
    <row r="167" spans="1:13" ht="14.1" customHeight="1">
      <c r="A167" s="348" t="s">
        <v>328</v>
      </c>
      <c r="B167" s="348" t="s">
        <v>944</v>
      </c>
      <c r="C167" s="349" t="s">
        <v>329</v>
      </c>
      <c r="D167" s="350"/>
      <c r="E167" s="350">
        <f t="shared" si="56"/>
        <v>0</v>
      </c>
      <c r="F167" s="351">
        <f t="shared" si="56"/>
        <v>0</v>
      </c>
      <c r="G167" s="353" t="e">
        <f t="shared" si="57"/>
        <v>#DIV/0!</v>
      </c>
      <c r="H167" s="350">
        <f>'MMMH reszletes'!D322/1000</f>
        <v>0</v>
      </c>
      <c r="I167" s="351">
        <f>'MMMH reszletes'!E322/1000</f>
        <v>0</v>
      </c>
      <c r="J167" s="350">
        <f>'MMMH reszletes'!F322/1000</f>
        <v>0</v>
      </c>
      <c r="K167" s="351">
        <f>'MMMH reszletes'!G322/1000</f>
        <v>0</v>
      </c>
      <c r="L167" s="350">
        <f>'MMMH reszletes'!H322/1000</f>
        <v>0</v>
      </c>
      <c r="M167" s="351">
        <f>'MMMH reszletes'!I322/1000</f>
        <v>0</v>
      </c>
    </row>
    <row r="168" spans="1:13" ht="14.1" customHeight="1">
      <c r="A168" s="348" t="s">
        <v>330</v>
      </c>
      <c r="B168" s="348" t="s">
        <v>945</v>
      </c>
      <c r="C168" s="349" t="s">
        <v>946</v>
      </c>
      <c r="D168" s="350"/>
      <c r="E168" s="350">
        <f t="shared" si="56"/>
        <v>0</v>
      </c>
      <c r="F168" s="351">
        <f t="shared" si="56"/>
        <v>0</v>
      </c>
      <c r="G168" s="353" t="e">
        <f t="shared" si="57"/>
        <v>#DIV/0!</v>
      </c>
      <c r="H168" s="350">
        <f>'MMMH reszletes'!D323/1000</f>
        <v>0</v>
      </c>
      <c r="I168" s="351">
        <f>'MMMH reszletes'!E323/1000</f>
        <v>0</v>
      </c>
      <c r="J168" s="350">
        <f>'MMMH reszletes'!F323/1000</f>
        <v>0</v>
      </c>
      <c r="K168" s="351">
        <f>'MMMH reszletes'!G323/1000</f>
        <v>0</v>
      </c>
      <c r="L168" s="350">
        <f>'MMMH reszletes'!H323/1000</f>
        <v>0</v>
      </c>
      <c r="M168" s="351">
        <f>'MMMH reszletes'!I323/1000</f>
        <v>0</v>
      </c>
    </row>
    <row r="169" spans="1:13" ht="14.1" customHeight="1">
      <c r="A169" s="348" t="s">
        <v>332</v>
      </c>
      <c r="B169" s="348" t="s">
        <v>843</v>
      </c>
      <c r="C169" s="349" t="s">
        <v>947</v>
      </c>
      <c r="D169" s="350"/>
      <c r="E169" s="350">
        <f t="shared" si="56"/>
        <v>287.05500000000001</v>
      </c>
      <c r="F169" s="351">
        <f t="shared" si="56"/>
        <v>0</v>
      </c>
      <c r="G169" s="353">
        <f t="shared" si="57"/>
        <v>0</v>
      </c>
      <c r="H169" s="350">
        <f>ROUND(H165*0.27,0)</f>
        <v>234</v>
      </c>
      <c r="I169" s="351">
        <f>'MMMH reszletes'!E324/1000</f>
        <v>0</v>
      </c>
      <c r="J169" s="350">
        <f>'MMMH reszletes'!F324/1000</f>
        <v>53.055</v>
      </c>
      <c r="K169" s="351">
        <f>'MMMH reszletes'!G324/1000</f>
        <v>0</v>
      </c>
      <c r="L169" s="350">
        <f>'MMMH reszletes'!H324/1000</f>
        <v>0</v>
      </c>
      <c r="M169" s="351">
        <f>'MMMH reszletes'!I324/1000</f>
        <v>0</v>
      </c>
    </row>
    <row r="170" spans="1:13" s="317" customFormat="1" ht="14.1" customHeight="1">
      <c r="A170" s="335" t="s">
        <v>334</v>
      </c>
      <c r="B170" s="335" t="s">
        <v>845</v>
      </c>
      <c r="C170" s="336" t="s">
        <v>846</v>
      </c>
      <c r="D170" s="339">
        <f>SUM(D162:D169)</f>
        <v>0</v>
      </c>
      <c r="E170" s="339">
        <f>SUM(E162:E169)</f>
        <v>1349.5550000000001</v>
      </c>
      <c r="F170" s="339">
        <f>SUM(F162:F169)</f>
        <v>0</v>
      </c>
      <c r="G170" s="338">
        <f t="shared" si="57"/>
        <v>0</v>
      </c>
      <c r="H170" s="339">
        <f t="shared" ref="H170:M170" si="58">SUM(H162:H169)</f>
        <v>1100</v>
      </c>
      <c r="I170" s="339">
        <f t="shared" si="58"/>
        <v>0</v>
      </c>
      <c r="J170" s="339">
        <f t="shared" si="58"/>
        <v>249.55500000000001</v>
      </c>
      <c r="K170" s="339">
        <f t="shared" si="58"/>
        <v>0</v>
      </c>
      <c r="L170" s="339">
        <f t="shared" si="58"/>
        <v>0</v>
      </c>
      <c r="M170" s="339">
        <f t="shared" si="58"/>
        <v>0</v>
      </c>
    </row>
    <row r="171" spans="1:13" ht="14.1" customHeight="1">
      <c r="A171" s="348" t="s">
        <v>335</v>
      </c>
      <c r="B171" s="348" t="s">
        <v>948</v>
      </c>
      <c r="C171" s="349" t="s">
        <v>336</v>
      </c>
      <c r="D171" s="350"/>
      <c r="E171" s="350">
        <f t="shared" ref="E171:F175" si="59">H171+J171+L171</f>
        <v>0</v>
      </c>
      <c r="F171" s="351">
        <f t="shared" si="59"/>
        <v>0</v>
      </c>
      <c r="G171" s="353" t="e">
        <f t="shared" si="57"/>
        <v>#DIV/0!</v>
      </c>
      <c r="H171" s="350">
        <f>'MMMH reszletes'!D326/1000</f>
        <v>0</v>
      </c>
      <c r="I171" s="351">
        <f>'MMMH reszletes'!E326/1000</f>
        <v>0</v>
      </c>
      <c r="J171" s="350">
        <f>'MMMH reszletes'!F326/1000</f>
        <v>0</v>
      </c>
      <c r="K171" s="351">
        <f>'MMMH reszletes'!G326/1000</f>
        <v>0</v>
      </c>
      <c r="L171" s="350">
        <f>'MMMH reszletes'!H326/1000</f>
        <v>0</v>
      </c>
      <c r="M171" s="351">
        <f>'MMMH reszletes'!I326/1000</f>
        <v>0</v>
      </c>
    </row>
    <row r="172" spans="1:13" ht="14.1" customHeight="1">
      <c r="A172" s="348" t="s">
        <v>337</v>
      </c>
      <c r="B172" s="348" t="s">
        <v>847</v>
      </c>
      <c r="C172" s="349" t="s">
        <v>848</v>
      </c>
      <c r="D172" s="350"/>
      <c r="E172" s="350">
        <f t="shared" si="59"/>
        <v>0</v>
      </c>
      <c r="F172" s="351">
        <f t="shared" si="59"/>
        <v>0</v>
      </c>
      <c r="G172" s="353" t="e">
        <f t="shared" si="57"/>
        <v>#DIV/0!</v>
      </c>
      <c r="H172" s="350">
        <f>'MMMH reszletes'!D327/1000</f>
        <v>0</v>
      </c>
      <c r="I172" s="351">
        <f>'MMMH reszletes'!E327/1000</f>
        <v>0</v>
      </c>
      <c r="J172" s="350">
        <f>'MMMH reszletes'!F327/1000</f>
        <v>0</v>
      </c>
      <c r="K172" s="351">
        <f>'MMMH reszletes'!G327/1000</f>
        <v>0</v>
      </c>
      <c r="L172" s="350">
        <f>'MMMH reszletes'!H327/1000</f>
        <v>0</v>
      </c>
      <c r="M172" s="351">
        <f>'MMMH reszletes'!I327/1000</f>
        <v>0</v>
      </c>
    </row>
    <row r="173" spans="1:13" ht="14.1" customHeight="1">
      <c r="A173" s="348" t="s">
        <v>339</v>
      </c>
      <c r="B173" s="348" t="s">
        <v>849</v>
      </c>
      <c r="C173" s="349" t="s">
        <v>949</v>
      </c>
      <c r="D173" s="350"/>
      <c r="E173" s="350">
        <f t="shared" si="59"/>
        <v>0</v>
      </c>
      <c r="F173" s="351">
        <f t="shared" si="59"/>
        <v>0</v>
      </c>
      <c r="G173" s="353" t="e">
        <f t="shared" si="57"/>
        <v>#DIV/0!</v>
      </c>
      <c r="H173" s="350">
        <f>'MMMH reszletes'!D328/1000</f>
        <v>0</v>
      </c>
      <c r="I173" s="351">
        <f>'MMMH reszletes'!E328/1000</f>
        <v>0</v>
      </c>
      <c r="J173" s="350">
        <f>'MMMH reszletes'!F328/1000</f>
        <v>0</v>
      </c>
      <c r="K173" s="351">
        <f>'MMMH reszletes'!G328/1000</f>
        <v>0</v>
      </c>
      <c r="L173" s="350">
        <f>'MMMH reszletes'!H328/1000</f>
        <v>0</v>
      </c>
      <c r="M173" s="351">
        <f>'MMMH reszletes'!I328/1000</f>
        <v>0</v>
      </c>
    </row>
    <row r="174" spans="1:13" ht="14.1" customHeight="1">
      <c r="A174" s="348"/>
      <c r="B174" s="348" t="s">
        <v>851</v>
      </c>
      <c r="C174" s="349" t="s">
        <v>852</v>
      </c>
      <c r="D174" s="350"/>
      <c r="E174" s="350">
        <f t="shared" si="59"/>
        <v>0</v>
      </c>
      <c r="F174" s="351">
        <f t="shared" si="59"/>
        <v>0</v>
      </c>
      <c r="G174" s="353" t="e">
        <f t="shared" si="57"/>
        <v>#DIV/0!</v>
      </c>
      <c r="H174" s="350">
        <f>'MMMH reszletes'!D329/1000</f>
        <v>0</v>
      </c>
      <c r="I174" s="351">
        <f>'MMMH reszletes'!E329/1000</f>
        <v>0</v>
      </c>
      <c r="J174" s="350">
        <f>'MMMH reszletes'!F329/1000</f>
        <v>0</v>
      </c>
      <c r="K174" s="351">
        <f>'MMMH reszletes'!G329/1000</f>
        <v>0</v>
      </c>
      <c r="L174" s="350">
        <f>'MMMH reszletes'!H329/1000</f>
        <v>0</v>
      </c>
      <c r="M174" s="351">
        <f>'MMMH reszletes'!I329/1000</f>
        <v>0</v>
      </c>
    </row>
    <row r="175" spans="1:13" ht="14.1" customHeight="1">
      <c r="A175" s="348" t="s">
        <v>341</v>
      </c>
      <c r="B175" s="348" t="s">
        <v>853</v>
      </c>
      <c r="C175" s="349" t="s">
        <v>950</v>
      </c>
      <c r="D175" s="350"/>
      <c r="E175" s="350">
        <f t="shared" si="59"/>
        <v>0</v>
      </c>
      <c r="F175" s="351">
        <f t="shared" si="59"/>
        <v>0</v>
      </c>
      <c r="G175" s="353" t="e">
        <f t="shared" si="57"/>
        <v>#DIV/0!</v>
      </c>
      <c r="H175" s="350">
        <f>'MMMH reszletes'!D330/1000</f>
        <v>0</v>
      </c>
      <c r="I175" s="351">
        <f>'MMMH reszletes'!E330/1000</f>
        <v>0</v>
      </c>
      <c r="J175" s="350">
        <f>'MMMH reszletes'!F330/1000</f>
        <v>0</v>
      </c>
      <c r="K175" s="351">
        <f>'MMMH reszletes'!G330/1000</f>
        <v>0</v>
      </c>
      <c r="L175" s="350">
        <f>'MMMH reszletes'!H330/1000</f>
        <v>0</v>
      </c>
      <c r="M175" s="351">
        <f>'MMMH reszletes'!I330/1000</f>
        <v>0</v>
      </c>
    </row>
    <row r="176" spans="1:13" s="317" customFormat="1" ht="14.1" customHeight="1">
      <c r="A176" s="335" t="s">
        <v>343</v>
      </c>
      <c r="B176" s="335" t="s">
        <v>855</v>
      </c>
      <c r="C176" s="336" t="s">
        <v>856</v>
      </c>
      <c r="D176" s="339">
        <f>SUM(D171:D175)</f>
        <v>0</v>
      </c>
      <c r="E176" s="339">
        <f>SUM(E171:E175)</f>
        <v>0</v>
      </c>
      <c r="F176" s="339">
        <f>SUM(F171:F175)</f>
        <v>0</v>
      </c>
      <c r="G176" s="338" t="e">
        <f t="shared" si="57"/>
        <v>#DIV/0!</v>
      </c>
      <c r="H176" s="339">
        <f t="shared" ref="H176:M176" si="60">SUM(H171:H175)</f>
        <v>0</v>
      </c>
      <c r="I176" s="339">
        <f t="shared" si="60"/>
        <v>0</v>
      </c>
      <c r="J176" s="339">
        <f t="shared" si="60"/>
        <v>0</v>
      </c>
      <c r="K176" s="339">
        <f t="shared" si="60"/>
        <v>0</v>
      </c>
      <c r="L176" s="339">
        <f t="shared" si="60"/>
        <v>0</v>
      </c>
      <c r="M176" s="339">
        <f t="shared" si="60"/>
        <v>0</v>
      </c>
    </row>
    <row r="177" spans="1:13" s="317" customFormat="1" ht="14.1" customHeight="1">
      <c r="A177" s="340"/>
      <c r="B177" s="340"/>
      <c r="C177" s="341" t="s">
        <v>857</v>
      </c>
      <c r="D177" s="344">
        <f t="shared" ref="D177:M177" si="61">D170+D176</f>
        <v>0</v>
      </c>
      <c r="E177" s="344">
        <f>ROUND(E170+E176,0)</f>
        <v>1350</v>
      </c>
      <c r="F177" s="344">
        <f t="shared" si="61"/>
        <v>0</v>
      </c>
      <c r="G177" s="344" t="e">
        <f t="shared" si="61"/>
        <v>#DIV/0!</v>
      </c>
      <c r="H177" s="344">
        <f t="shared" si="61"/>
        <v>1100</v>
      </c>
      <c r="I177" s="344">
        <f t="shared" si="61"/>
        <v>0</v>
      </c>
      <c r="J177" s="344">
        <f>ROUND(J170+J176,0)</f>
        <v>250</v>
      </c>
      <c r="K177" s="344">
        <f t="shared" si="61"/>
        <v>0</v>
      </c>
      <c r="L177" s="344">
        <f t="shared" si="61"/>
        <v>0</v>
      </c>
      <c r="M177" s="344">
        <f t="shared" si="61"/>
        <v>0</v>
      </c>
    </row>
    <row r="178" spans="1:13" s="317" customFormat="1" ht="14.1" customHeight="1">
      <c r="A178" s="701" t="s">
        <v>951</v>
      </c>
      <c r="B178" s="701"/>
      <c r="C178" s="701"/>
      <c r="D178" s="354">
        <f t="shared" ref="D178:M178" si="62">D58+D67+D152+D177</f>
        <v>132045</v>
      </c>
      <c r="E178" s="354">
        <f t="shared" si="62"/>
        <v>135033</v>
      </c>
      <c r="F178" s="354">
        <f t="shared" si="62"/>
        <v>0</v>
      </c>
      <c r="G178" s="354" t="e">
        <f t="shared" si="62"/>
        <v>#DIV/0!</v>
      </c>
      <c r="H178" s="354">
        <f t="shared" si="62"/>
        <v>30243</v>
      </c>
      <c r="I178" s="354">
        <f t="shared" si="62"/>
        <v>0</v>
      </c>
      <c r="J178" s="354">
        <f t="shared" si="62"/>
        <v>100853</v>
      </c>
      <c r="K178" s="354">
        <f t="shared" si="62"/>
        <v>0</v>
      </c>
      <c r="L178" s="354">
        <f t="shared" si="62"/>
        <v>3937</v>
      </c>
      <c r="M178" s="354">
        <f t="shared" si="62"/>
        <v>0</v>
      </c>
    </row>
    <row r="185" spans="1:13" s="315" customFormat="1" ht="12.75" customHeight="1">
      <c r="A185" s="699" t="s">
        <v>886</v>
      </c>
      <c r="B185" s="699"/>
      <c r="C185" s="699"/>
      <c r="D185" s="699"/>
      <c r="E185" s="699"/>
      <c r="F185" s="699"/>
      <c r="G185" s="699"/>
      <c r="H185" s="699"/>
      <c r="I185" s="699"/>
      <c r="J185" s="699"/>
      <c r="K185" s="699"/>
      <c r="L185" s="699"/>
      <c r="M185" s="699"/>
    </row>
    <row r="186" spans="1:13" s="315" customFormat="1" ht="14.1" customHeight="1">
      <c r="A186" s="699" t="s">
        <v>887</v>
      </c>
      <c r="B186" s="702" t="s">
        <v>888</v>
      </c>
      <c r="C186" s="699" t="s">
        <v>889</v>
      </c>
      <c r="D186" s="695" t="s">
        <v>890</v>
      </c>
      <c r="E186" s="695" t="s">
        <v>891</v>
      </c>
      <c r="F186" s="695" t="s">
        <v>892</v>
      </c>
      <c r="G186" s="711" t="s">
        <v>893</v>
      </c>
      <c r="H186" s="695" t="s">
        <v>894</v>
      </c>
      <c r="I186" s="695"/>
      <c r="J186" s="695" t="s">
        <v>895</v>
      </c>
      <c r="K186" s="695"/>
      <c r="L186" s="695" t="s">
        <v>896</v>
      </c>
      <c r="M186" s="695"/>
    </row>
    <row r="187" spans="1:13" s="317" customFormat="1" ht="14.1" customHeight="1">
      <c r="A187" s="699"/>
      <c r="B187" s="702"/>
      <c r="C187" s="699"/>
      <c r="D187" s="695"/>
      <c r="E187" s="695"/>
      <c r="F187" s="695"/>
      <c r="G187" s="711"/>
      <c r="H187" s="316" t="s">
        <v>897</v>
      </c>
      <c r="I187" s="316" t="s">
        <v>898</v>
      </c>
      <c r="J187" s="316" t="s">
        <v>897</v>
      </c>
      <c r="K187" s="316" t="s">
        <v>898</v>
      </c>
      <c r="L187" s="316" t="s">
        <v>897</v>
      </c>
      <c r="M187" s="316" t="s">
        <v>898</v>
      </c>
    </row>
    <row r="188" spans="1:13" ht="5.65" customHeight="1"/>
    <row r="189" spans="1:13" ht="14.1" customHeight="1">
      <c r="A189" s="700" t="s">
        <v>952</v>
      </c>
      <c r="B189" s="700"/>
      <c r="C189" s="700"/>
      <c r="D189" s="700"/>
      <c r="E189" s="700"/>
      <c r="F189" s="700"/>
      <c r="G189" s="700"/>
      <c r="H189" s="700"/>
      <c r="I189" s="700"/>
      <c r="J189" s="700"/>
      <c r="K189" s="700"/>
      <c r="L189" s="700"/>
      <c r="M189" s="700"/>
    </row>
    <row r="190" spans="1:13" s="317" customFormat="1" ht="14.1" customHeight="1">
      <c r="A190" s="340" t="s">
        <v>953</v>
      </c>
      <c r="B190" s="340"/>
      <c r="C190" s="341" t="s">
        <v>954</v>
      </c>
      <c r="D190" s="344">
        <f>SUM(D191:D197)</f>
        <v>30010</v>
      </c>
      <c r="E190" s="344">
        <f>SUM(E191:E197)</f>
        <v>34001.800000000003</v>
      </c>
      <c r="F190" s="344">
        <f>SUM(F191:F197)</f>
        <v>0</v>
      </c>
      <c r="G190" s="344">
        <f t="shared" ref="G190:G198" si="63">F190/E190</f>
        <v>0</v>
      </c>
      <c r="H190" s="344">
        <f t="shared" ref="H190:M190" si="64">SUM(H191:H197)</f>
        <v>14990.7</v>
      </c>
      <c r="I190" s="344">
        <f t="shared" si="64"/>
        <v>0</v>
      </c>
      <c r="J190" s="344">
        <f t="shared" si="64"/>
        <v>19011.099999999999</v>
      </c>
      <c r="K190" s="344">
        <f t="shared" si="64"/>
        <v>0</v>
      </c>
      <c r="L190" s="344">
        <f t="shared" si="64"/>
        <v>0</v>
      </c>
      <c r="M190" s="344">
        <f t="shared" si="64"/>
        <v>0</v>
      </c>
    </row>
    <row r="191" spans="1:13" ht="14.1" customHeight="1">
      <c r="A191" s="348" t="s">
        <v>955</v>
      </c>
      <c r="B191" s="348"/>
      <c r="C191" s="349" t="s">
        <v>956</v>
      </c>
      <c r="D191" s="350">
        <v>0</v>
      </c>
      <c r="E191" s="350">
        <f t="shared" ref="E191:F198" si="65">H191+J191+L191</f>
        <v>0</v>
      </c>
      <c r="F191" s="351">
        <f t="shared" si="65"/>
        <v>0</v>
      </c>
      <c r="G191" s="350" t="e">
        <f t="shared" si="63"/>
        <v>#DIV/0!</v>
      </c>
      <c r="H191" s="350">
        <f>'MMMH reszletes'!D341/1000</f>
        <v>0</v>
      </c>
      <c r="I191" s="351">
        <f>'MMMH reszletes'!E341/1000</f>
        <v>0</v>
      </c>
      <c r="J191" s="350">
        <f>'MMMH reszletes'!F341/1000</f>
        <v>0</v>
      </c>
      <c r="K191" s="351">
        <f>'MMMH reszletes'!G341/1000</f>
        <v>0</v>
      </c>
      <c r="L191" s="350">
        <f>'MMMH reszletes'!H341/1000</f>
        <v>0</v>
      </c>
      <c r="M191" s="351">
        <f>'MMMH reszletes'!I341/1000</f>
        <v>0</v>
      </c>
    </row>
    <row r="192" spans="1:13" ht="14.1" customHeight="1">
      <c r="A192" s="348" t="s">
        <v>957</v>
      </c>
      <c r="B192" s="348"/>
      <c r="C192" s="349" t="s">
        <v>958</v>
      </c>
      <c r="D192" s="350">
        <v>12000</v>
      </c>
      <c r="E192" s="350">
        <f t="shared" si="65"/>
        <v>11410</v>
      </c>
      <c r="F192" s="351">
        <f t="shared" si="65"/>
        <v>0</v>
      </c>
      <c r="G192" s="350">
        <f t="shared" si="63"/>
        <v>0</v>
      </c>
      <c r="H192" s="350">
        <f>'MMMH reszletes'!D342/1000</f>
        <v>11410</v>
      </c>
      <c r="I192" s="351">
        <f>'MMMH reszletes'!E342/1000</f>
        <v>0</v>
      </c>
      <c r="J192" s="350">
        <f>'MMMH reszletes'!F342/1000</f>
        <v>0</v>
      </c>
      <c r="K192" s="351">
        <f>'MMMH reszletes'!G342/1000</f>
        <v>0</v>
      </c>
      <c r="L192" s="350">
        <f>'MMMH reszletes'!H342/1000</f>
        <v>0</v>
      </c>
      <c r="M192" s="351">
        <f>'MMMH reszletes'!I342/1000</f>
        <v>0</v>
      </c>
    </row>
    <row r="193" spans="1:13" ht="14.1" customHeight="1">
      <c r="A193" s="348" t="s">
        <v>959</v>
      </c>
      <c r="B193" s="348"/>
      <c r="C193" s="349" t="s">
        <v>960</v>
      </c>
      <c r="D193" s="350">
        <v>3930</v>
      </c>
      <c r="E193" s="350">
        <f t="shared" si="65"/>
        <v>4000</v>
      </c>
      <c r="F193" s="351">
        <f t="shared" si="65"/>
        <v>0</v>
      </c>
      <c r="G193" s="350">
        <f t="shared" si="63"/>
        <v>0</v>
      </c>
      <c r="H193" s="350">
        <f>'MMMH reszletes'!D360/1000</f>
        <v>0</v>
      </c>
      <c r="I193" s="351">
        <f>'MMMH reszletes'!E360/1000</f>
        <v>0</v>
      </c>
      <c r="J193" s="350">
        <f>'MMMH reszletes'!F360/1000</f>
        <v>4000</v>
      </c>
      <c r="K193" s="351">
        <f>'MMMH reszletes'!G360/1000</f>
        <v>0</v>
      </c>
      <c r="L193" s="350">
        <f>'MMMH reszletes'!H360/1000</f>
        <v>0</v>
      </c>
      <c r="M193" s="351">
        <f>'MMMH reszletes'!I360/1000</f>
        <v>0</v>
      </c>
    </row>
    <row r="194" spans="1:13" ht="14.1" customHeight="1">
      <c r="A194" s="348" t="s">
        <v>961</v>
      </c>
      <c r="B194" s="348"/>
      <c r="C194" s="349" t="s">
        <v>962</v>
      </c>
      <c r="D194" s="350">
        <v>7700</v>
      </c>
      <c r="E194" s="350">
        <f t="shared" si="65"/>
        <v>10930</v>
      </c>
      <c r="F194" s="351">
        <f t="shared" si="65"/>
        <v>0</v>
      </c>
      <c r="G194" s="350">
        <f t="shared" si="63"/>
        <v>0</v>
      </c>
      <c r="H194" s="350">
        <f>'MMMH reszletes'!D364/1000</f>
        <v>0</v>
      </c>
      <c r="I194" s="351">
        <f>'MMMH reszletes'!E364/1000</f>
        <v>0</v>
      </c>
      <c r="J194" s="350">
        <f>'MMMH reszletes'!F364/1000</f>
        <v>10930</v>
      </c>
      <c r="K194" s="351">
        <f>'MMMH reszletes'!G364/1000</f>
        <v>0</v>
      </c>
      <c r="L194" s="350">
        <f>'MMMH reszletes'!H364/1000</f>
        <v>0</v>
      </c>
      <c r="M194" s="351">
        <f>'MMMH reszletes'!I364/1000</f>
        <v>0</v>
      </c>
    </row>
    <row r="195" spans="1:13" ht="14.1" customHeight="1">
      <c r="A195" s="348" t="s">
        <v>963</v>
      </c>
      <c r="B195" s="348"/>
      <c r="C195" s="349" t="s">
        <v>964</v>
      </c>
      <c r="D195" s="350">
        <v>6380</v>
      </c>
      <c r="E195" s="350">
        <f t="shared" si="65"/>
        <v>7111.8</v>
      </c>
      <c r="F195" s="351">
        <f t="shared" si="65"/>
        <v>0</v>
      </c>
      <c r="G195" s="350">
        <f t="shared" si="63"/>
        <v>0</v>
      </c>
      <c r="H195" s="350">
        <f>'MMMH reszletes'!D369/1000</f>
        <v>3080.7</v>
      </c>
      <c r="I195" s="351">
        <f>'MMMH reszletes'!E369/1000</f>
        <v>0</v>
      </c>
      <c r="J195" s="350">
        <f>'MMMH reszletes'!F369/1000</f>
        <v>4031.1000000000004</v>
      </c>
      <c r="K195" s="351">
        <f>'MMMH reszletes'!G369/1000</f>
        <v>0</v>
      </c>
      <c r="L195" s="350">
        <f>'MMMH reszletes'!H369/1000</f>
        <v>0</v>
      </c>
      <c r="M195" s="351">
        <f>'MMMH reszletes'!I369/1000</f>
        <v>0</v>
      </c>
    </row>
    <row r="196" spans="1:13" ht="14.1" customHeight="1">
      <c r="A196" s="348" t="s">
        <v>965</v>
      </c>
      <c r="B196" s="348"/>
      <c r="C196" s="349" t="s">
        <v>966</v>
      </c>
      <c r="D196" s="350">
        <v>0</v>
      </c>
      <c r="E196" s="350">
        <f t="shared" si="65"/>
        <v>50</v>
      </c>
      <c r="F196" s="351">
        <f t="shared" si="65"/>
        <v>0</v>
      </c>
      <c r="G196" s="350">
        <f t="shared" si="63"/>
        <v>0</v>
      </c>
      <c r="H196" s="350">
        <f>'MMMH reszletes'!D370/1000</f>
        <v>0</v>
      </c>
      <c r="I196" s="351">
        <f>'MMMH reszletes'!E370/1000</f>
        <v>0</v>
      </c>
      <c r="J196" s="350">
        <f>'MMMH reszletes'!F370/1000</f>
        <v>50</v>
      </c>
      <c r="K196" s="351">
        <f>'MMMH reszletes'!G370/1000</f>
        <v>0</v>
      </c>
      <c r="L196" s="350">
        <f>'MMMH reszletes'!H370/1000</f>
        <v>0</v>
      </c>
      <c r="M196" s="351">
        <f>'MMMH reszletes'!I370/1000</f>
        <v>0</v>
      </c>
    </row>
    <row r="197" spans="1:13" ht="14.1" customHeight="1">
      <c r="A197" s="348" t="s">
        <v>967</v>
      </c>
      <c r="B197" s="348"/>
      <c r="C197" s="349" t="s">
        <v>968</v>
      </c>
      <c r="D197" s="350">
        <v>0</v>
      </c>
      <c r="E197" s="350">
        <f t="shared" si="65"/>
        <v>500</v>
      </c>
      <c r="F197" s="351">
        <f t="shared" si="65"/>
        <v>0</v>
      </c>
      <c r="G197" s="350">
        <f t="shared" si="63"/>
        <v>0</v>
      </c>
      <c r="H197" s="350">
        <f>'MMMH reszletes'!D371/1000</f>
        <v>500</v>
      </c>
      <c r="I197" s="351">
        <f>'MMMH reszletes'!E371/1000</f>
        <v>0</v>
      </c>
      <c r="J197" s="350">
        <f>'MMMH reszletes'!F371/1000</f>
        <v>0</v>
      </c>
      <c r="K197" s="351">
        <f>'MMMH reszletes'!G371/1000</f>
        <v>0</v>
      </c>
      <c r="L197" s="350">
        <f>'MMMH reszletes'!H371/1000</f>
        <v>0</v>
      </c>
      <c r="M197" s="351">
        <f>'MMMH reszletes'!I371/1000</f>
        <v>0</v>
      </c>
    </row>
    <row r="198" spans="1:13" s="317" customFormat="1" ht="14.1" customHeight="1">
      <c r="A198" s="340" t="s">
        <v>969</v>
      </c>
      <c r="B198" s="340"/>
      <c r="C198" s="341" t="s">
        <v>40</v>
      </c>
      <c r="D198" s="344">
        <v>0</v>
      </c>
      <c r="E198" s="344">
        <f t="shared" si="65"/>
        <v>0</v>
      </c>
      <c r="F198" s="344">
        <f t="shared" si="65"/>
        <v>0</v>
      </c>
      <c r="G198" s="344" t="e">
        <f t="shared" si="63"/>
        <v>#DIV/0!</v>
      </c>
      <c r="H198" s="344">
        <f>'MMMH reszletes'!D374/1000</f>
        <v>0</v>
      </c>
      <c r="I198" s="344">
        <f>'MMMH reszletes'!E374/1000</f>
        <v>0</v>
      </c>
      <c r="J198" s="344">
        <f>'MMMH reszletes'!F374/1000</f>
        <v>0</v>
      </c>
      <c r="K198" s="344">
        <f>'MMMH reszletes'!G374/1000</f>
        <v>0</v>
      </c>
      <c r="L198" s="344">
        <f>'MMMH reszletes'!H374/1000</f>
        <v>0</v>
      </c>
      <c r="M198" s="344">
        <f>'MMMH reszletes'!I374/1000</f>
        <v>0</v>
      </c>
    </row>
    <row r="199" spans="1:13" s="317" customFormat="1" ht="14.1" customHeight="1">
      <c r="A199" s="355"/>
      <c r="B199" s="355"/>
      <c r="C199" s="356" t="s">
        <v>970</v>
      </c>
      <c r="D199" s="354">
        <f t="shared" ref="D199:M199" si="66">D190+D198</f>
        <v>30010</v>
      </c>
      <c r="E199" s="354">
        <f t="shared" si="66"/>
        <v>34001.800000000003</v>
      </c>
      <c r="F199" s="354">
        <f t="shared" si="66"/>
        <v>0</v>
      </c>
      <c r="G199" s="354" t="e">
        <f t="shared" si="66"/>
        <v>#DIV/0!</v>
      </c>
      <c r="H199" s="354">
        <f t="shared" si="66"/>
        <v>14990.7</v>
      </c>
      <c r="I199" s="354">
        <f t="shared" si="66"/>
        <v>0</v>
      </c>
      <c r="J199" s="354">
        <f t="shared" si="66"/>
        <v>19011.099999999999</v>
      </c>
      <c r="K199" s="354">
        <f t="shared" si="66"/>
        <v>0</v>
      </c>
      <c r="L199" s="354">
        <f t="shared" si="66"/>
        <v>0</v>
      </c>
      <c r="M199" s="354">
        <f t="shared" si="66"/>
        <v>0</v>
      </c>
    </row>
  </sheetData>
  <sheetProtection selectLockedCells="1" selectUnlockedCells="1"/>
  <mergeCells count="50">
    <mergeCell ref="A1:M1"/>
    <mergeCell ref="A2:A3"/>
    <mergeCell ref="B2:B3"/>
    <mergeCell ref="C2:C3"/>
    <mergeCell ref="D2:D3"/>
    <mergeCell ref="E2:E3"/>
    <mergeCell ref="F2:F3"/>
    <mergeCell ref="G2:G3"/>
    <mergeCell ref="H2:I2"/>
    <mergeCell ref="J2:K2"/>
    <mergeCell ref="A157:M157"/>
    <mergeCell ref="L2:M2"/>
    <mergeCell ref="A5:M5"/>
    <mergeCell ref="A68:C68"/>
    <mergeCell ref="A69:M69"/>
    <mergeCell ref="A70:A71"/>
    <mergeCell ref="B70:B71"/>
    <mergeCell ref="C70:C71"/>
    <mergeCell ref="D70:D71"/>
    <mergeCell ref="E70:E71"/>
    <mergeCell ref="F70:F71"/>
    <mergeCell ref="G70:G71"/>
    <mergeCell ref="H70:I70"/>
    <mergeCell ref="J70:K70"/>
    <mergeCell ref="L70:M70"/>
    <mergeCell ref="A73:M73"/>
    <mergeCell ref="A178:C178"/>
    <mergeCell ref="A158:A159"/>
    <mergeCell ref="B158:B159"/>
    <mergeCell ref="C158:C159"/>
    <mergeCell ref="D158:D159"/>
    <mergeCell ref="G158:G159"/>
    <mergeCell ref="H158:I158"/>
    <mergeCell ref="J158:K158"/>
    <mergeCell ref="L158:M158"/>
    <mergeCell ref="A161:M161"/>
    <mergeCell ref="E158:E159"/>
    <mergeCell ref="F158:F159"/>
    <mergeCell ref="L186:M186"/>
    <mergeCell ref="A189:M189"/>
    <mergeCell ref="A185:M185"/>
    <mergeCell ref="A186:A187"/>
    <mergeCell ref="B186:B187"/>
    <mergeCell ref="C186:C187"/>
    <mergeCell ref="D186:D187"/>
    <mergeCell ref="E186:E187"/>
    <mergeCell ref="F186:F187"/>
    <mergeCell ref="G186:G187"/>
    <mergeCell ref="H186:I186"/>
    <mergeCell ref="J186:K186"/>
  </mergeCells>
  <pageMargins left="0.15763888888888888" right="0.15763888888888888" top="0.19652777777777777" bottom="0.16527777777777777" header="0.51180555555555551" footer="0.51180555555555551"/>
  <pageSetup paperSize="9" orientation="portrait" useFirstPageNumber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dimension ref="A1:I377"/>
  <sheetViews>
    <sheetView topLeftCell="A353" zoomScale="140" zoomScaleNormal="140" workbookViewId="0">
      <selection activeCell="E178" sqref="E178"/>
    </sheetView>
  </sheetViews>
  <sheetFormatPr defaultColWidth="11.5703125" defaultRowHeight="14.1" customHeight="1"/>
  <cols>
    <col min="1" max="1" width="32.7109375" style="319" customWidth="1"/>
    <col min="2" max="9" width="8.7109375" style="320" customWidth="1"/>
    <col min="10" max="16384" width="11.5703125" style="357"/>
  </cols>
  <sheetData>
    <row r="1" spans="1:9" ht="14.1" customHeight="1">
      <c r="A1" s="699" t="s">
        <v>971</v>
      </c>
      <c r="B1" s="699"/>
      <c r="C1" s="699"/>
      <c r="D1" s="699"/>
      <c r="E1" s="699"/>
      <c r="F1" s="699"/>
      <c r="G1" s="699"/>
      <c r="H1" s="699"/>
      <c r="I1" s="699"/>
    </row>
    <row r="2" spans="1:9" ht="14.1" customHeight="1">
      <c r="A2" s="699" t="s">
        <v>889</v>
      </c>
      <c r="B2" s="695" t="s">
        <v>891</v>
      </c>
      <c r="C2" s="695" t="s">
        <v>892</v>
      </c>
      <c r="D2" s="695" t="s">
        <v>894</v>
      </c>
      <c r="E2" s="695"/>
      <c r="F2" s="695" t="s">
        <v>895</v>
      </c>
      <c r="G2" s="695"/>
      <c r="H2" s="695" t="s">
        <v>896</v>
      </c>
      <c r="I2" s="695"/>
    </row>
    <row r="3" spans="1:9" ht="14.1" customHeight="1">
      <c r="A3" s="699"/>
      <c r="B3" s="695"/>
      <c r="C3" s="695"/>
      <c r="D3" s="316" t="s">
        <v>897</v>
      </c>
      <c r="E3" s="316" t="s">
        <v>898</v>
      </c>
      <c r="F3" s="316" t="s">
        <v>897</v>
      </c>
      <c r="G3" s="316" t="s">
        <v>898</v>
      </c>
      <c r="H3" s="316" t="s">
        <v>897</v>
      </c>
      <c r="I3" s="316" t="s">
        <v>898</v>
      </c>
    </row>
    <row r="4" spans="1:9" ht="5.65" customHeight="1"/>
    <row r="5" spans="1:9" ht="14.1" customHeight="1">
      <c r="A5" s="700" t="s">
        <v>899</v>
      </c>
      <c r="B5" s="700"/>
      <c r="C5" s="700"/>
      <c r="D5" s="700"/>
      <c r="E5" s="700"/>
      <c r="F5" s="700"/>
      <c r="G5" s="700"/>
      <c r="H5" s="700"/>
      <c r="I5" s="700"/>
    </row>
    <row r="6" spans="1:9" ht="14.1" customHeight="1">
      <c r="A6" s="323" t="s">
        <v>566</v>
      </c>
      <c r="B6" s="326">
        <f t="shared" ref="B6:I6" si="0">B7+B30+B31+B36+B39+B41</f>
        <v>25197600</v>
      </c>
      <c r="C6" s="326">
        <f t="shared" si="0"/>
        <v>0</v>
      </c>
      <c r="D6" s="326">
        <f t="shared" si="0"/>
        <v>0</v>
      </c>
      <c r="E6" s="326">
        <f t="shared" si="0"/>
        <v>0</v>
      </c>
      <c r="F6" s="326">
        <f t="shared" si="0"/>
        <v>25197600</v>
      </c>
      <c r="G6" s="326">
        <f t="shared" si="0"/>
        <v>0</v>
      </c>
      <c r="H6" s="326">
        <f t="shared" si="0"/>
        <v>0</v>
      </c>
      <c r="I6" s="326">
        <f t="shared" si="0"/>
        <v>0</v>
      </c>
    </row>
    <row r="7" spans="1:9" s="360" customFormat="1" ht="14.1" customHeight="1">
      <c r="A7" s="358" t="s">
        <v>554</v>
      </c>
      <c r="B7" s="326">
        <f t="shared" ref="B7:I7" si="1">SUM(B8:B29)</f>
        <v>23595100</v>
      </c>
      <c r="C7" s="326">
        <f t="shared" si="1"/>
        <v>0</v>
      </c>
      <c r="D7" s="359">
        <f t="shared" si="1"/>
        <v>0</v>
      </c>
      <c r="E7" s="326">
        <f t="shared" si="1"/>
        <v>0</v>
      </c>
      <c r="F7" s="359">
        <f t="shared" si="1"/>
        <v>23595100</v>
      </c>
      <c r="G7" s="326">
        <f t="shared" si="1"/>
        <v>0</v>
      </c>
      <c r="H7" s="359">
        <f t="shared" si="1"/>
        <v>0</v>
      </c>
      <c r="I7" s="326">
        <f t="shared" si="1"/>
        <v>0</v>
      </c>
    </row>
    <row r="8" spans="1:9" s="362" customFormat="1" ht="14.1" customHeight="1">
      <c r="A8" s="361" t="s">
        <v>972</v>
      </c>
      <c r="B8" s="333">
        <f t="shared" ref="B8:C30" si="2">D8+F8+H8</f>
        <v>2424000</v>
      </c>
      <c r="C8" s="333">
        <f t="shared" si="2"/>
        <v>0</v>
      </c>
      <c r="D8" s="332">
        <v>0</v>
      </c>
      <c r="E8" s="333"/>
      <c r="F8" s="332">
        <f>12*202000</f>
        <v>2424000</v>
      </c>
      <c r="G8" s="333"/>
      <c r="H8" s="332">
        <v>0</v>
      </c>
      <c r="I8" s="333"/>
    </row>
    <row r="9" spans="1:9" s="362" customFormat="1" ht="14.1" customHeight="1">
      <c r="A9" s="361" t="s">
        <v>973</v>
      </c>
      <c r="B9" s="333">
        <f t="shared" si="2"/>
        <v>1648800</v>
      </c>
      <c r="C9" s="333">
        <f t="shared" si="2"/>
        <v>0</v>
      </c>
      <c r="D9" s="332">
        <v>0</v>
      </c>
      <c r="E9" s="333"/>
      <c r="F9" s="332">
        <f>12*137400</f>
        <v>1648800</v>
      </c>
      <c r="G9" s="333"/>
      <c r="H9" s="332">
        <v>0</v>
      </c>
      <c r="I9" s="333"/>
    </row>
    <row r="10" spans="1:9" s="362" customFormat="1" ht="14.1" customHeight="1">
      <c r="A10" s="361" t="s">
        <v>974</v>
      </c>
      <c r="B10" s="333">
        <f t="shared" si="2"/>
        <v>2288200</v>
      </c>
      <c r="C10" s="333">
        <f t="shared" si="2"/>
        <v>0</v>
      </c>
      <c r="D10" s="332">
        <v>0</v>
      </c>
      <c r="E10" s="333"/>
      <c r="F10" s="332">
        <f>103000+106700*6+142200*5+166800*5</f>
        <v>2288200</v>
      </c>
      <c r="G10" s="333"/>
      <c r="H10" s="332">
        <v>0</v>
      </c>
      <c r="I10" s="333"/>
    </row>
    <row r="11" spans="1:9" s="362" customFormat="1" ht="14.1" customHeight="1">
      <c r="A11" s="361" t="s">
        <v>975</v>
      </c>
      <c r="B11" s="333">
        <f t="shared" si="2"/>
        <v>1624800</v>
      </c>
      <c r="C11" s="333">
        <f t="shared" si="2"/>
        <v>0</v>
      </c>
      <c r="D11" s="332">
        <v>0</v>
      </c>
      <c r="E11" s="333"/>
      <c r="F11" s="332">
        <f>12*135400</f>
        <v>1624800</v>
      </c>
      <c r="G11" s="333"/>
      <c r="H11" s="332">
        <v>0</v>
      </c>
      <c r="I11" s="333"/>
    </row>
    <row r="12" spans="1:9" s="362" customFormat="1" ht="14.1" customHeight="1">
      <c r="A12" s="361" t="s">
        <v>976</v>
      </c>
      <c r="B12" s="333">
        <f t="shared" si="2"/>
        <v>1412000</v>
      </c>
      <c r="C12" s="333">
        <f t="shared" si="2"/>
        <v>0</v>
      </c>
      <c r="D12" s="332">
        <v>0</v>
      </c>
      <c r="E12" s="333"/>
      <c r="F12" s="332">
        <f>114000+11*118000</f>
        <v>1412000</v>
      </c>
      <c r="G12" s="333"/>
      <c r="H12" s="332">
        <v>0</v>
      </c>
      <c r="I12" s="333"/>
    </row>
    <row r="13" spans="1:9" s="362" customFormat="1" ht="14.1" customHeight="1">
      <c r="A13" s="361" t="s">
        <v>977</v>
      </c>
      <c r="B13" s="333">
        <f t="shared" si="2"/>
        <v>1569600</v>
      </c>
      <c r="C13" s="333">
        <f t="shared" si="2"/>
        <v>0</v>
      </c>
      <c r="D13" s="332">
        <v>0</v>
      </c>
      <c r="E13" s="333"/>
      <c r="F13" s="332">
        <f>12*130800</f>
        <v>1569600</v>
      </c>
      <c r="G13" s="333"/>
      <c r="H13" s="332">
        <v>0</v>
      </c>
      <c r="I13" s="333"/>
    </row>
    <row r="14" spans="1:9" s="362" customFormat="1" ht="14.1" customHeight="1">
      <c r="A14" s="361" t="s">
        <v>978</v>
      </c>
      <c r="B14" s="333">
        <f t="shared" si="2"/>
        <v>1412000</v>
      </c>
      <c r="C14" s="333">
        <f t="shared" si="2"/>
        <v>0</v>
      </c>
      <c r="D14" s="332">
        <v>0</v>
      </c>
      <c r="E14" s="333"/>
      <c r="F14" s="332">
        <f>114000+11*118000</f>
        <v>1412000</v>
      </c>
      <c r="G14" s="333"/>
      <c r="H14" s="332">
        <v>0</v>
      </c>
      <c r="I14" s="333"/>
    </row>
    <row r="15" spans="1:9" s="362" customFormat="1" ht="14.1" customHeight="1">
      <c r="A15" s="361" t="s">
        <v>979</v>
      </c>
      <c r="B15" s="333">
        <f t="shared" si="2"/>
        <v>1412000</v>
      </c>
      <c r="C15" s="333">
        <f t="shared" si="2"/>
        <v>0</v>
      </c>
      <c r="D15" s="332">
        <v>0</v>
      </c>
      <c r="E15" s="333"/>
      <c r="F15" s="332">
        <f>114000+11*118000</f>
        <v>1412000</v>
      </c>
      <c r="G15" s="333"/>
      <c r="H15" s="332">
        <v>0</v>
      </c>
      <c r="I15" s="333"/>
    </row>
    <row r="16" spans="1:9" s="362" customFormat="1" ht="14.1" customHeight="1">
      <c r="A16" s="361" t="s">
        <v>980</v>
      </c>
      <c r="B16" s="333">
        <f t="shared" si="2"/>
        <v>1406000</v>
      </c>
      <c r="C16" s="333">
        <f t="shared" si="2"/>
        <v>0</v>
      </c>
      <c r="D16" s="332">
        <v>0</v>
      </c>
      <c r="E16" s="333"/>
      <c r="F16" s="332">
        <f>108000+11*118000</f>
        <v>1406000</v>
      </c>
      <c r="G16" s="333"/>
      <c r="H16" s="332">
        <v>0</v>
      </c>
      <c r="I16" s="333"/>
    </row>
    <row r="17" spans="1:9" s="362" customFormat="1" ht="14.1" customHeight="1">
      <c r="A17" s="361" t="s">
        <v>981</v>
      </c>
      <c r="B17" s="333">
        <f t="shared" si="2"/>
        <v>1408000</v>
      </c>
      <c r="C17" s="333">
        <f t="shared" si="2"/>
        <v>0</v>
      </c>
      <c r="D17" s="332">
        <v>0</v>
      </c>
      <c r="E17" s="333"/>
      <c r="F17" s="332">
        <f>110000+11*118000</f>
        <v>1408000</v>
      </c>
      <c r="G17" s="333"/>
      <c r="H17" s="332">
        <v>0</v>
      </c>
      <c r="I17" s="333"/>
    </row>
    <row r="18" spans="1:9" s="362" customFormat="1" ht="14.1" customHeight="1">
      <c r="A18" s="361" t="s">
        <v>982</v>
      </c>
      <c r="B18" s="333">
        <f t="shared" si="2"/>
        <v>1407300</v>
      </c>
      <c r="C18" s="333">
        <f t="shared" si="2"/>
        <v>0</v>
      </c>
      <c r="D18" s="332">
        <v>0</v>
      </c>
      <c r="E18" s="333"/>
      <c r="F18" s="332">
        <f>109300+11*118000</f>
        <v>1407300</v>
      </c>
      <c r="G18" s="333"/>
      <c r="H18" s="332">
        <v>0</v>
      </c>
      <c r="I18" s="333"/>
    </row>
    <row r="19" spans="1:9" s="362" customFormat="1" ht="14.1" customHeight="1">
      <c r="A19" s="361" t="s">
        <v>983</v>
      </c>
      <c r="B19" s="333">
        <f t="shared" si="2"/>
        <v>1406000</v>
      </c>
      <c r="C19" s="333">
        <f t="shared" si="2"/>
        <v>0</v>
      </c>
      <c r="D19" s="332">
        <v>0</v>
      </c>
      <c r="E19" s="333"/>
      <c r="F19" s="332">
        <f>108000+11*118000</f>
        <v>1406000</v>
      </c>
      <c r="G19" s="333"/>
      <c r="H19" s="332">
        <v>0</v>
      </c>
      <c r="I19" s="333"/>
    </row>
    <row r="20" spans="1:9" s="362" customFormat="1" ht="14.1" customHeight="1">
      <c r="A20" s="361" t="s">
        <v>984</v>
      </c>
      <c r="B20" s="333">
        <f t="shared" si="2"/>
        <v>706000</v>
      </c>
      <c r="C20" s="333">
        <f t="shared" si="2"/>
        <v>0</v>
      </c>
      <c r="D20" s="332">
        <v>0</v>
      </c>
      <c r="E20" s="333"/>
      <c r="F20" s="332">
        <f>57000+11*59000</f>
        <v>706000</v>
      </c>
      <c r="G20" s="333"/>
      <c r="H20" s="332">
        <v>0</v>
      </c>
      <c r="I20" s="333"/>
    </row>
    <row r="21" spans="1:9" s="362" customFormat="1" ht="14.1" customHeight="1">
      <c r="A21" s="361" t="s">
        <v>985</v>
      </c>
      <c r="B21" s="333">
        <f t="shared" si="2"/>
        <v>714000</v>
      </c>
      <c r="C21" s="333">
        <f t="shared" si="2"/>
        <v>0</v>
      </c>
      <c r="D21" s="332">
        <v>0</v>
      </c>
      <c r="E21" s="333"/>
      <c r="F21" s="332">
        <f>59500*12</f>
        <v>714000</v>
      </c>
      <c r="G21" s="333"/>
      <c r="H21" s="332">
        <v>0</v>
      </c>
      <c r="I21" s="333"/>
    </row>
    <row r="22" spans="1:9" s="362" customFormat="1" ht="14.1" customHeight="1">
      <c r="A22" s="361" t="s">
        <v>986</v>
      </c>
      <c r="B22" s="333">
        <f t="shared" si="2"/>
        <v>348000</v>
      </c>
      <c r="C22" s="333">
        <f t="shared" si="2"/>
        <v>0</v>
      </c>
      <c r="D22" s="332">
        <v>0</v>
      </c>
      <c r="E22" s="333"/>
      <c r="F22" s="332">
        <f>29000*12</f>
        <v>348000</v>
      </c>
      <c r="G22" s="333"/>
      <c r="H22" s="332">
        <v>0</v>
      </c>
      <c r="I22" s="333"/>
    </row>
    <row r="23" spans="1:9" s="362" customFormat="1" ht="14.1" customHeight="1">
      <c r="A23" s="361" t="s">
        <v>987</v>
      </c>
      <c r="B23" s="333">
        <f t="shared" si="2"/>
        <v>636000</v>
      </c>
      <c r="C23" s="333">
        <f t="shared" si="2"/>
        <v>0</v>
      </c>
      <c r="D23" s="332">
        <v>0</v>
      </c>
      <c r="E23" s="333"/>
      <c r="F23" s="332">
        <f>53000*12</f>
        <v>636000</v>
      </c>
      <c r="G23" s="333"/>
      <c r="H23" s="332">
        <v>0</v>
      </c>
      <c r="I23" s="333"/>
    </row>
    <row r="24" spans="1:9" s="362" customFormat="1" ht="14.1" customHeight="1">
      <c r="A24" s="361" t="s">
        <v>988</v>
      </c>
      <c r="B24" s="333">
        <f t="shared" si="2"/>
        <v>280800</v>
      </c>
      <c r="C24" s="333">
        <f t="shared" si="2"/>
        <v>0</v>
      </c>
      <c r="D24" s="332">
        <v>0</v>
      </c>
      <c r="E24" s="333"/>
      <c r="F24" s="332">
        <f>23400*12</f>
        <v>280800</v>
      </c>
      <c r="G24" s="333"/>
      <c r="H24" s="332">
        <v>0</v>
      </c>
      <c r="I24" s="333"/>
    </row>
    <row r="25" spans="1:9" s="362" customFormat="1" ht="14.1" customHeight="1">
      <c r="A25" s="361" t="s">
        <v>989</v>
      </c>
      <c r="B25" s="333">
        <f t="shared" si="2"/>
        <v>474000</v>
      </c>
      <c r="C25" s="333">
        <f t="shared" si="2"/>
        <v>0</v>
      </c>
      <c r="D25" s="332">
        <v>0</v>
      </c>
      <c r="E25" s="333"/>
      <c r="F25" s="332">
        <f>39500*12</f>
        <v>474000</v>
      </c>
      <c r="G25" s="333"/>
      <c r="H25" s="332">
        <v>0</v>
      </c>
      <c r="I25" s="333"/>
    </row>
    <row r="26" spans="1:9" s="362" customFormat="1" ht="14.1" customHeight="1">
      <c r="A26" s="361" t="s">
        <v>990</v>
      </c>
      <c r="B26" s="333">
        <f t="shared" si="2"/>
        <v>261600</v>
      </c>
      <c r="C26" s="333">
        <f t="shared" si="2"/>
        <v>0</v>
      </c>
      <c r="D26" s="332">
        <v>0</v>
      </c>
      <c r="E26" s="333"/>
      <c r="F26" s="332">
        <f>21800*12</f>
        <v>261600</v>
      </c>
      <c r="G26" s="333"/>
      <c r="H26" s="332">
        <v>0</v>
      </c>
      <c r="I26" s="333"/>
    </row>
    <row r="27" spans="1:9" s="362" customFormat="1" ht="14.1" customHeight="1">
      <c r="A27" s="361" t="s">
        <v>991</v>
      </c>
      <c r="B27" s="333">
        <f t="shared" si="2"/>
        <v>344400</v>
      </c>
      <c r="C27" s="333">
        <f t="shared" si="2"/>
        <v>0</v>
      </c>
      <c r="D27" s="332">
        <v>0</v>
      </c>
      <c r="E27" s="333"/>
      <c r="F27" s="332">
        <f>28700*12</f>
        <v>344400</v>
      </c>
      <c r="G27" s="333"/>
      <c r="H27" s="332">
        <v>0</v>
      </c>
      <c r="I27" s="333"/>
    </row>
    <row r="28" spans="1:9" s="362" customFormat="1" ht="14.1" customHeight="1">
      <c r="A28" s="361" t="s">
        <v>992</v>
      </c>
      <c r="B28" s="333">
        <f t="shared" si="2"/>
        <v>91200</v>
      </c>
      <c r="C28" s="333">
        <f t="shared" si="2"/>
        <v>0</v>
      </c>
      <c r="D28" s="332">
        <v>0</v>
      </c>
      <c r="E28" s="333"/>
      <c r="F28" s="332">
        <f>7600*12</f>
        <v>91200</v>
      </c>
      <c r="G28" s="333"/>
      <c r="H28" s="332">
        <v>0</v>
      </c>
      <c r="I28" s="333"/>
    </row>
    <row r="29" spans="1:9" s="362" customFormat="1" ht="14.1" customHeight="1">
      <c r="A29" s="361" t="s">
        <v>993</v>
      </c>
      <c r="B29" s="333">
        <f t="shared" si="2"/>
        <v>320400</v>
      </c>
      <c r="C29" s="333">
        <f t="shared" si="2"/>
        <v>0</v>
      </c>
      <c r="D29" s="332">
        <v>0</v>
      </c>
      <c r="E29" s="333"/>
      <c r="F29" s="332">
        <f>26700*12</f>
        <v>320400</v>
      </c>
      <c r="G29" s="333"/>
      <c r="H29" s="332">
        <v>0</v>
      </c>
      <c r="I29" s="333"/>
    </row>
    <row r="30" spans="1:9" s="360" customFormat="1" ht="14.1" customHeight="1">
      <c r="A30" s="358" t="s">
        <v>556</v>
      </c>
      <c r="B30" s="326">
        <f t="shared" si="2"/>
        <v>0</v>
      </c>
      <c r="C30" s="326">
        <f t="shared" si="2"/>
        <v>0</v>
      </c>
      <c r="D30" s="359">
        <v>0</v>
      </c>
      <c r="E30" s="326">
        <v>0</v>
      </c>
      <c r="F30" s="359">
        <v>0</v>
      </c>
      <c r="G30" s="326">
        <v>0</v>
      </c>
      <c r="H30" s="359">
        <v>0</v>
      </c>
      <c r="I30" s="326">
        <v>0</v>
      </c>
    </row>
    <row r="31" spans="1:9" s="360" customFormat="1" ht="14.1" customHeight="1">
      <c r="A31" s="358" t="s">
        <v>558</v>
      </c>
      <c r="B31" s="326">
        <f t="shared" ref="B31:I31" si="3">SUM(B32:B35)</f>
        <v>462500</v>
      </c>
      <c r="C31" s="326">
        <f t="shared" si="3"/>
        <v>0</v>
      </c>
      <c r="D31" s="359">
        <f t="shared" si="3"/>
        <v>0</v>
      </c>
      <c r="E31" s="326">
        <f t="shared" si="3"/>
        <v>0</v>
      </c>
      <c r="F31" s="359">
        <f t="shared" si="3"/>
        <v>462500</v>
      </c>
      <c r="G31" s="326">
        <f t="shared" si="3"/>
        <v>0</v>
      </c>
      <c r="H31" s="359">
        <f t="shared" si="3"/>
        <v>0</v>
      </c>
      <c r="I31" s="326">
        <f t="shared" si="3"/>
        <v>0</v>
      </c>
    </row>
    <row r="32" spans="1:9" s="362" customFormat="1" ht="14.1" customHeight="1">
      <c r="A32" s="361" t="s">
        <v>994</v>
      </c>
      <c r="B32" s="333">
        <f t="shared" ref="B32:C35" si="4">D32+F32+H32</f>
        <v>120000</v>
      </c>
      <c r="C32" s="333">
        <f t="shared" si="4"/>
        <v>0</v>
      </c>
      <c r="D32" s="332">
        <v>0</v>
      </c>
      <c r="E32" s="333"/>
      <c r="F32" s="332">
        <f>12*10000</f>
        <v>120000</v>
      </c>
      <c r="G32" s="333"/>
      <c r="H32" s="332">
        <v>0</v>
      </c>
      <c r="I32" s="333"/>
    </row>
    <row r="33" spans="1:9" s="362" customFormat="1" ht="14.1" customHeight="1">
      <c r="A33" s="361" t="s">
        <v>995</v>
      </c>
      <c r="B33" s="333">
        <f t="shared" si="4"/>
        <v>102500</v>
      </c>
      <c r="C33" s="333">
        <f t="shared" si="4"/>
        <v>0</v>
      </c>
      <c r="D33" s="332">
        <v>0</v>
      </c>
      <c r="E33" s="333"/>
      <c r="F33" s="332">
        <f>7*7500+5*10000</f>
        <v>102500</v>
      </c>
      <c r="G33" s="333"/>
      <c r="H33" s="332">
        <v>0</v>
      </c>
      <c r="I33" s="333"/>
    </row>
    <row r="34" spans="1:9" s="362" customFormat="1" ht="14.1" customHeight="1">
      <c r="A34" s="361" t="s">
        <v>996</v>
      </c>
      <c r="B34" s="333">
        <f t="shared" si="4"/>
        <v>120000</v>
      </c>
      <c r="C34" s="333">
        <f t="shared" si="4"/>
        <v>0</v>
      </c>
      <c r="D34" s="332">
        <v>0</v>
      </c>
      <c r="E34" s="333"/>
      <c r="F34" s="332">
        <f>12*10000</f>
        <v>120000</v>
      </c>
      <c r="G34" s="333"/>
      <c r="H34" s="332">
        <v>0</v>
      </c>
      <c r="I34" s="333"/>
    </row>
    <row r="35" spans="1:9" s="362" customFormat="1" ht="14.1" customHeight="1">
      <c r="A35" s="361" t="s">
        <v>997</v>
      </c>
      <c r="B35" s="333">
        <f t="shared" si="4"/>
        <v>120000</v>
      </c>
      <c r="C35" s="333">
        <f t="shared" si="4"/>
        <v>0</v>
      </c>
      <c r="D35" s="332">
        <v>0</v>
      </c>
      <c r="E35" s="333"/>
      <c r="F35" s="332">
        <f>12*10000</f>
        <v>120000</v>
      </c>
      <c r="G35" s="333"/>
      <c r="H35" s="332">
        <v>0</v>
      </c>
      <c r="I35" s="333"/>
    </row>
    <row r="36" spans="1:9" s="360" customFormat="1" ht="14.1" customHeight="1">
      <c r="A36" s="358" t="s">
        <v>560</v>
      </c>
      <c r="B36" s="326">
        <f t="shared" ref="B36:I36" si="5">SUM(B37:B38)</f>
        <v>960000</v>
      </c>
      <c r="C36" s="326">
        <f t="shared" si="5"/>
        <v>0</v>
      </c>
      <c r="D36" s="359">
        <f t="shared" si="5"/>
        <v>0</v>
      </c>
      <c r="E36" s="326">
        <f t="shared" si="5"/>
        <v>0</v>
      </c>
      <c r="F36" s="359">
        <f t="shared" si="5"/>
        <v>960000</v>
      </c>
      <c r="G36" s="326">
        <f t="shared" si="5"/>
        <v>0</v>
      </c>
      <c r="H36" s="359">
        <f t="shared" si="5"/>
        <v>0</v>
      </c>
      <c r="I36" s="326">
        <f t="shared" si="5"/>
        <v>0</v>
      </c>
    </row>
    <row r="37" spans="1:9" s="362" customFormat="1" ht="14.1" customHeight="1">
      <c r="A37" s="361" t="s">
        <v>998</v>
      </c>
      <c r="B37" s="333">
        <f>D37+F37+H37</f>
        <v>540000</v>
      </c>
      <c r="C37" s="333">
        <f>E37+G37+I37</f>
        <v>0</v>
      </c>
      <c r="D37" s="332">
        <v>0</v>
      </c>
      <c r="E37" s="333"/>
      <c r="F37" s="332">
        <f>12*45000</f>
        <v>540000</v>
      </c>
      <c r="G37" s="333"/>
      <c r="H37" s="332">
        <v>0</v>
      </c>
      <c r="I37" s="333"/>
    </row>
    <row r="38" spans="1:9" s="362" customFormat="1" ht="14.1" customHeight="1">
      <c r="A38" s="361" t="s">
        <v>999</v>
      </c>
      <c r="B38" s="333">
        <f>D38+F38+H38</f>
        <v>420000</v>
      </c>
      <c r="C38" s="333">
        <f>E38+G38+I38</f>
        <v>0</v>
      </c>
      <c r="D38" s="332">
        <v>0</v>
      </c>
      <c r="E38" s="333"/>
      <c r="F38" s="332">
        <f>12*35000</f>
        <v>420000</v>
      </c>
      <c r="G38" s="333"/>
      <c r="H38" s="332">
        <v>0</v>
      </c>
      <c r="I38" s="333"/>
    </row>
    <row r="39" spans="1:9" s="360" customFormat="1" ht="14.1" customHeight="1">
      <c r="A39" s="358" t="s">
        <v>900</v>
      </c>
      <c r="B39" s="326">
        <f t="shared" ref="B39:I39" si="6">SUM(B40)</f>
        <v>180000</v>
      </c>
      <c r="C39" s="326">
        <f t="shared" si="6"/>
        <v>0</v>
      </c>
      <c r="D39" s="359">
        <f t="shared" si="6"/>
        <v>0</v>
      </c>
      <c r="E39" s="326">
        <f t="shared" si="6"/>
        <v>0</v>
      </c>
      <c r="F39" s="359">
        <f t="shared" si="6"/>
        <v>180000</v>
      </c>
      <c r="G39" s="326">
        <f t="shared" si="6"/>
        <v>0</v>
      </c>
      <c r="H39" s="359">
        <f t="shared" si="6"/>
        <v>0</v>
      </c>
      <c r="I39" s="326">
        <f t="shared" si="6"/>
        <v>0</v>
      </c>
    </row>
    <row r="40" spans="1:9" s="362" customFormat="1" ht="14.1" customHeight="1">
      <c r="A40" s="361" t="s">
        <v>1000</v>
      </c>
      <c r="B40" s="333">
        <f t="shared" ref="B40:C43" si="7">D40+F40+H40</f>
        <v>180000</v>
      </c>
      <c r="C40" s="333">
        <f t="shared" si="7"/>
        <v>0</v>
      </c>
      <c r="D40" s="332">
        <v>0</v>
      </c>
      <c r="E40" s="333"/>
      <c r="F40" s="332">
        <f>15000*12</f>
        <v>180000</v>
      </c>
      <c r="G40" s="333"/>
      <c r="H40" s="332">
        <v>0</v>
      </c>
      <c r="I40" s="333"/>
    </row>
    <row r="41" spans="1:9" s="360" customFormat="1" ht="14.1" customHeight="1">
      <c r="A41" s="358" t="s">
        <v>564</v>
      </c>
      <c r="B41" s="326">
        <f t="shared" si="7"/>
        <v>0</v>
      </c>
      <c r="C41" s="326">
        <f t="shared" si="7"/>
        <v>0</v>
      </c>
      <c r="D41" s="359">
        <v>0</v>
      </c>
      <c r="E41" s="326"/>
      <c r="F41" s="359">
        <v>0</v>
      </c>
      <c r="G41" s="326"/>
      <c r="H41" s="359">
        <v>0</v>
      </c>
      <c r="I41" s="326"/>
    </row>
    <row r="42" spans="1:9" ht="14.1" customHeight="1">
      <c r="A42" s="323" t="s">
        <v>568</v>
      </c>
      <c r="B42" s="326">
        <f t="shared" si="7"/>
        <v>0</v>
      </c>
      <c r="C42" s="326">
        <f t="shared" si="7"/>
        <v>0</v>
      </c>
      <c r="D42" s="326">
        <v>0</v>
      </c>
      <c r="E42" s="326"/>
      <c r="F42" s="326">
        <v>0</v>
      </c>
      <c r="G42" s="326"/>
      <c r="H42" s="326">
        <v>0</v>
      </c>
      <c r="I42" s="326"/>
    </row>
    <row r="43" spans="1:9" ht="14.1" customHeight="1">
      <c r="A43" s="323" t="s">
        <v>570</v>
      </c>
      <c r="B43" s="326">
        <f t="shared" si="7"/>
        <v>0</v>
      </c>
      <c r="C43" s="326">
        <f t="shared" si="7"/>
        <v>0</v>
      </c>
      <c r="D43" s="326">
        <v>0</v>
      </c>
      <c r="E43" s="326"/>
      <c r="F43" s="326">
        <v>0</v>
      </c>
      <c r="G43" s="326"/>
      <c r="H43" s="326">
        <v>0</v>
      </c>
      <c r="I43" s="326"/>
    </row>
    <row r="44" spans="1:9" ht="14.1" customHeight="1">
      <c r="A44" s="323" t="s">
        <v>576</v>
      </c>
      <c r="B44" s="326">
        <f t="shared" ref="B44:I44" si="8">SUM(B45:B46)</f>
        <v>350000</v>
      </c>
      <c r="C44" s="326">
        <f t="shared" si="8"/>
        <v>0</v>
      </c>
      <c r="D44" s="326">
        <f t="shared" si="8"/>
        <v>0</v>
      </c>
      <c r="E44" s="326">
        <f t="shared" si="8"/>
        <v>0</v>
      </c>
      <c r="F44" s="326">
        <f t="shared" si="8"/>
        <v>350000</v>
      </c>
      <c r="G44" s="326">
        <f t="shared" si="8"/>
        <v>0</v>
      </c>
      <c r="H44" s="326">
        <f t="shared" si="8"/>
        <v>0</v>
      </c>
      <c r="I44" s="326">
        <f t="shared" si="8"/>
        <v>0</v>
      </c>
    </row>
    <row r="45" spans="1:9" ht="14.1" customHeight="1">
      <c r="A45" s="349" t="s">
        <v>572</v>
      </c>
      <c r="B45" s="351">
        <f t="shared" ref="B45:C48" si="9">D45+F45+H45</f>
        <v>0</v>
      </c>
      <c r="C45" s="351">
        <f t="shared" si="9"/>
        <v>0</v>
      </c>
      <c r="D45" s="350">
        <v>0</v>
      </c>
      <c r="E45" s="351"/>
      <c r="F45" s="350">
        <v>0</v>
      </c>
      <c r="G45" s="351"/>
      <c r="H45" s="350">
        <v>0</v>
      </c>
      <c r="I45" s="351"/>
    </row>
    <row r="46" spans="1:9" ht="14.1" customHeight="1">
      <c r="A46" s="349" t="s">
        <v>574</v>
      </c>
      <c r="B46" s="351">
        <f t="shared" si="9"/>
        <v>350000</v>
      </c>
      <c r="C46" s="351">
        <f t="shared" si="9"/>
        <v>0</v>
      </c>
      <c r="D46" s="350">
        <v>0</v>
      </c>
      <c r="E46" s="351"/>
      <c r="F46" s="350">
        <f>350000</f>
        <v>350000</v>
      </c>
      <c r="G46" s="351"/>
      <c r="H46" s="350">
        <v>0</v>
      </c>
      <c r="I46" s="351"/>
    </row>
    <row r="47" spans="1:9" ht="14.1" customHeight="1">
      <c r="A47" s="323" t="s">
        <v>578</v>
      </c>
      <c r="B47" s="326">
        <f t="shared" si="9"/>
        <v>0</v>
      </c>
      <c r="C47" s="326">
        <f t="shared" si="9"/>
        <v>0</v>
      </c>
      <c r="D47" s="326">
        <v>0</v>
      </c>
      <c r="E47" s="326"/>
      <c r="F47" s="326">
        <v>0</v>
      </c>
      <c r="G47" s="326"/>
      <c r="H47" s="326">
        <v>0</v>
      </c>
      <c r="I47" s="326"/>
    </row>
    <row r="48" spans="1:9" ht="14.1" customHeight="1">
      <c r="A48" s="323" t="s">
        <v>580</v>
      </c>
      <c r="B48" s="326">
        <f t="shared" si="9"/>
        <v>0</v>
      </c>
      <c r="C48" s="326">
        <f t="shared" si="9"/>
        <v>0</v>
      </c>
      <c r="D48" s="326">
        <v>0</v>
      </c>
      <c r="E48" s="326"/>
      <c r="F48" s="326">
        <v>0</v>
      </c>
      <c r="G48" s="326"/>
      <c r="H48" s="326">
        <v>0</v>
      </c>
      <c r="I48" s="326"/>
    </row>
    <row r="49" spans="1:9" ht="14.1" customHeight="1">
      <c r="A49" s="323" t="s">
        <v>597</v>
      </c>
      <c r="B49" s="326">
        <f t="shared" ref="B49:I49" si="10">SUM(B50:B56)</f>
        <v>1186000</v>
      </c>
      <c r="C49" s="326">
        <f t="shared" si="10"/>
        <v>0</v>
      </c>
      <c r="D49" s="326">
        <f t="shared" si="10"/>
        <v>0</v>
      </c>
      <c r="E49" s="326">
        <f t="shared" si="10"/>
        <v>0</v>
      </c>
      <c r="F49" s="326">
        <f t="shared" si="10"/>
        <v>1186000</v>
      </c>
      <c r="G49" s="326">
        <f t="shared" si="10"/>
        <v>0</v>
      </c>
      <c r="H49" s="326">
        <f t="shared" si="10"/>
        <v>0</v>
      </c>
      <c r="I49" s="326">
        <f t="shared" si="10"/>
        <v>0</v>
      </c>
    </row>
    <row r="50" spans="1:9" ht="14.1" customHeight="1">
      <c r="A50" s="349" t="s">
        <v>583</v>
      </c>
      <c r="B50" s="351">
        <f t="shared" ref="B50:C57" si="11">D50+F50+H50</f>
        <v>0</v>
      </c>
      <c r="C50" s="351">
        <f t="shared" si="11"/>
        <v>0</v>
      </c>
      <c r="D50" s="350">
        <v>0</v>
      </c>
      <c r="E50" s="351"/>
      <c r="F50" s="350">
        <v>0</v>
      </c>
      <c r="G50" s="351"/>
      <c r="H50" s="350">
        <v>0</v>
      </c>
      <c r="I50" s="351"/>
    </row>
    <row r="51" spans="1:9" ht="14.1" customHeight="1">
      <c r="A51" s="349" t="s">
        <v>585</v>
      </c>
      <c r="B51" s="351">
        <f t="shared" si="11"/>
        <v>0</v>
      </c>
      <c r="C51" s="351">
        <f t="shared" si="11"/>
        <v>0</v>
      </c>
      <c r="D51" s="350">
        <v>0</v>
      </c>
      <c r="E51" s="351"/>
      <c r="F51" s="350">
        <v>0</v>
      </c>
      <c r="G51" s="351"/>
      <c r="H51" s="350">
        <v>0</v>
      </c>
      <c r="I51" s="351"/>
    </row>
    <row r="52" spans="1:9" ht="14.1" customHeight="1">
      <c r="A52" s="349" t="s">
        <v>587</v>
      </c>
      <c r="B52" s="351">
        <f t="shared" si="11"/>
        <v>1186000</v>
      </c>
      <c r="C52" s="351">
        <f t="shared" si="11"/>
        <v>0</v>
      </c>
      <c r="D52" s="350">
        <v>0</v>
      </c>
      <c r="E52" s="351"/>
      <c r="F52" s="350">
        <f>4000*12+6000*7+8000*11*12+8000*5</f>
        <v>1186000</v>
      </c>
      <c r="G52" s="351"/>
      <c r="H52" s="350">
        <v>0</v>
      </c>
      <c r="I52" s="351"/>
    </row>
    <row r="53" spans="1:9" ht="14.1" customHeight="1">
      <c r="A53" s="349" t="s">
        <v>589</v>
      </c>
      <c r="B53" s="351">
        <f t="shared" si="11"/>
        <v>0</v>
      </c>
      <c r="C53" s="351">
        <f t="shared" si="11"/>
        <v>0</v>
      </c>
      <c r="D53" s="350">
        <v>0</v>
      </c>
      <c r="E53" s="351"/>
      <c r="F53" s="350">
        <v>0</v>
      </c>
      <c r="G53" s="351"/>
      <c r="H53" s="350">
        <v>0</v>
      </c>
      <c r="I53" s="351"/>
    </row>
    <row r="54" spans="1:9" ht="14.1" customHeight="1">
      <c r="A54" s="349" t="s">
        <v>880</v>
      </c>
      <c r="B54" s="351">
        <f t="shared" si="11"/>
        <v>0</v>
      </c>
      <c r="C54" s="351">
        <f t="shared" si="11"/>
        <v>0</v>
      </c>
      <c r="D54" s="350">
        <v>0</v>
      </c>
      <c r="E54" s="351"/>
      <c r="F54" s="350">
        <v>0</v>
      </c>
      <c r="G54" s="351"/>
      <c r="H54" s="350">
        <v>0</v>
      </c>
      <c r="I54" s="351"/>
    </row>
    <row r="55" spans="1:9" ht="14.1" customHeight="1">
      <c r="A55" s="349" t="s">
        <v>901</v>
      </c>
      <c r="B55" s="351">
        <f t="shared" si="11"/>
        <v>0</v>
      </c>
      <c r="C55" s="351">
        <f t="shared" si="11"/>
        <v>0</v>
      </c>
      <c r="D55" s="350">
        <v>0</v>
      </c>
      <c r="E55" s="351"/>
      <c r="F55" s="350">
        <v>0</v>
      </c>
      <c r="G55" s="351"/>
      <c r="H55" s="350">
        <v>0</v>
      </c>
      <c r="I55" s="351"/>
    </row>
    <row r="56" spans="1:9" ht="14.1" customHeight="1">
      <c r="A56" s="349" t="s">
        <v>595</v>
      </c>
      <c r="B56" s="351">
        <f t="shared" si="11"/>
        <v>0</v>
      </c>
      <c r="C56" s="351">
        <f t="shared" si="11"/>
        <v>0</v>
      </c>
      <c r="D56" s="350">
        <v>0</v>
      </c>
      <c r="E56" s="351"/>
      <c r="F56" s="350">
        <v>0</v>
      </c>
      <c r="G56" s="351"/>
      <c r="H56" s="350">
        <v>0</v>
      </c>
      <c r="I56" s="351"/>
    </row>
    <row r="57" spans="1:9" ht="14.1" customHeight="1">
      <c r="A57" s="323" t="s">
        <v>599</v>
      </c>
      <c r="B57" s="326">
        <f t="shared" si="11"/>
        <v>0</v>
      </c>
      <c r="C57" s="326">
        <f t="shared" si="11"/>
        <v>0</v>
      </c>
      <c r="D57" s="326">
        <v>0</v>
      </c>
      <c r="E57" s="326"/>
      <c r="F57" s="326">
        <v>0</v>
      </c>
      <c r="G57" s="326"/>
      <c r="H57" s="326">
        <v>0</v>
      </c>
      <c r="I57" s="326"/>
    </row>
    <row r="58" spans="1:9" ht="14.1" customHeight="1">
      <c r="A58" s="323" t="s">
        <v>601</v>
      </c>
      <c r="B58" s="326">
        <f t="shared" ref="B58:I58" si="12">SUM(B59:B63)</f>
        <v>602640</v>
      </c>
      <c r="C58" s="326">
        <f t="shared" si="12"/>
        <v>0</v>
      </c>
      <c r="D58" s="326">
        <f t="shared" si="12"/>
        <v>0</v>
      </c>
      <c r="E58" s="326">
        <f t="shared" si="12"/>
        <v>0</v>
      </c>
      <c r="F58" s="326">
        <f t="shared" si="12"/>
        <v>602640</v>
      </c>
      <c r="G58" s="326">
        <f t="shared" si="12"/>
        <v>0</v>
      </c>
      <c r="H58" s="326">
        <f t="shared" si="12"/>
        <v>0</v>
      </c>
      <c r="I58" s="326">
        <f t="shared" si="12"/>
        <v>0</v>
      </c>
    </row>
    <row r="59" spans="1:9" s="365" customFormat="1" ht="14.1" customHeight="1">
      <c r="A59" s="363" t="s">
        <v>1001</v>
      </c>
      <c r="B59" s="333">
        <f t="shared" ref="B59:C63" si="13">D59+F59+H59</f>
        <v>114960</v>
      </c>
      <c r="C59" s="333">
        <f t="shared" si="13"/>
        <v>0</v>
      </c>
      <c r="D59" s="364">
        <v>0</v>
      </c>
      <c r="E59" s="333"/>
      <c r="F59" s="364">
        <f>9580*12</f>
        <v>114960</v>
      </c>
      <c r="G59" s="333"/>
      <c r="H59" s="364">
        <v>0</v>
      </c>
      <c r="I59" s="333"/>
    </row>
    <row r="60" spans="1:9" s="365" customFormat="1" ht="14.1" customHeight="1">
      <c r="A60" s="363" t="s">
        <v>1002</v>
      </c>
      <c r="B60" s="333">
        <f t="shared" si="13"/>
        <v>114960</v>
      </c>
      <c r="C60" s="333">
        <f t="shared" si="13"/>
        <v>0</v>
      </c>
      <c r="D60" s="364">
        <v>0</v>
      </c>
      <c r="E60" s="333"/>
      <c r="F60" s="364">
        <f>9580*12</f>
        <v>114960</v>
      </c>
      <c r="G60" s="333"/>
      <c r="H60" s="364">
        <v>0</v>
      </c>
      <c r="I60" s="333"/>
    </row>
    <row r="61" spans="1:9" s="365" customFormat="1" ht="14.1" customHeight="1">
      <c r="A61" s="363" t="s">
        <v>1003</v>
      </c>
      <c r="B61" s="333">
        <f t="shared" si="13"/>
        <v>114960</v>
      </c>
      <c r="C61" s="333">
        <f t="shared" si="13"/>
        <v>0</v>
      </c>
      <c r="D61" s="364">
        <v>0</v>
      </c>
      <c r="E61" s="333"/>
      <c r="F61" s="364">
        <f>9580*12</f>
        <v>114960</v>
      </c>
      <c r="G61" s="333"/>
      <c r="H61" s="364">
        <v>0</v>
      </c>
      <c r="I61" s="333"/>
    </row>
    <row r="62" spans="1:9" s="365" customFormat="1" ht="14.1" customHeight="1">
      <c r="A62" s="363" t="s">
        <v>1004</v>
      </c>
      <c r="B62" s="333">
        <f t="shared" si="13"/>
        <v>114960</v>
      </c>
      <c r="C62" s="333">
        <f t="shared" si="13"/>
        <v>0</v>
      </c>
      <c r="D62" s="364">
        <v>0</v>
      </c>
      <c r="E62" s="333"/>
      <c r="F62" s="364">
        <f>9580*12</f>
        <v>114960</v>
      </c>
      <c r="G62" s="333"/>
      <c r="H62" s="364">
        <v>0</v>
      </c>
      <c r="I62" s="333"/>
    </row>
    <row r="63" spans="1:9" s="365" customFormat="1" ht="14.1" customHeight="1">
      <c r="A63" s="363" t="s">
        <v>1005</v>
      </c>
      <c r="B63" s="333">
        <f t="shared" si="13"/>
        <v>142800</v>
      </c>
      <c r="C63" s="333">
        <f t="shared" si="13"/>
        <v>0</v>
      </c>
      <c r="D63" s="364">
        <v>0</v>
      </c>
      <c r="E63" s="333"/>
      <c r="F63" s="364">
        <f>11900*12</f>
        <v>142800</v>
      </c>
      <c r="G63" s="333"/>
      <c r="H63" s="364">
        <v>0</v>
      </c>
      <c r="I63" s="333"/>
    </row>
    <row r="64" spans="1:9" ht="14.1" customHeight="1">
      <c r="A64" s="323" t="s">
        <v>604</v>
      </c>
      <c r="B64" s="326">
        <f t="shared" ref="B64:I64" si="14">SUM(B65)</f>
        <v>0</v>
      </c>
      <c r="C64" s="326">
        <f t="shared" si="14"/>
        <v>0</v>
      </c>
      <c r="D64" s="326">
        <f t="shared" si="14"/>
        <v>0</v>
      </c>
      <c r="E64" s="326">
        <f t="shared" si="14"/>
        <v>0</v>
      </c>
      <c r="F64" s="326">
        <f t="shared" si="14"/>
        <v>0</v>
      </c>
      <c r="G64" s="326">
        <f t="shared" si="14"/>
        <v>0</v>
      </c>
      <c r="H64" s="326">
        <f t="shared" si="14"/>
        <v>0</v>
      </c>
      <c r="I64" s="326">
        <f t="shared" si="14"/>
        <v>0</v>
      </c>
    </row>
    <row r="65" spans="1:9" s="365" customFormat="1" ht="14.1" customHeight="1">
      <c r="A65" s="363" t="s">
        <v>1006</v>
      </c>
      <c r="B65" s="333">
        <f>D65+F65+H65</f>
        <v>0</v>
      </c>
      <c r="C65" s="333">
        <f>E65+G65+I65</f>
        <v>0</v>
      </c>
      <c r="D65" s="364">
        <v>0</v>
      </c>
      <c r="E65" s="333"/>
      <c r="F65" s="364">
        <v>0</v>
      </c>
      <c r="G65" s="333"/>
      <c r="H65" s="364">
        <v>0</v>
      </c>
      <c r="I65" s="333"/>
    </row>
    <row r="66" spans="1:9" ht="14.1" customHeight="1">
      <c r="A66" s="323" t="s">
        <v>610</v>
      </c>
      <c r="B66" s="326">
        <f t="shared" ref="B66:I66" si="15">SUM(B67:B68)</f>
        <v>0</v>
      </c>
      <c r="C66" s="326">
        <f t="shared" si="15"/>
        <v>0</v>
      </c>
      <c r="D66" s="326">
        <f t="shared" si="15"/>
        <v>0</v>
      </c>
      <c r="E66" s="326">
        <f t="shared" si="15"/>
        <v>0</v>
      </c>
      <c r="F66" s="326">
        <f t="shared" si="15"/>
        <v>0</v>
      </c>
      <c r="G66" s="326">
        <f t="shared" si="15"/>
        <v>0</v>
      </c>
      <c r="H66" s="326">
        <f t="shared" si="15"/>
        <v>0</v>
      </c>
      <c r="I66" s="326">
        <f t="shared" si="15"/>
        <v>0</v>
      </c>
    </row>
    <row r="67" spans="1:9" ht="14.1" customHeight="1">
      <c r="A67" s="349" t="s">
        <v>606</v>
      </c>
      <c r="B67" s="351">
        <f t="shared" ref="B67:C69" si="16">D67+F67+H67</f>
        <v>0</v>
      </c>
      <c r="C67" s="351">
        <f t="shared" si="16"/>
        <v>0</v>
      </c>
      <c r="D67" s="350">
        <v>0</v>
      </c>
      <c r="E67" s="351"/>
      <c r="F67" s="350">
        <v>0</v>
      </c>
      <c r="G67" s="351"/>
      <c r="H67" s="350">
        <v>0</v>
      </c>
      <c r="I67" s="351"/>
    </row>
    <row r="68" spans="1:9" ht="14.1" customHeight="1">
      <c r="A68" s="349" t="s">
        <v>608</v>
      </c>
      <c r="B68" s="351">
        <f t="shared" si="16"/>
        <v>0</v>
      </c>
      <c r="C68" s="351">
        <f t="shared" si="16"/>
        <v>0</v>
      </c>
      <c r="D68" s="350">
        <v>0</v>
      </c>
      <c r="E68" s="351"/>
      <c r="F68" s="350">
        <v>0</v>
      </c>
      <c r="G68" s="351"/>
      <c r="H68" s="350">
        <v>0</v>
      </c>
      <c r="I68" s="351"/>
    </row>
    <row r="69" spans="1:9" ht="14.1" customHeight="1">
      <c r="A69" s="323" t="s">
        <v>612</v>
      </c>
      <c r="B69" s="326">
        <f t="shared" si="16"/>
        <v>0</v>
      </c>
      <c r="C69" s="326">
        <f t="shared" si="16"/>
        <v>0</v>
      </c>
      <c r="D69" s="326">
        <v>0</v>
      </c>
      <c r="E69" s="326"/>
      <c r="F69" s="326">
        <v>0</v>
      </c>
      <c r="G69" s="326"/>
      <c r="H69" s="326">
        <v>0</v>
      </c>
      <c r="I69" s="326"/>
    </row>
    <row r="70" spans="1:9" ht="14.1" customHeight="1">
      <c r="A70" s="323" t="s">
        <v>902</v>
      </c>
      <c r="B70" s="326">
        <f t="shared" ref="B70:I70" si="17">SUM(B71:B76)</f>
        <v>1944300</v>
      </c>
      <c r="C70" s="326">
        <f t="shared" si="17"/>
        <v>0</v>
      </c>
      <c r="D70" s="326">
        <f t="shared" si="17"/>
        <v>0</v>
      </c>
      <c r="E70" s="326">
        <f t="shared" si="17"/>
        <v>0</v>
      </c>
      <c r="F70" s="326">
        <f t="shared" si="17"/>
        <v>1944300</v>
      </c>
      <c r="G70" s="326">
        <f t="shared" si="17"/>
        <v>0</v>
      </c>
      <c r="H70" s="326">
        <f t="shared" si="17"/>
        <v>0</v>
      </c>
      <c r="I70" s="326">
        <f t="shared" si="17"/>
        <v>0</v>
      </c>
    </row>
    <row r="71" spans="1:9" ht="14.1" customHeight="1">
      <c r="A71" s="349" t="s">
        <v>614</v>
      </c>
      <c r="B71" s="351">
        <f t="shared" ref="B71:C75" si="18">D71+F71+H71</f>
        <v>0</v>
      </c>
      <c r="C71" s="351">
        <f t="shared" si="18"/>
        <v>0</v>
      </c>
      <c r="D71" s="350">
        <v>0</v>
      </c>
      <c r="E71" s="351"/>
      <c r="F71" s="350">
        <v>0</v>
      </c>
      <c r="G71" s="351"/>
      <c r="H71" s="350">
        <v>0</v>
      </c>
      <c r="I71" s="351"/>
    </row>
    <row r="72" spans="1:9" ht="14.1" customHeight="1">
      <c r="A72" s="349" t="s">
        <v>616</v>
      </c>
      <c r="B72" s="351">
        <f t="shared" si="18"/>
        <v>0</v>
      </c>
      <c r="C72" s="351">
        <f t="shared" si="18"/>
        <v>0</v>
      </c>
      <c r="D72" s="350">
        <v>0</v>
      </c>
      <c r="E72" s="351"/>
      <c r="F72" s="350">
        <v>0</v>
      </c>
      <c r="G72" s="351"/>
      <c r="H72" s="350">
        <v>0</v>
      </c>
      <c r="I72" s="351"/>
    </row>
    <row r="73" spans="1:9" ht="14.1" customHeight="1">
      <c r="A73" s="349" t="s">
        <v>618</v>
      </c>
      <c r="B73" s="351">
        <f t="shared" si="18"/>
        <v>0</v>
      </c>
      <c r="C73" s="351">
        <f t="shared" si="18"/>
        <v>0</v>
      </c>
      <c r="D73" s="350">
        <v>0</v>
      </c>
      <c r="E73" s="351"/>
      <c r="F73" s="350">
        <v>0</v>
      </c>
      <c r="G73" s="351"/>
      <c r="H73" s="350">
        <v>0</v>
      </c>
      <c r="I73" s="351"/>
    </row>
    <row r="74" spans="1:9" ht="14.1" customHeight="1">
      <c r="A74" s="349" t="s">
        <v>620</v>
      </c>
      <c r="B74" s="351">
        <f t="shared" si="18"/>
        <v>0</v>
      </c>
      <c r="C74" s="351">
        <f t="shared" si="18"/>
        <v>0</v>
      </c>
      <c r="D74" s="350">
        <v>0</v>
      </c>
      <c r="E74" s="351"/>
      <c r="F74" s="350">
        <v>0</v>
      </c>
      <c r="G74" s="351"/>
      <c r="H74" s="350">
        <v>0</v>
      </c>
      <c r="I74" s="351"/>
    </row>
    <row r="75" spans="1:9" ht="14.1" customHeight="1">
      <c r="A75" s="349" t="s">
        <v>622</v>
      </c>
      <c r="B75" s="351">
        <f t="shared" si="18"/>
        <v>0</v>
      </c>
      <c r="C75" s="351">
        <f t="shared" si="18"/>
        <v>0</v>
      </c>
      <c r="D75" s="350">
        <v>0</v>
      </c>
      <c r="E75" s="351"/>
      <c r="F75" s="350">
        <v>0</v>
      </c>
      <c r="G75" s="351"/>
      <c r="H75" s="350">
        <v>0</v>
      </c>
      <c r="I75" s="351"/>
    </row>
    <row r="76" spans="1:9" ht="14.1" customHeight="1">
      <c r="A76" s="349" t="s">
        <v>624</v>
      </c>
      <c r="B76" s="351">
        <f t="shared" ref="B76:I76" si="19">SUM(B77:B89)</f>
        <v>1944300</v>
      </c>
      <c r="C76" s="351">
        <f t="shared" si="19"/>
        <v>0</v>
      </c>
      <c r="D76" s="350">
        <f t="shared" si="19"/>
        <v>0</v>
      </c>
      <c r="E76" s="351">
        <f t="shared" si="19"/>
        <v>0</v>
      </c>
      <c r="F76" s="350">
        <f t="shared" si="19"/>
        <v>1944300</v>
      </c>
      <c r="G76" s="351">
        <f t="shared" si="19"/>
        <v>0</v>
      </c>
      <c r="H76" s="350">
        <f t="shared" si="19"/>
        <v>0</v>
      </c>
      <c r="I76" s="351">
        <f t="shared" si="19"/>
        <v>0</v>
      </c>
    </row>
    <row r="77" spans="1:9" s="362" customFormat="1" ht="14.1" customHeight="1">
      <c r="A77" s="361" t="s">
        <v>1007</v>
      </c>
      <c r="B77" s="333">
        <f t="shared" ref="B77:C89" si="20">D77+F77+H77</f>
        <v>62400</v>
      </c>
      <c r="C77" s="333">
        <f t="shared" si="20"/>
        <v>0</v>
      </c>
      <c r="D77" s="332">
        <v>0</v>
      </c>
      <c r="E77" s="333"/>
      <c r="F77" s="332">
        <f>5200*12</f>
        <v>62400</v>
      </c>
      <c r="G77" s="333"/>
      <c r="H77" s="332">
        <v>0</v>
      </c>
      <c r="I77" s="333"/>
    </row>
    <row r="78" spans="1:9" s="362" customFormat="1" ht="14.1" customHeight="1">
      <c r="A78" s="361" t="s">
        <v>1008</v>
      </c>
      <c r="B78" s="333">
        <f t="shared" si="20"/>
        <v>48000</v>
      </c>
      <c r="C78" s="333">
        <f t="shared" si="20"/>
        <v>0</v>
      </c>
      <c r="D78" s="332">
        <v>0</v>
      </c>
      <c r="E78" s="333"/>
      <c r="F78" s="332">
        <f>4000*12</f>
        <v>48000</v>
      </c>
      <c r="G78" s="333"/>
      <c r="H78" s="332">
        <v>0</v>
      </c>
      <c r="I78" s="333"/>
    </row>
    <row r="79" spans="1:9" s="362" customFormat="1" ht="14.1" customHeight="1">
      <c r="A79" s="361" t="s">
        <v>1009</v>
      </c>
      <c r="B79" s="333">
        <f t="shared" si="20"/>
        <v>613500</v>
      </c>
      <c r="C79" s="333">
        <f t="shared" si="20"/>
        <v>0</v>
      </c>
      <c r="D79" s="332">
        <v>0</v>
      </c>
      <c r="E79" s="333"/>
      <c r="F79" s="332">
        <f>49500*12+3900*5</f>
        <v>613500</v>
      </c>
      <c r="G79" s="333"/>
      <c r="H79" s="332">
        <v>0</v>
      </c>
      <c r="I79" s="333"/>
    </row>
    <row r="80" spans="1:9" s="362" customFormat="1" ht="14.1" customHeight="1">
      <c r="A80" s="361" t="s">
        <v>1010</v>
      </c>
      <c r="B80" s="333">
        <f t="shared" si="20"/>
        <v>0</v>
      </c>
      <c r="C80" s="333">
        <f t="shared" si="20"/>
        <v>0</v>
      </c>
      <c r="D80" s="332">
        <v>0</v>
      </c>
      <c r="E80" s="333"/>
      <c r="F80" s="332">
        <v>0</v>
      </c>
      <c r="G80" s="333"/>
      <c r="H80" s="332">
        <v>0</v>
      </c>
      <c r="I80" s="333"/>
    </row>
    <row r="81" spans="1:9" s="362" customFormat="1" ht="14.1" customHeight="1">
      <c r="A81" s="361" t="s">
        <v>1011</v>
      </c>
      <c r="B81" s="333">
        <f t="shared" si="20"/>
        <v>540000</v>
      </c>
      <c r="C81" s="333">
        <f t="shared" si="20"/>
        <v>0</v>
      </c>
      <c r="D81" s="332">
        <v>0</v>
      </c>
      <c r="E81" s="333"/>
      <c r="F81" s="332">
        <f>45000*12</f>
        <v>540000</v>
      </c>
      <c r="G81" s="333"/>
      <c r="H81" s="332">
        <v>0</v>
      </c>
      <c r="I81" s="333"/>
    </row>
    <row r="82" spans="1:9" s="362" customFormat="1" ht="14.1" customHeight="1">
      <c r="A82" s="361" t="s">
        <v>1012</v>
      </c>
      <c r="B82" s="333">
        <f t="shared" si="20"/>
        <v>0</v>
      </c>
      <c r="C82" s="333">
        <f t="shared" si="20"/>
        <v>0</v>
      </c>
      <c r="D82" s="332">
        <v>0</v>
      </c>
      <c r="E82" s="333"/>
      <c r="F82" s="332">
        <v>0</v>
      </c>
      <c r="G82" s="333"/>
      <c r="H82" s="332">
        <v>0</v>
      </c>
      <c r="I82" s="333"/>
    </row>
    <row r="83" spans="1:9" s="362" customFormat="1" ht="14.1" customHeight="1">
      <c r="A83" s="361" t="s">
        <v>1013</v>
      </c>
      <c r="B83" s="333">
        <f t="shared" si="20"/>
        <v>308400</v>
      </c>
      <c r="C83" s="333">
        <f t="shared" si="20"/>
        <v>0</v>
      </c>
      <c r="D83" s="332">
        <v>0</v>
      </c>
      <c r="E83" s="333"/>
      <c r="F83" s="332">
        <f>25700*12</f>
        <v>308400</v>
      </c>
      <c r="G83" s="333"/>
      <c r="H83" s="332">
        <v>0</v>
      </c>
      <c r="I83" s="333"/>
    </row>
    <row r="84" spans="1:9" s="362" customFormat="1" ht="14.1" customHeight="1">
      <c r="A84" s="361" t="s">
        <v>1014</v>
      </c>
      <c r="B84" s="333">
        <f t="shared" si="20"/>
        <v>312000</v>
      </c>
      <c r="C84" s="333">
        <f t="shared" si="20"/>
        <v>0</v>
      </c>
      <c r="D84" s="332">
        <v>0</v>
      </c>
      <c r="E84" s="333"/>
      <c r="F84" s="332">
        <f>26000*12</f>
        <v>312000</v>
      </c>
      <c r="G84" s="333"/>
      <c r="H84" s="332">
        <v>0</v>
      </c>
      <c r="I84" s="333"/>
    </row>
    <row r="85" spans="1:9" s="362" customFormat="1" ht="14.1" customHeight="1">
      <c r="A85" s="361" t="s">
        <v>1015</v>
      </c>
      <c r="B85" s="333">
        <f t="shared" si="20"/>
        <v>24000</v>
      </c>
      <c r="C85" s="333">
        <f t="shared" si="20"/>
        <v>0</v>
      </c>
      <c r="D85" s="332">
        <v>0</v>
      </c>
      <c r="E85" s="333"/>
      <c r="F85" s="332">
        <f>2000*12</f>
        <v>24000</v>
      </c>
      <c r="G85" s="333"/>
      <c r="H85" s="332">
        <v>0</v>
      </c>
      <c r="I85" s="333"/>
    </row>
    <row r="86" spans="1:9" s="362" customFormat="1" ht="14.1" customHeight="1">
      <c r="A86" s="361" t="s">
        <v>1016</v>
      </c>
      <c r="B86" s="333">
        <f t="shared" si="20"/>
        <v>12000</v>
      </c>
      <c r="C86" s="333">
        <f t="shared" si="20"/>
        <v>0</v>
      </c>
      <c r="D86" s="332">
        <v>0</v>
      </c>
      <c r="E86" s="333"/>
      <c r="F86" s="332">
        <f>1000*12</f>
        <v>12000</v>
      </c>
      <c r="G86" s="333"/>
      <c r="H86" s="332">
        <v>0</v>
      </c>
      <c r="I86" s="333"/>
    </row>
    <row r="87" spans="1:9" s="362" customFormat="1" ht="14.1" customHeight="1">
      <c r="A87" s="361" t="s">
        <v>1017</v>
      </c>
      <c r="B87" s="333">
        <f t="shared" si="20"/>
        <v>24000</v>
      </c>
      <c r="C87" s="333">
        <f t="shared" si="20"/>
        <v>0</v>
      </c>
      <c r="D87" s="332">
        <v>0</v>
      </c>
      <c r="E87" s="333"/>
      <c r="F87" s="332">
        <f>2000*12</f>
        <v>24000</v>
      </c>
      <c r="G87" s="333"/>
      <c r="H87" s="332">
        <v>0</v>
      </c>
      <c r="I87" s="333"/>
    </row>
    <row r="88" spans="1:9" s="362" customFormat="1" ht="14.1" customHeight="1">
      <c r="A88" s="361" t="s">
        <v>1018</v>
      </c>
      <c r="B88" s="333">
        <f t="shared" si="20"/>
        <v>0</v>
      </c>
      <c r="C88" s="333">
        <f t="shared" si="20"/>
        <v>0</v>
      </c>
      <c r="D88" s="332">
        <v>0</v>
      </c>
      <c r="E88" s="333"/>
      <c r="F88" s="332">
        <v>0</v>
      </c>
      <c r="G88" s="333"/>
      <c r="H88" s="332">
        <v>0</v>
      </c>
      <c r="I88" s="333"/>
    </row>
    <row r="89" spans="1:9" s="362" customFormat="1" ht="14.1" customHeight="1">
      <c r="A89" s="361" t="s">
        <v>1019</v>
      </c>
      <c r="B89" s="333">
        <f t="shared" si="20"/>
        <v>0</v>
      </c>
      <c r="C89" s="333">
        <f t="shared" si="20"/>
        <v>0</v>
      </c>
      <c r="D89" s="332">
        <v>0</v>
      </c>
      <c r="E89" s="333"/>
      <c r="F89" s="332">
        <v>0</v>
      </c>
      <c r="G89" s="333"/>
      <c r="H89" s="332">
        <v>0</v>
      </c>
      <c r="I89" s="333"/>
    </row>
    <row r="90" spans="1:9" ht="14.1" customHeight="1">
      <c r="A90" s="336" t="s">
        <v>628</v>
      </c>
      <c r="B90" s="339">
        <f t="shared" ref="B90:I90" si="21">B6+B42+B43+B44+B47+B48+B49+B57+B58+B64+B66+B69+B70</f>
        <v>29280540</v>
      </c>
      <c r="C90" s="339">
        <f t="shared" si="21"/>
        <v>0</v>
      </c>
      <c r="D90" s="339">
        <f t="shared" si="21"/>
        <v>0</v>
      </c>
      <c r="E90" s="339">
        <f t="shared" si="21"/>
        <v>0</v>
      </c>
      <c r="F90" s="339">
        <f t="shared" si="21"/>
        <v>29280540</v>
      </c>
      <c r="G90" s="339">
        <f t="shared" si="21"/>
        <v>0</v>
      </c>
      <c r="H90" s="339">
        <f t="shared" si="21"/>
        <v>0</v>
      </c>
      <c r="I90" s="339">
        <f t="shared" si="21"/>
        <v>0</v>
      </c>
    </row>
    <row r="91" spans="1:9" ht="14.1" customHeight="1">
      <c r="A91" s="323" t="s">
        <v>634</v>
      </c>
      <c r="B91" s="326">
        <f t="shared" ref="B91:I91" si="22">SUM(B92:B93)</f>
        <v>0</v>
      </c>
      <c r="C91" s="326">
        <f t="shared" si="22"/>
        <v>0</v>
      </c>
      <c r="D91" s="326">
        <f t="shared" si="22"/>
        <v>0</v>
      </c>
      <c r="E91" s="326">
        <f t="shared" si="22"/>
        <v>0</v>
      </c>
      <c r="F91" s="326">
        <f t="shared" si="22"/>
        <v>0</v>
      </c>
      <c r="G91" s="326">
        <f t="shared" si="22"/>
        <v>0</v>
      </c>
      <c r="H91" s="326">
        <f t="shared" si="22"/>
        <v>0</v>
      </c>
      <c r="I91" s="326">
        <f t="shared" si="22"/>
        <v>0</v>
      </c>
    </row>
    <row r="92" spans="1:9" ht="14.1" customHeight="1">
      <c r="A92" s="349" t="s">
        <v>630</v>
      </c>
      <c r="B92" s="351">
        <f>D92+F92+H92</f>
        <v>0</v>
      </c>
      <c r="C92" s="351">
        <f>E92+G92+I92</f>
        <v>0</v>
      </c>
      <c r="D92" s="350">
        <v>0</v>
      </c>
      <c r="E92" s="351"/>
      <c r="F92" s="350">
        <v>0</v>
      </c>
      <c r="G92" s="351"/>
      <c r="H92" s="350">
        <v>0</v>
      </c>
      <c r="I92" s="351"/>
    </row>
    <row r="93" spans="1:9" ht="14.1" customHeight="1">
      <c r="A93" s="349" t="s">
        <v>632</v>
      </c>
      <c r="B93" s="351">
        <f>D93+F93+H93</f>
        <v>0</v>
      </c>
      <c r="C93" s="351">
        <f>E93+G93+I93</f>
        <v>0</v>
      </c>
      <c r="D93" s="350">
        <v>0</v>
      </c>
      <c r="E93" s="351"/>
      <c r="F93" s="350">
        <v>0</v>
      </c>
      <c r="G93" s="351"/>
      <c r="H93" s="350">
        <v>0</v>
      </c>
      <c r="I93" s="351"/>
    </row>
    <row r="94" spans="1:9" ht="14.1" customHeight="1">
      <c r="A94" s="323" t="s">
        <v>903</v>
      </c>
      <c r="B94" s="326">
        <f t="shared" ref="B94:I94" si="23">B95+B102</f>
        <v>1900000</v>
      </c>
      <c r="C94" s="326">
        <f t="shared" si="23"/>
        <v>0</v>
      </c>
      <c r="D94" s="326">
        <f t="shared" si="23"/>
        <v>0</v>
      </c>
      <c r="E94" s="326">
        <f t="shared" si="23"/>
        <v>0</v>
      </c>
      <c r="F94" s="326">
        <f t="shared" si="23"/>
        <v>1900000</v>
      </c>
      <c r="G94" s="326">
        <f t="shared" si="23"/>
        <v>0</v>
      </c>
      <c r="H94" s="326">
        <f t="shared" si="23"/>
        <v>0</v>
      </c>
      <c r="I94" s="326">
        <f t="shared" si="23"/>
        <v>0</v>
      </c>
    </row>
    <row r="95" spans="1:9" ht="14.1" customHeight="1">
      <c r="A95" s="349" t="s">
        <v>636</v>
      </c>
      <c r="B95" s="351">
        <f t="shared" ref="B95:I95" si="24">SUM(B96:B101)</f>
        <v>1900000</v>
      </c>
      <c r="C95" s="351">
        <f t="shared" si="24"/>
        <v>0</v>
      </c>
      <c r="D95" s="350">
        <f t="shared" si="24"/>
        <v>0</v>
      </c>
      <c r="E95" s="351">
        <f t="shared" si="24"/>
        <v>0</v>
      </c>
      <c r="F95" s="350">
        <f t="shared" si="24"/>
        <v>1900000</v>
      </c>
      <c r="G95" s="351">
        <f t="shared" si="24"/>
        <v>0</v>
      </c>
      <c r="H95" s="350">
        <f t="shared" si="24"/>
        <v>0</v>
      </c>
      <c r="I95" s="351">
        <f t="shared" si="24"/>
        <v>0</v>
      </c>
    </row>
    <row r="96" spans="1:9" s="362" customFormat="1" ht="14.1" customHeight="1">
      <c r="A96" s="361" t="s">
        <v>1020</v>
      </c>
      <c r="B96" s="333">
        <f t="shared" ref="B96:C102" si="25">D96+F96+H96</f>
        <v>573000</v>
      </c>
      <c r="C96" s="333">
        <f t="shared" si="25"/>
        <v>0</v>
      </c>
      <c r="D96" s="332">
        <v>0</v>
      </c>
      <c r="E96" s="333"/>
      <c r="F96" s="332">
        <f>273000+300000</f>
        <v>573000</v>
      </c>
      <c r="G96" s="333"/>
      <c r="H96" s="332">
        <v>0</v>
      </c>
      <c r="I96" s="333"/>
    </row>
    <row r="97" spans="1:9" s="362" customFormat="1" ht="14.1" customHeight="1">
      <c r="A97" s="361" t="s">
        <v>1021</v>
      </c>
      <c r="B97" s="333">
        <f t="shared" si="25"/>
        <v>227000</v>
      </c>
      <c r="C97" s="333">
        <f t="shared" si="25"/>
        <v>0</v>
      </c>
      <c r="D97" s="332">
        <v>0</v>
      </c>
      <c r="E97" s="333"/>
      <c r="F97" s="332">
        <f>28375*8</f>
        <v>227000</v>
      </c>
      <c r="G97" s="333"/>
      <c r="H97" s="332">
        <v>0</v>
      </c>
      <c r="I97" s="333"/>
    </row>
    <row r="98" spans="1:9" s="362" customFormat="1" ht="14.1" customHeight="1">
      <c r="A98" s="361" t="s">
        <v>1022</v>
      </c>
      <c r="B98" s="333">
        <f t="shared" si="25"/>
        <v>260000</v>
      </c>
      <c r="C98" s="333">
        <f t="shared" si="25"/>
        <v>0</v>
      </c>
      <c r="D98" s="332">
        <v>0</v>
      </c>
      <c r="E98" s="333"/>
      <c r="F98" s="332">
        <f>260000</f>
        <v>260000</v>
      </c>
      <c r="G98" s="333"/>
      <c r="H98" s="332">
        <v>0</v>
      </c>
      <c r="I98" s="333"/>
    </row>
    <row r="99" spans="1:9" s="362" customFormat="1" ht="14.1" customHeight="1">
      <c r="A99" s="361" t="s">
        <v>1023</v>
      </c>
      <c r="B99" s="333">
        <f t="shared" si="25"/>
        <v>300000</v>
      </c>
      <c r="C99" s="333">
        <f t="shared" si="25"/>
        <v>0</v>
      </c>
      <c r="D99" s="332">
        <v>0</v>
      </c>
      <c r="E99" s="333"/>
      <c r="F99" s="332">
        <f>300000</f>
        <v>300000</v>
      </c>
      <c r="G99" s="333"/>
      <c r="H99" s="332">
        <v>0</v>
      </c>
      <c r="I99" s="333"/>
    </row>
    <row r="100" spans="1:9" s="362" customFormat="1" ht="14.1" customHeight="1">
      <c r="A100" s="361" t="s">
        <v>1024</v>
      </c>
      <c r="B100" s="333">
        <f t="shared" si="25"/>
        <v>130000</v>
      </c>
      <c r="C100" s="333">
        <f t="shared" si="25"/>
        <v>0</v>
      </c>
      <c r="D100" s="332">
        <v>0</v>
      </c>
      <c r="E100" s="333"/>
      <c r="F100" s="332">
        <f>130000</f>
        <v>130000</v>
      </c>
      <c r="G100" s="333"/>
      <c r="H100" s="332">
        <v>0</v>
      </c>
      <c r="I100" s="333"/>
    </row>
    <row r="101" spans="1:9" s="362" customFormat="1" ht="14.1" customHeight="1">
      <c r="A101" s="361" t="s">
        <v>1025</v>
      </c>
      <c r="B101" s="333">
        <f t="shared" si="25"/>
        <v>410000</v>
      </c>
      <c r="C101" s="333">
        <f t="shared" si="25"/>
        <v>0</v>
      </c>
      <c r="D101" s="332">
        <v>0</v>
      </c>
      <c r="E101" s="333"/>
      <c r="F101" s="332">
        <f>410000</f>
        <v>410000</v>
      </c>
      <c r="G101" s="333"/>
      <c r="H101" s="332">
        <v>0</v>
      </c>
      <c r="I101" s="333"/>
    </row>
    <row r="102" spans="1:9" ht="14.1" customHeight="1">
      <c r="A102" s="349" t="s">
        <v>639</v>
      </c>
      <c r="B102" s="351">
        <f t="shared" si="25"/>
        <v>0</v>
      </c>
      <c r="C102" s="351">
        <f t="shared" si="25"/>
        <v>0</v>
      </c>
      <c r="D102" s="350">
        <v>0</v>
      </c>
      <c r="E102" s="351"/>
      <c r="F102" s="350">
        <v>0</v>
      </c>
      <c r="G102" s="351"/>
      <c r="H102" s="350">
        <v>0</v>
      </c>
      <c r="I102" s="351"/>
    </row>
    <row r="103" spans="1:9" ht="14.1" customHeight="1">
      <c r="A103" s="323" t="s">
        <v>658</v>
      </c>
      <c r="B103" s="326">
        <f t="shared" ref="B103:I103" si="26">SUM(B104:B110)</f>
        <v>641400</v>
      </c>
      <c r="C103" s="326">
        <f t="shared" si="26"/>
        <v>0</v>
      </c>
      <c r="D103" s="326">
        <f t="shared" si="26"/>
        <v>0</v>
      </c>
      <c r="E103" s="326">
        <f t="shared" si="26"/>
        <v>0</v>
      </c>
      <c r="F103" s="326">
        <f t="shared" si="26"/>
        <v>641400</v>
      </c>
      <c r="G103" s="326">
        <f t="shared" si="26"/>
        <v>0</v>
      </c>
      <c r="H103" s="326">
        <f t="shared" si="26"/>
        <v>0</v>
      </c>
      <c r="I103" s="326">
        <f t="shared" si="26"/>
        <v>0</v>
      </c>
    </row>
    <row r="104" spans="1:9" ht="14.1" customHeight="1">
      <c r="A104" s="349" t="s">
        <v>904</v>
      </c>
      <c r="B104" s="351">
        <f t="shared" ref="B104:C110" si="27">D104+F104+H104</f>
        <v>0</v>
      </c>
      <c r="C104" s="351">
        <f t="shared" si="27"/>
        <v>0</v>
      </c>
      <c r="D104" s="350">
        <v>0</v>
      </c>
      <c r="E104" s="351"/>
      <c r="F104" s="350">
        <v>0</v>
      </c>
      <c r="G104" s="351"/>
      <c r="H104" s="350">
        <v>0</v>
      </c>
      <c r="I104" s="351"/>
    </row>
    <row r="105" spans="1:9" ht="14.1" customHeight="1">
      <c r="A105" s="349" t="s">
        <v>905</v>
      </c>
      <c r="B105" s="351">
        <f t="shared" si="27"/>
        <v>0</v>
      </c>
      <c r="C105" s="351">
        <f t="shared" si="27"/>
        <v>0</v>
      </c>
      <c r="D105" s="350">
        <v>0</v>
      </c>
      <c r="E105" s="351"/>
      <c r="F105" s="350">
        <v>0</v>
      </c>
      <c r="G105" s="351"/>
      <c r="H105" s="350">
        <v>0</v>
      </c>
      <c r="I105" s="351"/>
    </row>
    <row r="106" spans="1:9" ht="14.1" customHeight="1">
      <c r="A106" s="349" t="s">
        <v>647</v>
      </c>
      <c r="B106" s="351">
        <f t="shared" si="27"/>
        <v>0</v>
      </c>
      <c r="C106" s="351">
        <f t="shared" si="27"/>
        <v>0</v>
      </c>
      <c r="D106" s="350">
        <v>0</v>
      </c>
      <c r="E106" s="351"/>
      <c r="F106" s="350">
        <v>0</v>
      </c>
      <c r="G106" s="351"/>
      <c r="H106" s="350">
        <v>0</v>
      </c>
      <c r="I106" s="351"/>
    </row>
    <row r="107" spans="1:9" ht="14.1" customHeight="1">
      <c r="A107" s="349" t="s">
        <v>649</v>
      </c>
      <c r="B107" s="351">
        <f t="shared" si="27"/>
        <v>341400</v>
      </c>
      <c r="C107" s="351">
        <f t="shared" si="27"/>
        <v>0</v>
      </c>
      <c r="D107" s="350">
        <v>0</v>
      </c>
      <c r="E107" s="351"/>
      <c r="F107" s="350">
        <f>170700*2</f>
        <v>341400</v>
      </c>
      <c r="G107" s="351"/>
      <c r="H107" s="350">
        <v>0</v>
      </c>
      <c r="I107" s="351"/>
    </row>
    <row r="108" spans="1:9" ht="14.1" customHeight="1">
      <c r="A108" s="349" t="s">
        <v>907</v>
      </c>
      <c r="B108" s="351">
        <f t="shared" si="27"/>
        <v>0</v>
      </c>
      <c r="C108" s="351">
        <f t="shared" si="27"/>
        <v>0</v>
      </c>
      <c r="D108" s="350">
        <v>0</v>
      </c>
      <c r="E108" s="351"/>
      <c r="F108" s="350">
        <v>0</v>
      </c>
      <c r="G108" s="351"/>
      <c r="H108" s="350">
        <v>0</v>
      </c>
      <c r="I108" s="351"/>
    </row>
    <row r="109" spans="1:9" ht="14.1" customHeight="1">
      <c r="A109" s="349" t="s">
        <v>653</v>
      </c>
      <c r="B109" s="351">
        <f t="shared" si="27"/>
        <v>300000</v>
      </c>
      <c r="C109" s="351">
        <f t="shared" si="27"/>
        <v>0</v>
      </c>
      <c r="D109" s="350">
        <v>0</v>
      </c>
      <c r="E109" s="351"/>
      <c r="F109" s="350">
        <v>300000</v>
      </c>
      <c r="G109" s="351"/>
      <c r="H109" s="350">
        <v>0</v>
      </c>
      <c r="I109" s="351"/>
    </row>
    <row r="110" spans="1:9" ht="14.1" customHeight="1">
      <c r="A110" s="349" t="s">
        <v>908</v>
      </c>
      <c r="B110" s="351">
        <f t="shared" si="27"/>
        <v>0</v>
      </c>
      <c r="C110" s="351">
        <f t="shared" si="27"/>
        <v>0</v>
      </c>
      <c r="D110" s="350">
        <v>0</v>
      </c>
      <c r="E110" s="351"/>
      <c r="F110" s="350">
        <v>0</v>
      </c>
      <c r="G110" s="351"/>
      <c r="H110" s="350">
        <v>0</v>
      </c>
      <c r="I110" s="351"/>
    </row>
    <row r="111" spans="1:9" ht="14.1" customHeight="1">
      <c r="A111" s="336" t="s">
        <v>660</v>
      </c>
      <c r="B111" s="339">
        <f t="shared" ref="B111:I111" si="28">B91+B94+B103</f>
        <v>2541400</v>
      </c>
      <c r="C111" s="339">
        <f t="shared" si="28"/>
        <v>0</v>
      </c>
      <c r="D111" s="339">
        <f t="shared" si="28"/>
        <v>0</v>
      </c>
      <c r="E111" s="339">
        <f t="shared" si="28"/>
        <v>0</v>
      </c>
      <c r="F111" s="339">
        <f t="shared" si="28"/>
        <v>2541400</v>
      </c>
      <c r="G111" s="339">
        <f t="shared" si="28"/>
        <v>0</v>
      </c>
      <c r="H111" s="339">
        <f t="shared" si="28"/>
        <v>0</v>
      </c>
      <c r="I111" s="339">
        <f t="shared" si="28"/>
        <v>0</v>
      </c>
    </row>
    <row r="112" spans="1:9" ht="14.1" customHeight="1">
      <c r="A112" s="341" t="s">
        <v>662</v>
      </c>
      <c r="B112" s="344">
        <f t="shared" ref="B112:I112" si="29">B90+B111</f>
        <v>31821940</v>
      </c>
      <c r="C112" s="344">
        <f t="shared" si="29"/>
        <v>0</v>
      </c>
      <c r="D112" s="344">
        <f t="shared" si="29"/>
        <v>0</v>
      </c>
      <c r="E112" s="344">
        <f t="shared" si="29"/>
        <v>0</v>
      </c>
      <c r="F112" s="344">
        <f t="shared" si="29"/>
        <v>31821940</v>
      </c>
      <c r="G112" s="344">
        <f t="shared" si="29"/>
        <v>0</v>
      </c>
      <c r="H112" s="344">
        <f t="shared" si="29"/>
        <v>0</v>
      </c>
      <c r="I112" s="344">
        <f t="shared" si="29"/>
        <v>0</v>
      </c>
    </row>
    <row r="113" spans="1:9" ht="14.1" customHeight="1">
      <c r="A113" s="349" t="s">
        <v>664</v>
      </c>
      <c r="B113" s="351">
        <f t="shared" ref="B113:C120" si="30">D113+F113+H113</f>
        <v>7532730.0000000009</v>
      </c>
      <c r="C113" s="351">
        <f t="shared" si="30"/>
        <v>0</v>
      </c>
      <c r="D113" s="350">
        <v>0</v>
      </c>
      <c r="E113" s="351"/>
      <c r="F113" s="350">
        <f>(F6+F42+F43+F44+F47+F48+F103+F94*0.9)*0.27</f>
        <v>7532730.0000000009</v>
      </c>
      <c r="G113" s="351"/>
      <c r="H113" s="350">
        <v>0</v>
      </c>
      <c r="I113" s="351"/>
    </row>
    <row r="114" spans="1:9" ht="14.1" customHeight="1">
      <c r="A114" s="349" t="s">
        <v>666</v>
      </c>
      <c r="B114" s="351">
        <f t="shared" si="30"/>
        <v>0</v>
      </c>
      <c r="C114" s="351">
        <f t="shared" si="30"/>
        <v>0</v>
      </c>
      <c r="D114" s="350">
        <v>0</v>
      </c>
      <c r="E114" s="351"/>
      <c r="F114" s="350">
        <v>0</v>
      </c>
      <c r="G114" s="351"/>
      <c r="H114" s="350">
        <v>0</v>
      </c>
      <c r="I114" s="351"/>
    </row>
    <row r="115" spans="1:9" ht="14.1" customHeight="1">
      <c r="A115" s="349" t="s">
        <v>668</v>
      </c>
      <c r="B115" s="351">
        <f t="shared" si="30"/>
        <v>293977.59999999998</v>
      </c>
      <c r="C115" s="351">
        <f t="shared" si="30"/>
        <v>0</v>
      </c>
      <c r="D115" s="350">
        <v>0</v>
      </c>
      <c r="E115" s="351"/>
      <c r="F115" s="350">
        <f>F49*1.19*0.14+F109*1.19*0.27</f>
        <v>293977.59999999998</v>
      </c>
      <c r="G115" s="351"/>
      <c r="H115" s="350">
        <v>0</v>
      </c>
      <c r="I115" s="351"/>
    </row>
    <row r="116" spans="1:9" ht="14.1" customHeight="1">
      <c r="A116" s="349" t="s">
        <v>670</v>
      </c>
      <c r="B116" s="351">
        <f t="shared" si="30"/>
        <v>0</v>
      </c>
      <c r="C116" s="351">
        <f t="shared" si="30"/>
        <v>0</v>
      </c>
      <c r="D116" s="350">
        <v>0</v>
      </c>
      <c r="E116" s="351"/>
      <c r="F116" s="350">
        <v>0</v>
      </c>
      <c r="G116" s="351"/>
      <c r="H116" s="350">
        <v>0</v>
      </c>
      <c r="I116" s="351"/>
    </row>
    <row r="117" spans="1:9" ht="14.1" customHeight="1">
      <c r="A117" s="349" t="s">
        <v>672</v>
      </c>
      <c r="B117" s="351">
        <f t="shared" si="30"/>
        <v>0</v>
      </c>
      <c r="C117" s="351">
        <f t="shared" si="30"/>
        <v>0</v>
      </c>
      <c r="D117" s="350">
        <v>0</v>
      </c>
      <c r="E117" s="351"/>
      <c r="F117" s="350">
        <v>0</v>
      </c>
      <c r="G117" s="351"/>
      <c r="H117" s="350">
        <v>0</v>
      </c>
      <c r="I117" s="351"/>
    </row>
    <row r="118" spans="1:9" ht="14.1" customHeight="1">
      <c r="A118" s="349" t="s">
        <v>674</v>
      </c>
      <c r="B118" s="351">
        <f t="shared" si="30"/>
        <v>0</v>
      </c>
      <c r="C118" s="351">
        <f t="shared" si="30"/>
        <v>0</v>
      </c>
      <c r="D118" s="350">
        <v>0</v>
      </c>
      <c r="E118" s="351"/>
      <c r="F118" s="350">
        <v>0</v>
      </c>
      <c r="G118" s="351"/>
      <c r="H118" s="350">
        <v>0</v>
      </c>
      <c r="I118" s="351"/>
    </row>
    <row r="119" spans="1:9" ht="14.1" customHeight="1">
      <c r="A119" s="349" t="s">
        <v>676</v>
      </c>
      <c r="B119" s="351">
        <f t="shared" si="30"/>
        <v>282934.40000000002</v>
      </c>
      <c r="C119" s="351">
        <f t="shared" si="30"/>
        <v>0</v>
      </c>
      <c r="D119" s="350">
        <v>0</v>
      </c>
      <c r="E119" s="351"/>
      <c r="F119" s="350">
        <f>(F49+F109)*1.19*0.16</f>
        <v>282934.40000000002</v>
      </c>
      <c r="G119" s="351"/>
      <c r="H119" s="350">
        <v>0</v>
      </c>
      <c r="I119" s="351"/>
    </row>
    <row r="120" spans="1:9" ht="14.1" customHeight="1">
      <c r="A120" s="349" t="s">
        <v>909</v>
      </c>
      <c r="B120" s="351">
        <f t="shared" si="30"/>
        <v>0</v>
      </c>
      <c r="C120" s="351">
        <f t="shared" si="30"/>
        <v>0</v>
      </c>
      <c r="D120" s="350">
        <v>0</v>
      </c>
      <c r="E120" s="351"/>
      <c r="F120" s="350">
        <v>0</v>
      </c>
      <c r="G120" s="351"/>
      <c r="H120" s="350">
        <v>0</v>
      </c>
      <c r="I120" s="351"/>
    </row>
    <row r="121" spans="1:9" ht="14.1" customHeight="1">
      <c r="A121" s="341" t="s">
        <v>680</v>
      </c>
      <c r="B121" s="344">
        <f t="shared" ref="B121:I121" si="31">SUM(B113:B120)</f>
        <v>8109642.0000000009</v>
      </c>
      <c r="C121" s="344">
        <f t="shared" si="31"/>
        <v>0</v>
      </c>
      <c r="D121" s="344">
        <f t="shared" si="31"/>
        <v>0</v>
      </c>
      <c r="E121" s="344">
        <f t="shared" si="31"/>
        <v>0</v>
      </c>
      <c r="F121" s="344">
        <f t="shared" si="31"/>
        <v>8109642.0000000009</v>
      </c>
      <c r="G121" s="344">
        <f t="shared" si="31"/>
        <v>0</v>
      </c>
      <c r="H121" s="344">
        <f t="shared" si="31"/>
        <v>0</v>
      </c>
      <c r="I121" s="344">
        <f t="shared" si="31"/>
        <v>0</v>
      </c>
    </row>
    <row r="122" spans="1:9" ht="14.1" customHeight="1">
      <c r="A122" s="366" t="s">
        <v>1026</v>
      </c>
      <c r="B122" s="347">
        <f t="shared" ref="B122:I122" si="32">B112+B121</f>
        <v>39931582</v>
      </c>
      <c r="C122" s="347">
        <f t="shared" si="32"/>
        <v>0</v>
      </c>
      <c r="D122" s="347">
        <f t="shared" si="32"/>
        <v>0</v>
      </c>
      <c r="E122" s="347">
        <f t="shared" si="32"/>
        <v>0</v>
      </c>
      <c r="F122" s="347">
        <f t="shared" si="32"/>
        <v>39931582</v>
      </c>
      <c r="G122" s="347">
        <f t="shared" si="32"/>
        <v>0</v>
      </c>
      <c r="H122" s="347">
        <f t="shared" si="32"/>
        <v>0</v>
      </c>
      <c r="I122" s="347">
        <f t="shared" si="32"/>
        <v>0</v>
      </c>
    </row>
    <row r="124" spans="1:9" ht="14.1" customHeight="1">
      <c r="A124" s="699" t="s">
        <v>971</v>
      </c>
      <c r="B124" s="699"/>
      <c r="C124" s="699"/>
      <c r="D124" s="699"/>
      <c r="E124" s="699"/>
      <c r="F124" s="699"/>
      <c r="G124" s="699"/>
      <c r="H124" s="699"/>
      <c r="I124" s="699"/>
    </row>
    <row r="125" spans="1:9" ht="14.1" customHeight="1">
      <c r="A125" s="699" t="s">
        <v>889</v>
      </c>
      <c r="B125" s="695" t="s">
        <v>891</v>
      </c>
      <c r="C125" s="695" t="s">
        <v>892</v>
      </c>
      <c r="D125" s="695" t="s">
        <v>894</v>
      </c>
      <c r="E125" s="695"/>
      <c r="F125" s="695" t="s">
        <v>895</v>
      </c>
      <c r="G125" s="695"/>
      <c r="H125" s="695" t="s">
        <v>896</v>
      </c>
      <c r="I125" s="695"/>
    </row>
    <row r="126" spans="1:9" ht="14.1" customHeight="1">
      <c r="A126" s="699"/>
      <c r="B126" s="695"/>
      <c r="C126" s="695"/>
      <c r="D126" s="316" t="s">
        <v>897</v>
      </c>
      <c r="E126" s="316" t="s">
        <v>898</v>
      </c>
      <c r="F126" s="316" t="s">
        <v>897</v>
      </c>
      <c r="G126" s="316" t="s">
        <v>898</v>
      </c>
      <c r="H126" s="316" t="s">
        <v>897</v>
      </c>
      <c r="I126" s="316" t="s">
        <v>898</v>
      </c>
    </row>
    <row r="127" spans="1:9" ht="5.65" customHeight="1"/>
    <row r="128" spans="1:9" ht="14.1" customHeight="1">
      <c r="A128" s="700" t="s">
        <v>911</v>
      </c>
      <c r="B128" s="700"/>
      <c r="C128" s="700"/>
      <c r="D128" s="700"/>
      <c r="E128" s="700"/>
      <c r="F128" s="700"/>
      <c r="G128" s="700"/>
      <c r="H128" s="700"/>
      <c r="I128" s="700"/>
    </row>
    <row r="129" spans="1:9" ht="14.1" customHeight="1">
      <c r="A129" s="323" t="s">
        <v>696</v>
      </c>
      <c r="B129" s="326">
        <f t="shared" ref="B129:I129" si="33">SUM(B130:B135)</f>
        <v>290000</v>
      </c>
      <c r="C129" s="326">
        <f t="shared" si="33"/>
        <v>0</v>
      </c>
      <c r="D129" s="326">
        <f t="shared" si="33"/>
        <v>250000</v>
      </c>
      <c r="E129" s="326">
        <f t="shared" si="33"/>
        <v>0</v>
      </c>
      <c r="F129" s="326">
        <f t="shared" si="33"/>
        <v>40000</v>
      </c>
      <c r="G129" s="326">
        <f t="shared" si="33"/>
        <v>0</v>
      </c>
      <c r="H129" s="326">
        <f t="shared" si="33"/>
        <v>0</v>
      </c>
      <c r="I129" s="326">
        <f t="shared" si="33"/>
        <v>0</v>
      </c>
    </row>
    <row r="130" spans="1:9" ht="14.1" customHeight="1">
      <c r="A130" s="349" t="s">
        <v>682</v>
      </c>
      <c r="B130" s="351">
        <f t="shared" ref="B130:C135" si="34">D130+F130+H130</f>
        <v>40000</v>
      </c>
      <c r="C130" s="351">
        <f t="shared" si="34"/>
        <v>0</v>
      </c>
      <c r="D130" s="350">
        <v>0</v>
      </c>
      <c r="E130" s="351">
        <f>'MMMH dologi'!E3</f>
        <v>0</v>
      </c>
      <c r="F130" s="350">
        <v>40000</v>
      </c>
      <c r="G130" s="351">
        <f>'MMMH dologi'!F3</f>
        <v>0</v>
      </c>
      <c r="H130" s="350">
        <v>0</v>
      </c>
      <c r="I130" s="351">
        <f>'MMMH dologi'!G3</f>
        <v>0</v>
      </c>
    </row>
    <row r="131" spans="1:9" ht="14.1" customHeight="1">
      <c r="A131" s="349" t="s">
        <v>684</v>
      </c>
      <c r="B131" s="351">
        <f t="shared" si="34"/>
        <v>0</v>
      </c>
      <c r="C131" s="351">
        <f t="shared" si="34"/>
        <v>0</v>
      </c>
      <c r="D131" s="350">
        <v>0</v>
      </c>
      <c r="E131" s="351">
        <f>'MMMH dologi'!E7</f>
        <v>0</v>
      </c>
      <c r="F131" s="350">
        <v>0</v>
      </c>
      <c r="G131" s="351">
        <f>'MMMH dologi'!F7</f>
        <v>0</v>
      </c>
      <c r="H131" s="350">
        <v>0</v>
      </c>
      <c r="I131" s="351">
        <f>'MMMH dologi'!G7</f>
        <v>0</v>
      </c>
    </row>
    <row r="132" spans="1:9" ht="14.1" customHeight="1">
      <c r="A132" s="349" t="s">
        <v>686</v>
      </c>
      <c r="B132" s="351">
        <f t="shared" si="34"/>
        <v>0</v>
      </c>
      <c r="C132" s="351">
        <f t="shared" si="34"/>
        <v>0</v>
      </c>
      <c r="D132" s="350">
        <v>0</v>
      </c>
      <c r="E132" s="351">
        <f>'MMMH dologi'!E11</f>
        <v>0</v>
      </c>
      <c r="F132" s="350">
        <v>0</v>
      </c>
      <c r="G132" s="351">
        <f>'MMMH dologi'!F11</f>
        <v>0</v>
      </c>
      <c r="H132" s="350">
        <v>0</v>
      </c>
      <c r="I132" s="351">
        <f>'MMMH dologi'!G11</f>
        <v>0</v>
      </c>
    </row>
    <row r="133" spans="1:9" ht="14.1" customHeight="1">
      <c r="A133" s="349" t="s">
        <v>689</v>
      </c>
      <c r="B133" s="351">
        <f t="shared" si="34"/>
        <v>0</v>
      </c>
      <c r="C133" s="351">
        <f t="shared" si="34"/>
        <v>0</v>
      </c>
      <c r="D133" s="350">
        <v>0</v>
      </c>
      <c r="E133" s="351">
        <f>'MMMH dologi'!E15</f>
        <v>0</v>
      </c>
      <c r="F133" s="350">
        <v>0</v>
      </c>
      <c r="G133" s="351">
        <f>'MMMH dologi'!F15</f>
        <v>0</v>
      </c>
      <c r="H133" s="350">
        <v>0</v>
      </c>
      <c r="I133" s="351">
        <f>'MMMH dologi'!G15</f>
        <v>0</v>
      </c>
    </row>
    <row r="134" spans="1:9" ht="14.1" customHeight="1">
      <c r="A134" s="349" t="s">
        <v>912</v>
      </c>
      <c r="B134" s="351">
        <f t="shared" si="34"/>
        <v>0</v>
      </c>
      <c r="C134" s="351">
        <f t="shared" si="34"/>
        <v>0</v>
      </c>
      <c r="D134" s="350">
        <v>0</v>
      </c>
      <c r="E134" s="351">
        <f>'MMMH dologi'!E19</f>
        <v>0</v>
      </c>
      <c r="F134" s="350">
        <v>0</v>
      </c>
      <c r="G134" s="351">
        <f>'MMMH dologi'!F19</f>
        <v>0</v>
      </c>
      <c r="H134" s="350">
        <v>0</v>
      </c>
      <c r="I134" s="351">
        <f>'MMMH dologi'!G19</f>
        <v>0</v>
      </c>
    </row>
    <row r="135" spans="1:9" ht="14.1" customHeight="1">
      <c r="A135" s="349" t="s">
        <v>693</v>
      </c>
      <c r="B135" s="351">
        <f t="shared" si="34"/>
        <v>250000</v>
      </c>
      <c r="C135" s="351">
        <f t="shared" si="34"/>
        <v>0</v>
      </c>
      <c r="D135" s="350">
        <v>250000</v>
      </c>
      <c r="E135" s="351">
        <f>'MMMH dologi'!E23+'MMMH dologi'!E27+'MMMH dologi'!E31+'MMMH dologi'!E35+'MMMH dologi'!E39+'MMMH dologi'!E43+'MMMH dologi'!E47+'MMMH dologi'!E51+'MMMH dologi'!E55+'MMMH dologi'!E59+'MMMH dologi'!E63+'MMMH dologi'!E67+'MMMH dologi'!E71</f>
        <v>0</v>
      </c>
      <c r="F135" s="350">
        <v>0</v>
      </c>
      <c r="G135" s="351">
        <f>'MMMH dologi'!F23+'MMMH dologi'!F27+'MMMH dologi'!F31+'MMMH dologi'!F35+'MMMH dologi'!F39+'MMMH dologi'!F43+'MMMH dologi'!F47+'MMMH dologi'!F51+'MMMH dologi'!F55+'MMMH dologi'!F59+'MMMH dologi'!F63+'MMMH dologi'!F67+'MMMH dologi'!F71</f>
        <v>0</v>
      </c>
      <c r="H135" s="350">
        <v>0</v>
      </c>
      <c r="I135" s="351">
        <f>'MMMH dologi'!G23+'MMMH dologi'!G27+'MMMH dologi'!G31+'MMMH dologi'!G35+'MMMH dologi'!G39+'MMMH dologi'!G43+'MMMH dologi'!G47+'MMMH dologi'!G51+'MMMH dologi'!G55+'MMMH dologi'!G59+'MMMH dologi'!G63+'MMMH dologi'!G67+'MMMH dologi'!G71</f>
        <v>0</v>
      </c>
    </row>
    <row r="136" spans="1:9" ht="14.1" customHeight="1">
      <c r="A136" s="323" t="s">
        <v>712</v>
      </c>
      <c r="B136" s="326">
        <f t="shared" ref="B136:I136" si="35">B137+B141+B145+B146+B147+B148</f>
        <v>2200000</v>
      </c>
      <c r="C136" s="326">
        <f t="shared" si="35"/>
        <v>0</v>
      </c>
      <c r="D136" s="326">
        <f t="shared" si="35"/>
        <v>300000</v>
      </c>
      <c r="E136" s="326">
        <f t="shared" si="35"/>
        <v>0</v>
      </c>
      <c r="F136" s="326">
        <f t="shared" si="35"/>
        <v>1900000</v>
      </c>
      <c r="G136" s="326">
        <f t="shared" si="35"/>
        <v>0</v>
      </c>
      <c r="H136" s="326">
        <f t="shared" si="35"/>
        <v>0</v>
      </c>
      <c r="I136" s="326">
        <f t="shared" si="35"/>
        <v>0</v>
      </c>
    </row>
    <row r="137" spans="1:9" s="360" customFormat="1" ht="14.1" customHeight="1">
      <c r="A137" s="358" t="s">
        <v>698</v>
      </c>
      <c r="B137" s="326">
        <f t="shared" ref="B137:I137" si="36">SUM(B138:B140)</f>
        <v>250000</v>
      </c>
      <c r="C137" s="326">
        <f t="shared" si="36"/>
        <v>0</v>
      </c>
      <c r="D137" s="359">
        <f t="shared" si="36"/>
        <v>250000</v>
      </c>
      <c r="E137" s="326">
        <f t="shared" si="36"/>
        <v>0</v>
      </c>
      <c r="F137" s="359">
        <f t="shared" si="36"/>
        <v>0</v>
      </c>
      <c r="G137" s="326">
        <f t="shared" si="36"/>
        <v>0</v>
      </c>
      <c r="H137" s="359">
        <f t="shared" si="36"/>
        <v>0</v>
      </c>
      <c r="I137" s="326">
        <f t="shared" si="36"/>
        <v>0</v>
      </c>
    </row>
    <row r="138" spans="1:9" s="362" customFormat="1" ht="14.1" customHeight="1">
      <c r="A138" s="361" t="s">
        <v>1027</v>
      </c>
      <c r="B138" s="333">
        <f t="shared" ref="B138:C140" si="37">D138+F138+H138</f>
        <v>200000</v>
      </c>
      <c r="C138" s="333">
        <f t="shared" si="37"/>
        <v>0</v>
      </c>
      <c r="D138" s="332">
        <v>200000</v>
      </c>
      <c r="E138" s="333">
        <f>'MMMH dologi'!E75</f>
        <v>0</v>
      </c>
      <c r="F138" s="332">
        <v>0</v>
      </c>
      <c r="G138" s="333">
        <f>'MMMH dologi'!F75</f>
        <v>0</v>
      </c>
      <c r="H138" s="332">
        <v>0</v>
      </c>
      <c r="I138" s="333">
        <f>'MMMH dologi'!G75</f>
        <v>0</v>
      </c>
    </row>
    <row r="139" spans="1:9" s="362" customFormat="1" ht="14.1" customHeight="1">
      <c r="A139" s="361" t="s">
        <v>1028</v>
      </c>
      <c r="B139" s="333">
        <f t="shared" si="37"/>
        <v>0</v>
      </c>
      <c r="C139" s="333">
        <f t="shared" si="37"/>
        <v>0</v>
      </c>
      <c r="D139" s="332">
        <v>0</v>
      </c>
      <c r="E139" s="333">
        <f>'MMMH dologi'!E79</f>
        <v>0</v>
      </c>
      <c r="F139" s="332">
        <v>0</v>
      </c>
      <c r="G139" s="333">
        <f>'MMMH dologi'!F79</f>
        <v>0</v>
      </c>
      <c r="H139" s="332">
        <v>0</v>
      </c>
      <c r="I139" s="333">
        <f>'MMMH dologi'!G79</f>
        <v>0</v>
      </c>
    </row>
    <row r="140" spans="1:9" s="362" customFormat="1" ht="14.1" customHeight="1">
      <c r="A140" s="361" t="s">
        <v>1029</v>
      </c>
      <c r="B140" s="333">
        <f t="shared" si="37"/>
        <v>50000</v>
      </c>
      <c r="C140" s="333">
        <f t="shared" si="37"/>
        <v>0</v>
      </c>
      <c r="D140" s="332">
        <v>50000</v>
      </c>
      <c r="E140" s="333">
        <f>'MMMH dologi'!E83</f>
        <v>0</v>
      </c>
      <c r="F140" s="332">
        <v>0</v>
      </c>
      <c r="G140" s="333">
        <f>'MMMH dologi'!F83</f>
        <v>0</v>
      </c>
      <c r="H140" s="332">
        <v>0</v>
      </c>
      <c r="I140" s="333">
        <f>'MMMH dologi'!G83</f>
        <v>0</v>
      </c>
    </row>
    <row r="141" spans="1:9" s="360" customFormat="1" ht="14.1" customHeight="1">
      <c r="A141" s="358" t="s">
        <v>913</v>
      </c>
      <c r="B141" s="326">
        <f t="shared" ref="B141:I141" si="38">SUM(B142:B144)</f>
        <v>400000</v>
      </c>
      <c r="C141" s="326">
        <f t="shared" si="38"/>
        <v>0</v>
      </c>
      <c r="D141" s="359">
        <f t="shared" si="38"/>
        <v>0</v>
      </c>
      <c r="E141" s="326">
        <f t="shared" si="38"/>
        <v>0</v>
      </c>
      <c r="F141" s="359">
        <f t="shared" si="38"/>
        <v>400000</v>
      </c>
      <c r="G141" s="326">
        <f t="shared" si="38"/>
        <v>0</v>
      </c>
      <c r="H141" s="359">
        <f t="shared" si="38"/>
        <v>0</v>
      </c>
      <c r="I141" s="326">
        <f t="shared" si="38"/>
        <v>0</v>
      </c>
    </row>
    <row r="142" spans="1:9" s="362" customFormat="1" ht="14.1" customHeight="1">
      <c r="A142" s="361" t="s">
        <v>1030</v>
      </c>
      <c r="B142" s="333">
        <f t="shared" ref="B142:C147" si="39">D142+F142+H142</f>
        <v>50000</v>
      </c>
      <c r="C142" s="333">
        <f t="shared" si="39"/>
        <v>0</v>
      </c>
      <c r="D142" s="332">
        <v>0</v>
      </c>
      <c r="E142" s="333">
        <f>'MMMH dologi'!E87</f>
        <v>0</v>
      </c>
      <c r="F142" s="332">
        <v>50000</v>
      </c>
      <c r="G142" s="333">
        <f>'MMMH dologi'!F87</f>
        <v>0</v>
      </c>
      <c r="H142" s="332">
        <v>0</v>
      </c>
      <c r="I142" s="333">
        <f>'MMMH dologi'!G87</f>
        <v>0</v>
      </c>
    </row>
    <row r="143" spans="1:9" s="362" customFormat="1" ht="14.1" customHeight="1">
      <c r="A143" s="361" t="s">
        <v>1031</v>
      </c>
      <c r="B143" s="333">
        <f t="shared" si="39"/>
        <v>0</v>
      </c>
      <c r="C143" s="333">
        <f t="shared" si="39"/>
        <v>0</v>
      </c>
      <c r="D143" s="332">
        <v>0</v>
      </c>
      <c r="E143" s="333">
        <f>'MMMH dologi'!E91</f>
        <v>0</v>
      </c>
      <c r="F143" s="332">
        <v>0</v>
      </c>
      <c r="G143" s="333">
        <f>'MMMH dologi'!F91</f>
        <v>0</v>
      </c>
      <c r="H143" s="332">
        <v>0</v>
      </c>
      <c r="I143" s="333">
        <f>'MMMH dologi'!G91</f>
        <v>0</v>
      </c>
    </row>
    <row r="144" spans="1:9" s="362" customFormat="1" ht="14.1" customHeight="1">
      <c r="A144" s="361" t="s">
        <v>1032</v>
      </c>
      <c r="B144" s="333">
        <f t="shared" si="39"/>
        <v>350000</v>
      </c>
      <c r="C144" s="333">
        <f t="shared" si="39"/>
        <v>0</v>
      </c>
      <c r="D144" s="332">
        <v>0</v>
      </c>
      <c r="E144" s="333">
        <f>'MMMH dologi'!E95</f>
        <v>0</v>
      </c>
      <c r="F144" s="332">
        <v>350000</v>
      </c>
      <c r="G144" s="333">
        <f>'MMMH dologi'!F95</f>
        <v>0</v>
      </c>
      <c r="H144" s="332">
        <v>0</v>
      </c>
      <c r="I144" s="333">
        <f>'MMMH dologi'!G95</f>
        <v>0</v>
      </c>
    </row>
    <row r="145" spans="1:9" s="360" customFormat="1" ht="14.1" customHeight="1">
      <c r="A145" s="358" t="s">
        <v>702</v>
      </c>
      <c r="B145" s="326">
        <f t="shared" si="39"/>
        <v>0</v>
      </c>
      <c r="C145" s="326">
        <f t="shared" si="39"/>
        <v>0</v>
      </c>
      <c r="D145" s="359">
        <v>0</v>
      </c>
      <c r="E145" s="326">
        <f>'MMMH dologi'!E99</f>
        <v>0</v>
      </c>
      <c r="F145" s="359">
        <v>0</v>
      </c>
      <c r="G145" s="326">
        <f>'MMMH dologi'!F99</f>
        <v>0</v>
      </c>
      <c r="H145" s="359">
        <v>0</v>
      </c>
      <c r="I145" s="326">
        <f>'MMMH dologi'!G99</f>
        <v>0</v>
      </c>
    </row>
    <row r="146" spans="1:9" s="360" customFormat="1" ht="14.1" customHeight="1">
      <c r="A146" s="358" t="s">
        <v>914</v>
      </c>
      <c r="B146" s="326">
        <f t="shared" si="39"/>
        <v>0</v>
      </c>
      <c r="C146" s="326">
        <f t="shared" si="39"/>
        <v>0</v>
      </c>
      <c r="D146" s="359">
        <v>0</v>
      </c>
      <c r="E146" s="326">
        <f>'MMMH dologi'!E103</f>
        <v>0</v>
      </c>
      <c r="F146" s="359">
        <v>0</v>
      </c>
      <c r="G146" s="326">
        <f>'MMMH dologi'!F103</f>
        <v>0</v>
      </c>
      <c r="H146" s="359">
        <v>0</v>
      </c>
      <c r="I146" s="326">
        <f>'MMMH dologi'!G103</f>
        <v>0</v>
      </c>
    </row>
    <row r="147" spans="1:9" s="360" customFormat="1" ht="14.1" customHeight="1">
      <c r="A147" s="358" t="s">
        <v>706</v>
      </c>
      <c r="B147" s="326">
        <f t="shared" si="39"/>
        <v>150000</v>
      </c>
      <c r="C147" s="326">
        <f t="shared" si="39"/>
        <v>0</v>
      </c>
      <c r="D147" s="359">
        <v>0</v>
      </c>
      <c r="E147" s="326">
        <f>'MMMH dologi'!E107</f>
        <v>0</v>
      </c>
      <c r="F147" s="359">
        <v>150000</v>
      </c>
      <c r="G147" s="326">
        <f>'MMMH dologi'!F107</f>
        <v>0</v>
      </c>
      <c r="H147" s="359">
        <v>0</v>
      </c>
      <c r="I147" s="326">
        <f>'MMMH dologi'!G107</f>
        <v>0</v>
      </c>
    </row>
    <row r="148" spans="1:9" s="360" customFormat="1" ht="14.1" customHeight="1">
      <c r="A148" s="358" t="s">
        <v>915</v>
      </c>
      <c r="B148" s="326">
        <f t="shared" ref="B148:I148" si="40">SUM(B149:B152)</f>
        <v>1400000</v>
      </c>
      <c r="C148" s="326">
        <f t="shared" si="40"/>
        <v>0</v>
      </c>
      <c r="D148" s="359">
        <f t="shared" si="40"/>
        <v>50000</v>
      </c>
      <c r="E148" s="326">
        <f t="shared" si="40"/>
        <v>0</v>
      </c>
      <c r="F148" s="359">
        <f t="shared" si="40"/>
        <v>1350000</v>
      </c>
      <c r="G148" s="326">
        <f t="shared" si="40"/>
        <v>0</v>
      </c>
      <c r="H148" s="359">
        <f t="shared" si="40"/>
        <v>0</v>
      </c>
      <c r="I148" s="326">
        <f t="shared" si="40"/>
        <v>0</v>
      </c>
    </row>
    <row r="149" spans="1:9" s="362" customFormat="1" ht="14.1" customHeight="1">
      <c r="A149" s="361" t="s">
        <v>1033</v>
      </c>
      <c r="B149" s="333">
        <f t="shared" ref="B149:C152" si="41">D149+F149+H149</f>
        <v>150000</v>
      </c>
      <c r="C149" s="333">
        <f t="shared" si="41"/>
        <v>0</v>
      </c>
      <c r="D149" s="332">
        <v>0</v>
      </c>
      <c r="E149" s="333">
        <f>'MMMH dologi'!E111</f>
        <v>0</v>
      </c>
      <c r="F149" s="332">
        <v>150000</v>
      </c>
      <c r="G149" s="333">
        <f>'MMMH dologi'!F111</f>
        <v>0</v>
      </c>
      <c r="H149" s="332">
        <v>0</v>
      </c>
      <c r="I149" s="333">
        <f>'MMMH dologi'!G111</f>
        <v>0</v>
      </c>
    </row>
    <row r="150" spans="1:9" s="362" customFormat="1" ht="14.1" customHeight="1">
      <c r="A150" s="361" t="s">
        <v>1034</v>
      </c>
      <c r="B150" s="333">
        <f t="shared" si="41"/>
        <v>950000</v>
      </c>
      <c r="C150" s="333">
        <f t="shared" si="41"/>
        <v>0</v>
      </c>
      <c r="D150" s="332">
        <v>0</v>
      </c>
      <c r="E150" s="333">
        <f>'MMMH dologi'!E115</f>
        <v>0</v>
      </c>
      <c r="F150" s="332">
        <f>500000+450000</f>
        <v>950000</v>
      </c>
      <c r="G150" s="333">
        <f>'MMMH dologi'!F115</f>
        <v>0</v>
      </c>
      <c r="H150" s="332">
        <v>0</v>
      </c>
      <c r="I150" s="333">
        <f>'MMMH dologi'!G115</f>
        <v>0</v>
      </c>
    </row>
    <row r="151" spans="1:9" s="362" customFormat="1" ht="14.1" customHeight="1">
      <c r="A151" s="361" t="s">
        <v>1035</v>
      </c>
      <c r="B151" s="333">
        <f t="shared" si="41"/>
        <v>0</v>
      </c>
      <c r="C151" s="333">
        <f t="shared" si="41"/>
        <v>0</v>
      </c>
      <c r="D151" s="332">
        <v>0</v>
      </c>
      <c r="E151" s="333">
        <f>'MMMH dologi'!E119</f>
        <v>0</v>
      </c>
      <c r="F151" s="332">
        <v>0</v>
      </c>
      <c r="G151" s="333">
        <f>'MMMH dologi'!F119</f>
        <v>0</v>
      </c>
      <c r="H151" s="332">
        <v>0</v>
      </c>
      <c r="I151" s="333">
        <f>'MMMH dologi'!G119</f>
        <v>0</v>
      </c>
    </row>
    <row r="152" spans="1:9" s="362" customFormat="1" ht="14.1" customHeight="1">
      <c r="A152" s="361" t="s">
        <v>1036</v>
      </c>
      <c r="B152" s="333">
        <f t="shared" si="41"/>
        <v>300000</v>
      </c>
      <c r="C152" s="333">
        <f t="shared" si="41"/>
        <v>0</v>
      </c>
      <c r="D152" s="332">
        <v>50000</v>
      </c>
      <c r="E152" s="333">
        <f>'MMMH dologi'!E123</f>
        <v>0</v>
      </c>
      <c r="F152" s="332">
        <v>250000</v>
      </c>
      <c r="G152" s="333">
        <f>'MMMH dologi'!F123</f>
        <v>0</v>
      </c>
      <c r="H152" s="332">
        <v>0</v>
      </c>
      <c r="I152" s="333">
        <f>'MMMH dologi'!G123</f>
        <v>0</v>
      </c>
    </row>
    <row r="153" spans="1:9" ht="14.1" customHeight="1">
      <c r="A153" s="323" t="s">
        <v>717</v>
      </c>
      <c r="B153" s="326">
        <f t="shared" ref="B153:I153" si="42">SUM(B154:B155)</f>
        <v>0</v>
      </c>
      <c r="C153" s="326">
        <f t="shared" si="42"/>
        <v>0</v>
      </c>
      <c r="D153" s="326">
        <f t="shared" si="42"/>
        <v>0</v>
      </c>
      <c r="E153" s="326">
        <f t="shared" si="42"/>
        <v>0</v>
      </c>
      <c r="F153" s="326">
        <f t="shared" si="42"/>
        <v>0</v>
      </c>
      <c r="G153" s="326">
        <f t="shared" si="42"/>
        <v>0</v>
      </c>
      <c r="H153" s="326">
        <f t="shared" si="42"/>
        <v>0</v>
      </c>
      <c r="I153" s="326">
        <f t="shared" si="42"/>
        <v>0</v>
      </c>
    </row>
    <row r="154" spans="1:9" ht="14.1" customHeight="1">
      <c r="A154" s="349" t="s">
        <v>233</v>
      </c>
      <c r="B154" s="351">
        <f>D154+F154+H154</f>
        <v>0</v>
      </c>
      <c r="C154" s="351">
        <f>E154+G154+I154</f>
        <v>0</v>
      </c>
      <c r="D154" s="350">
        <v>0</v>
      </c>
      <c r="E154" s="351">
        <f>'MMMH dologi'!E127</f>
        <v>0</v>
      </c>
      <c r="F154" s="350">
        <v>0</v>
      </c>
      <c r="G154" s="351">
        <f>'MMMH dologi'!F127</f>
        <v>0</v>
      </c>
      <c r="H154" s="350">
        <v>0</v>
      </c>
      <c r="I154" s="351">
        <f>'MMMH dologi'!G127</f>
        <v>0</v>
      </c>
    </row>
    <row r="155" spans="1:9" ht="14.1" customHeight="1">
      <c r="A155" s="349" t="s">
        <v>715</v>
      </c>
      <c r="B155" s="351">
        <f>D155+F155+H155</f>
        <v>0</v>
      </c>
      <c r="C155" s="351">
        <f>E155+G155+I155</f>
        <v>0</v>
      </c>
      <c r="D155" s="350">
        <v>0</v>
      </c>
      <c r="E155" s="351">
        <f>'MMMH dologi'!E131</f>
        <v>0</v>
      </c>
      <c r="F155" s="350">
        <v>0</v>
      </c>
      <c r="G155" s="351">
        <f>'MMMH dologi'!F131</f>
        <v>0</v>
      </c>
      <c r="H155" s="350">
        <v>0</v>
      </c>
      <c r="I155" s="351">
        <f>'MMMH dologi'!G131</f>
        <v>0</v>
      </c>
    </row>
    <row r="156" spans="1:9" ht="14.1" customHeight="1">
      <c r="A156" s="336" t="s">
        <v>719</v>
      </c>
      <c r="B156" s="339">
        <f t="shared" ref="B156:I156" si="43">B129+B136+B153</f>
        <v>2490000</v>
      </c>
      <c r="C156" s="339">
        <f t="shared" si="43"/>
        <v>0</v>
      </c>
      <c r="D156" s="339">
        <f t="shared" si="43"/>
        <v>550000</v>
      </c>
      <c r="E156" s="339">
        <f t="shared" si="43"/>
        <v>0</v>
      </c>
      <c r="F156" s="339">
        <f t="shared" si="43"/>
        <v>1940000</v>
      </c>
      <c r="G156" s="339">
        <f t="shared" si="43"/>
        <v>0</v>
      </c>
      <c r="H156" s="339">
        <f t="shared" si="43"/>
        <v>0</v>
      </c>
      <c r="I156" s="339">
        <f t="shared" si="43"/>
        <v>0</v>
      </c>
    </row>
    <row r="157" spans="1:9" ht="14.1" customHeight="1">
      <c r="A157" s="323" t="s">
        <v>237</v>
      </c>
      <c r="B157" s="326">
        <f t="shared" ref="B157:I157" si="44">B158+B159+B162+B163+B164+B165</f>
        <v>1010000</v>
      </c>
      <c r="C157" s="326">
        <f t="shared" si="44"/>
        <v>0</v>
      </c>
      <c r="D157" s="326">
        <f t="shared" si="44"/>
        <v>170000</v>
      </c>
      <c r="E157" s="326">
        <f t="shared" si="44"/>
        <v>0</v>
      </c>
      <c r="F157" s="326">
        <f t="shared" si="44"/>
        <v>840000</v>
      </c>
      <c r="G157" s="326">
        <f t="shared" si="44"/>
        <v>0</v>
      </c>
      <c r="H157" s="326">
        <f t="shared" si="44"/>
        <v>0</v>
      </c>
      <c r="I157" s="326">
        <f t="shared" si="44"/>
        <v>0</v>
      </c>
    </row>
    <row r="158" spans="1:9" ht="14.1" customHeight="1">
      <c r="A158" s="349" t="s">
        <v>916</v>
      </c>
      <c r="B158" s="351">
        <f>D158+F158+H158</f>
        <v>0</v>
      </c>
      <c r="C158" s="351">
        <f>E158+G158+I158</f>
        <v>0</v>
      </c>
      <c r="D158" s="350">
        <v>0</v>
      </c>
      <c r="E158" s="351">
        <f>'MMMH dologi'!E135</f>
        <v>0</v>
      </c>
      <c r="F158" s="350">
        <v>0</v>
      </c>
      <c r="G158" s="351">
        <f>'MMMH dologi'!F135</f>
        <v>0</v>
      </c>
      <c r="H158" s="350">
        <v>0</v>
      </c>
      <c r="I158" s="351">
        <f>'MMMH dologi'!G135</f>
        <v>0</v>
      </c>
    </row>
    <row r="159" spans="1:9" ht="14.1" customHeight="1">
      <c r="A159" s="349" t="s">
        <v>723</v>
      </c>
      <c r="B159" s="351">
        <f t="shared" ref="B159:I159" si="45">SUM(B160:B161)</f>
        <v>720000</v>
      </c>
      <c r="C159" s="351">
        <f t="shared" si="45"/>
        <v>0</v>
      </c>
      <c r="D159" s="367">
        <f t="shared" si="45"/>
        <v>0</v>
      </c>
      <c r="E159" s="351">
        <f t="shared" si="45"/>
        <v>0</v>
      </c>
      <c r="F159" s="367">
        <f t="shared" si="45"/>
        <v>720000</v>
      </c>
      <c r="G159" s="351">
        <f t="shared" si="45"/>
        <v>0</v>
      </c>
      <c r="H159" s="367">
        <f t="shared" si="45"/>
        <v>0</v>
      </c>
      <c r="I159" s="351">
        <f t="shared" si="45"/>
        <v>0</v>
      </c>
    </row>
    <row r="160" spans="1:9" s="362" customFormat="1" ht="14.1" customHeight="1">
      <c r="A160" s="361" t="s">
        <v>1037</v>
      </c>
      <c r="B160" s="333">
        <f t="shared" ref="B160:C164" si="46">D160+F160+H160</f>
        <v>720000</v>
      </c>
      <c r="C160" s="333">
        <f t="shared" si="46"/>
        <v>0</v>
      </c>
      <c r="D160" s="332">
        <v>0</v>
      </c>
      <c r="E160" s="333">
        <f>'MMMH dologi'!E139</f>
        <v>0</v>
      </c>
      <c r="F160" s="332">
        <v>720000</v>
      </c>
      <c r="G160" s="333">
        <f>'MMMH dologi'!F139</f>
        <v>0</v>
      </c>
      <c r="H160" s="332">
        <v>0</v>
      </c>
      <c r="I160" s="333">
        <f>'MMMH dologi'!G139</f>
        <v>0</v>
      </c>
    </row>
    <row r="161" spans="1:9" s="362" customFormat="1" ht="14.1" customHeight="1">
      <c r="A161" s="361" t="s">
        <v>1038</v>
      </c>
      <c r="B161" s="333">
        <f t="shared" si="46"/>
        <v>0</v>
      </c>
      <c r="C161" s="333">
        <f t="shared" si="46"/>
        <v>0</v>
      </c>
      <c r="D161" s="332">
        <v>0</v>
      </c>
      <c r="E161" s="333">
        <f>'MMMH dologi'!E143</f>
        <v>0</v>
      </c>
      <c r="F161" s="332">
        <v>0</v>
      </c>
      <c r="G161" s="333">
        <f>'MMMH dologi'!F143</f>
        <v>0</v>
      </c>
      <c r="H161" s="332">
        <v>0</v>
      </c>
      <c r="I161" s="333">
        <f>'MMMH dologi'!G143</f>
        <v>0</v>
      </c>
    </row>
    <row r="162" spans="1:9" ht="14.1" customHeight="1">
      <c r="A162" s="349" t="s">
        <v>917</v>
      </c>
      <c r="B162" s="351">
        <f t="shared" si="46"/>
        <v>0</v>
      </c>
      <c r="C162" s="351">
        <f t="shared" si="46"/>
        <v>0</v>
      </c>
      <c r="D162" s="350">
        <v>0</v>
      </c>
      <c r="E162" s="351">
        <f>'MMMH dologi'!E147</f>
        <v>0</v>
      </c>
      <c r="F162" s="350">
        <v>0</v>
      </c>
      <c r="G162" s="351">
        <f>'MMMH dologi'!F147</f>
        <v>0</v>
      </c>
      <c r="H162" s="350">
        <v>0</v>
      </c>
      <c r="I162" s="351">
        <f>'MMMH dologi'!G147</f>
        <v>0</v>
      </c>
    </row>
    <row r="163" spans="1:9" ht="14.1" customHeight="1">
      <c r="A163" s="349" t="s">
        <v>728</v>
      </c>
      <c r="B163" s="351">
        <f t="shared" si="46"/>
        <v>0</v>
      </c>
      <c r="C163" s="351">
        <f t="shared" si="46"/>
        <v>0</v>
      </c>
      <c r="D163" s="350">
        <v>0</v>
      </c>
      <c r="E163" s="351">
        <f>'MMMH dologi'!E151</f>
        <v>0</v>
      </c>
      <c r="F163" s="350">
        <v>0</v>
      </c>
      <c r="G163" s="351">
        <f>'MMMH dologi'!F151</f>
        <v>0</v>
      </c>
      <c r="H163" s="350">
        <v>0</v>
      </c>
      <c r="I163" s="351">
        <f>'MMMH dologi'!G151</f>
        <v>0</v>
      </c>
    </row>
    <row r="164" spans="1:9" ht="14.1" customHeight="1">
      <c r="A164" s="349" t="s">
        <v>730</v>
      </c>
      <c r="B164" s="351">
        <f t="shared" si="46"/>
        <v>240000</v>
      </c>
      <c r="C164" s="351">
        <f t="shared" si="46"/>
        <v>0</v>
      </c>
      <c r="D164" s="350">
        <v>120000</v>
      </c>
      <c r="E164" s="351">
        <f>'MMMH dologi'!E155</f>
        <v>0</v>
      </c>
      <c r="F164" s="350">
        <v>120000</v>
      </c>
      <c r="G164" s="351">
        <f>'MMMH dologi'!F155</f>
        <v>0</v>
      </c>
      <c r="H164" s="350">
        <v>0</v>
      </c>
      <c r="I164" s="351">
        <f>'MMMH dologi'!G155</f>
        <v>0</v>
      </c>
    </row>
    <row r="165" spans="1:9" ht="14.1" customHeight="1">
      <c r="A165" s="349" t="s">
        <v>733</v>
      </c>
      <c r="B165" s="351">
        <f t="shared" ref="B165:I165" si="47">SUM(B166:B167)</f>
        <v>50000</v>
      </c>
      <c r="C165" s="351">
        <f t="shared" si="47"/>
        <v>0</v>
      </c>
      <c r="D165" s="350">
        <f t="shared" si="47"/>
        <v>50000</v>
      </c>
      <c r="E165" s="351">
        <f t="shared" si="47"/>
        <v>0</v>
      </c>
      <c r="F165" s="350">
        <f t="shared" si="47"/>
        <v>0</v>
      </c>
      <c r="G165" s="351">
        <f t="shared" si="47"/>
        <v>0</v>
      </c>
      <c r="H165" s="350">
        <f t="shared" si="47"/>
        <v>0</v>
      </c>
      <c r="I165" s="351">
        <f t="shared" si="47"/>
        <v>0</v>
      </c>
    </row>
    <row r="166" spans="1:9" s="362" customFormat="1" ht="14.1" customHeight="1">
      <c r="A166" s="361" t="s">
        <v>1039</v>
      </c>
      <c r="B166" s="333">
        <f>D166+F166+H166</f>
        <v>50000</v>
      </c>
      <c r="C166" s="333">
        <f>E166+G166+I166</f>
        <v>0</v>
      </c>
      <c r="D166" s="332">
        <v>50000</v>
      </c>
      <c r="E166" s="333">
        <f>'MMMH dologi'!E159</f>
        <v>0</v>
      </c>
      <c r="F166" s="332">
        <v>0</v>
      </c>
      <c r="G166" s="333">
        <f>'MMMH dologi'!F159</f>
        <v>0</v>
      </c>
      <c r="H166" s="332">
        <v>0</v>
      </c>
      <c r="I166" s="333">
        <f>'MMMH dologi'!G159</f>
        <v>0</v>
      </c>
    </row>
    <row r="167" spans="1:9" s="362" customFormat="1" ht="14.1" customHeight="1">
      <c r="A167" s="361" t="s">
        <v>1040</v>
      </c>
      <c r="B167" s="333">
        <f>D167+F167+H167</f>
        <v>0</v>
      </c>
      <c r="C167" s="333">
        <f>E167+G167+I167</f>
        <v>0</v>
      </c>
      <c r="D167" s="332">
        <v>0</v>
      </c>
      <c r="E167" s="333">
        <f>'MMMH dologi'!E163</f>
        <v>0</v>
      </c>
      <c r="F167" s="332">
        <v>0</v>
      </c>
      <c r="G167" s="333">
        <f>'MMMH dologi'!F163</f>
        <v>0</v>
      </c>
      <c r="H167" s="332">
        <v>0</v>
      </c>
      <c r="I167" s="333">
        <f>'MMMH dologi'!G163</f>
        <v>0</v>
      </c>
    </row>
    <row r="168" spans="1:9" ht="14.1" customHeight="1">
      <c r="A168" s="323" t="s">
        <v>918</v>
      </c>
      <c r="B168" s="326">
        <f t="shared" ref="B168:I168" si="48">B169+B174</f>
        <v>330000</v>
      </c>
      <c r="C168" s="326">
        <f t="shared" si="48"/>
        <v>0</v>
      </c>
      <c r="D168" s="326">
        <f t="shared" si="48"/>
        <v>165000</v>
      </c>
      <c r="E168" s="326">
        <f t="shared" si="48"/>
        <v>0</v>
      </c>
      <c r="F168" s="326">
        <f t="shared" si="48"/>
        <v>165000</v>
      </c>
      <c r="G168" s="326">
        <f t="shared" si="48"/>
        <v>0</v>
      </c>
      <c r="H168" s="326">
        <f t="shared" si="48"/>
        <v>0</v>
      </c>
      <c r="I168" s="326">
        <f t="shared" si="48"/>
        <v>0</v>
      </c>
    </row>
    <row r="169" spans="1:9" ht="14.1" customHeight="1">
      <c r="A169" s="349" t="s">
        <v>736</v>
      </c>
      <c r="B169" s="351">
        <f t="shared" ref="B169:I169" si="49">SUM(B170:B173)</f>
        <v>330000</v>
      </c>
      <c r="C169" s="351">
        <f t="shared" si="49"/>
        <v>0</v>
      </c>
      <c r="D169" s="350">
        <f t="shared" si="49"/>
        <v>165000</v>
      </c>
      <c r="E169" s="351">
        <f t="shared" si="49"/>
        <v>0</v>
      </c>
      <c r="F169" s="350">
        <f t="shared" si="49"/>
        <v>165000</v>
      </c>
      <c r="G169" s="351">
        <f t="shared" si="49"/>
        <v>0</v>
      </c>
      <c r="H169" s="350">
        <f t="shared" si="49"/>
        <v>0</v>
      </c>
      <c r="I169" s="351">
        <f t="shared" si="49"/>
        <v>0</v>
      </c>
    </row>
    <row r="170" spans="1:9" s="362" customFormat="1" ht="14.1" customHeight="1">
      <c r="A170" s="361" t="s">
        <v>1041</v>
      </c>
      <c r="B170" s="333">
        <f t="shared" ref="B170:C174" si="50">D170+F170+H170</f>
        <v>60000</v>
      </c>
      <c r="C170" s="333">
        <f t="shared" si="50"/>
        <v>0</v>
      </c>
      <c r="D170" s="332">
        <v>30000</v>
      </c>
      <c r="E170" s="333">
        <f>'MMMH dologi'!E167</f>
        <v>0</v>
      </c>
      <c r="F170" s="332">
        <v>30000</v>
      </c>
      <c r="G170" s="333">
        <f>'MMMH dologi'!F167</f>
        <v>0</v>
      </c>
      <c r="H170" s="332">
        <v>0</v>
      </c>
      <c r="I170" s="333">
        <f>'MMMH dologi'!G167</f>
        <v>0</v>
      </c>
    </row>
    <row r="171" spans="1:9" s="362" customFormat="1" ht="14.1" customHeight="1">
      <c r="A171" s="361" t="s">
        <v>1042</v>
      </c>
      <c r="B171" s="333">
        <f t="shared" si="50"/>
        <v>10000</v>
      </c>
      <c r="C171" s="333">
        <f t="shared" si="50"/>
        <v>0</v>
      </c>
      <c r="D171" s="332">
        <v>5000</v>
      </c>
      <c r="E171" s="333">
        <f>'MMMH dologi'!E171</f>
        <v>0</v>
      </c>
      <c r="F171" s="332">
        <v>5000</v>
      </c>
      <c r="G171" s="333">
        <f>'MMMH dologi'!F171</f>
        <v>0</v>
      </c>
      <c r="H171" s="332">
        <v>0</v>
      </c>
      <c r="I171" s="333">
        <f>'MMMH dologi'!G171</f>
        <v>0</v>
      </c>
    </row>
    <row r="172" spans="1:9" s="362" customFormat="1" ht="14.1" customHeight="1">
      <c r="A172" s="361" t="s">
        <v>1043</v>
      </c>
      <c r="B172" s="333">
        <f t="shared" si="50"/>
        <v>200000</v>
      </c>
      <c r="C172" s="333">
        <f t="shared" si="50"/>
        <v>0</v>
      </c>
      <c r="D172" s="332">
        <v>100000</v>
      </c>
      <c r="E172" s="333">
        <f>'MMMH dologi'!E175</f>
        <v>0</v>
      </c>
      <c r="F172" s="332">
        <v>100000</v>
      </c>
      <c r="G172" s="333">
        <f>'MMMH dologi'!F175</f>
        <v>0</v>
      </c>
      <c r="H172" s="332">
        <v>0</v>
      </c>
      <c r="I172" s="333">
        <f>'MMMH dologi'!G175</f>
        <v>0</v>
      </c>
    </row>
    <row r="173" spans="1:9" s="362" customFormat="1" ht="14.1" customHeight="1">
      <c r="A173" s="361" t="s">
        <v>1044</v>
      </c>
      <c r="B173" s="333">
        <f t="shared" si="50"/>
        <v>60000</v>
      </c>
      <c r="C173" s="333">
        <f t="shared" si="50"/>
        <v>0</v>
      </c>
      <c r="D173" s="332">
        <v>30000</v>
      </c>
      <c r="E173" s="333">
        <f>'MMMH dologi'!E179</f>
        <v>0</v>
      </c>
      <c r="F173" s="332">
        <v>30000</v>
      </c>
      <c r="G173" s="333">
        <f>'MMMH dologi'!F179</f>
        <v>0</v>
      </c>
      <c r="H173" s="332">
        <v>0</v>
      </c>
      <c r="I173" s="333">
        <f>'MMMH dologi'!G179</f>
        <v>0</v>
      </c>
    </row>
    <row r="174" spans="1:9" ht="14.1" customHeight="1">
      <c r="A174" s="349" t="s">
        <v>239</v>
      </c>
      <c r="B174" s="351">
        <f t="shared" si="50"/>
        <v>0</v>
      </c>
      <c r="C174" s="351">
        <f t="shared" si="50"/>
        <v>0</v>
      </c>
      <c r="D174" s="350">
        <v>0</v>
      </c>
      <c r="E174" s="351">
        <f>'MMMH dologi'!E183</f>
        <v>0</v>
      </c>
      <c r="F174" s="350">
        <v>0</v>
      </c>
      <c r="G174" s="351">
        <f>'MMMH dologi'!F183</f>
        <v>0</v>
      </c>
      <c r="H174" s="350">
        <v>0</v>
      </c>
      <c r="I174" s="351">
        <f>'MMMH dologi'!G183</f>
        <v>0</v>
      </c>
    </row>
    <row r="175" spans="1:9" ht="14.1" customHeight="1">
      <c r="A175" s="336" t="s">
        <v>741</v>
      </c>
      <c r="B175" s="339">
        <f t="shared" ref="B175:I175" si="51">B157+B168</f>
        <v>1340000</v>
      </c>
      <c r="C175" s="339">
        <f t="shared" si="51"/>
        <v>0</v>
      </c>
      <c r="D175" s="339">
        <f t="shared" si="51"/>
        <v>335000</v>
      </c>
      <c r="E175" s="339">
        <f t="shared" si="51"/>
        <v>0</v>
      </c>
      <c r="F175" s="339">
        <f t="shared" si="51"/>
        <v>1005000</v>
      </c>
      <c r="G175" s="339">
        <f t="shared" si="51"/>
        <v>0</v>
      </c>
      <c r="H175" s="339">
        <f t="shared" si="51"/>
        <v>0</v>
      </c>
      <c r="I175" s="339">
        <f t="shared" si="51"/>
        <v>0</v>
      </c>
    </row>
    <row r="176" spans="1:9" ht="14.1" customHeight="1">
      <c r="A176" s="323" t="s">
        <v>753</v>
      </c>
      <c r="B176" s="326">
        <f t="shared" ref="B176:I176" si="52">SUM(B177:B180)</f>
        <v>19520000</v>
      </c>
      <c r="C176" s="326">
        <f t="shared" si="52"/>
        <v>0</v>
      </c>
      <c r="D176" s="326">
        <f t="shared" si="52"/>
        <v>0</v>
      </c>
      <c r="E176" s="326">
        <f t="shared" si="52"/>
        <v>0</v>
      </c>
      <c r="F176" s="326">
        <f t="shared" si="52"/>
        <v>19520000</v>
      </c>
      <c r="G176" s="326">
        <f t="shared" si="52"/>
        <v>0</v>
      </c>
      <c r="H176" s="326">
        <f t="shared" si="52"/>
        <v>0</v>
      </c>
      <c r="I176" s="326">
        <f t="shared" si="52"/>
        <v>0</v>
      </c>
    </row>
    <row r="177" spans="1:9" ht="14.1" customHeight="1">
      <c r="A177" s="349" t="s">
        <v>920</v>
      </c>
      <c r="B177" s="351">
        <f t="shared" ref="B177:C181" si="53">D177+F177+H177</f>
        <v>11000000</v>
      </c>
      <c r="C177" s="351">
        <f t="shared" si="53"/>
        <v>0</v>
      </c>
      <c r="D177" s="350">
        <v>0</v>
      </c>
      <c r="E177" s="351">
        <f>'MMMH dologi'!E187</f>
        <v>0</v>
      </c>
      <c r="F177" s="350">
        <v>11000000</v>
      </c>
      <c r="G177" s="351">
        <f>'MMMH dologi'!F187</f>
        <v>0</v>
      </c>
      <c r="H177" s="350">
        <v>0</v>
      </c>
      <c r="I177" s="351">
        <f>'MMMH dologi'!G187</f>
        <v>0</v>
      </c>
    </row>
    <row r="178" spans="1:9" ht="14.1" customHeight="1">
      <c r="A178" s="349" t="s">
        <v>921</v>
      </c>
      <c r="B178" s="351">
        <f t="shared" si="53"/>
        <v>8000000</v>
      </c>
      <c r="C178" s="351">
        <f t="shared" si="53"/>
        <v>0</v>
      </c>
      <c r="D178" s="350">
        <v>0</v>
      </c>
      <c r="E178" s="351">
        <f>'MMMH dologi'!E191</f>
        <v>0</v>
      </c>
      <c r="F178" s="350">
        <v>8000000</v>
      </c>
      <c r="G178" s="351">
        <f>'MMMH dologi'!F191</f>
        <v>0</v>
      </c>
      <c r="H178" s="350">
        <v>0</v>
      </c>
      <c r="I178" s="351">
        <f>'MMMH dologi'!G191</f>
        <v>0</v>
      </c>
    </row>
    <row r="179" spans="1:9" ht="14.1" customHeight="1">
      <c r="A179" s="349" t="s">
        <v>922</v>
      </c>
      <c r="B179" s="351">
        <f t="shared" si="53"/>
        <v>0</v>
      </c>
      <c r="C179" s="351">
        <f t="shared" si="53"/>
        <v>0</v>
      </c>
      <c r="D179" s="350">
        <v>0</v>
      </c>
      <c r="E179" s="351">
        <f>'MMMH dologi'!E195</f>
        <v>0</v>
      </c>
      <c r="F179" s="350">
        <v>0</v>
      </c>
      <c r="G179" s="351">
        <f>'MMMH dologi'!F195</f>
        <v>0</v>
      </c>
      <c r="H179" s="350">
        <v>0</v>
      </c>
      <c r="I179" s="351">
        <f>'MMMH dologi'!G195</f>
        <v>0</v>
      </c>
    </row>
    <row r="180" spans="1:9" ht="14.1" customHeight="1">
      <c r="A180" s="349" t="s">
        <v>923</v>
      </c>
      <c r="B180" s="351">
        <f t="shared" si="53"/>
        <v>520000</v>
      </c>
      <c r="C180" s="351">
        <f t="shared" si="53"/>
        <v>0</v>
      </c>
      <c r="D180" s="350">
        <v>0</v>
      </c>
      <c r="E180" s="351">
        <f>'MMMH dologi'!E199</f>
        <v>0</v>
      </c>
      <c r="F180" s="350">
        <v>520000</v>
      </c>
      <c r="G180" s="351">
        <f>'MMMH dologi'!F199</f>
        <v>0</v>
      </c>
      <c r="H180" s="350">
        <v>0</v>
      </c>
      <c r="I180" s="351">
        <f>'MMMH dologi'!G199</f>
        <v>0</v>
      </c>
    </row>
    <row r="181" spans="1:9" ht="14.1" customHeight="1">
      <c r="A181" s="323" t="s">
        <v>245</v>
      </c>
      <c r="B181" s="326">
        <f t="shared" si="53"/>
        <v>0</v>
      </c>
      <c r="C181" s="326">
        <f t="shared" si="53"/>
        <v>0</v>
      </c>
      <c r="D181" s="326">
        <v>0</v>
      </c>
      <c r="E181" s="326">
        <f>'MMMH dologi'!E203</f>
        <v>0</v>
      </c>
      <c r="F181" s="326">
        <v>0</v>
      </c>
      <c r="G181" s="326">
        <f>'MMMH dologi'!F203</f>
        <v>0</v>
      </c>
      <c r="H181" s="326">
        <v>0</v>
      </c>
      <c r="I181" s="326">
        <f>'MMMH dologi'!G203</f>
        <v>0</v>
      </c>
    </row>
    <row r="182" spans="1:9" ht="14.1" customHeight="1">
      <c r="A182" s="323" t="s">
        <v>925</v>
      </c>
      <c r="B182" s="326">
        <f t="shared" ref="B182:I182" si="54">SUM(B183:B184)</f>
        <v>50000</v>
      </c>
      <c r="C182" s="326">
        <f t="shared" si="54"/>
        <v>0</v>
      </c>
      <c r="D182" s="326">
        <f t="shared" si="54"/>
        <v>50000</v>
      </c>
      <c r="E182" s="326">
        <f t="shared" si="54"/>
        <v>0</v>
      </c>
      <c r="F182" s="326">
        <f t="shared" si="54"/>
        <v>0</v>
      </c>
      <c r="G182" s="326">
        <f t="shared" si="54"/>
        <v>0</v>
      </c>
      <c r="H182" s="326">
        <f t="shared" si="54"/>
        <v>0</v>
      </c>
      <c r="I182" s="326">
        <f t="shared" si="54"/>
        <v>0</v>
      </c>
    </row>
    <row r="183" spans="1:9" ht="14.1" customHeight="1">
      <c r="A183" s="349" t="s">
        <v>926</v>
      </c>
      <c r="B183" s="351">
        <f>D183+F183+H183</f>
        <v>0</v>
      </c>
      <c r="C183" s="351">
        <f>E183+G183+I183</f>
        <v>0</v>
      </c>
      <c r="D183" s="350">
        <v>0</v>
      </c>
      <c r="E183" s="351">
        <f>'MMMH dologi'!E207</f>
        <v>0</v>
      </c>
      <c r="F183" s="350">
        <v>0</v>
      </c>
      <c r="G183" s="351">
        <f>'MMMH dologi'!F207</f>
        <v>0</v>
      </c>
      <c r="H183" s="350">
        <v>0</v>
      </c>
      <c r="I183" s="351">
        <f>'MMMH dologi'!G207</f>
        <v>0</v>
      </c>
    </row>
    <row r="184" spans="1:9" ht="14.1" customHeight="1">
      <c r="A184" s="349" t="s">
        <v>758</v>
      </c>
      <c r="B184" s="351">
        <f t="shared" ref="B184:I184" si="55">SUM(B185:B188)</f>
        <v>50000</v>
      </c>
      <c r="C184" s="351">
        <f t="shared" si="55"/>
        <v>0</v>
      </c>
      <c r="D184" s="350">
        <f t="shared" si="55"/>
        <v>50000</v>
      </c>
      <c r="E184" s="351">
        <f t="shared" si="55"/>
        <v>0</v>
      </c>
      <c r="F184" s="350">
        <f t="shared" si="55"/>
        <v>0</v>
      </c>
      <c r="G184" s="351">
        <f t="shared" si="55"/>
        <v>0</v>
      </c>
      <c r="H184" s="350">
        <f t="shared" si="55"/>
        <v>0</v>
      </c>
      <c r="I184" s="351">
        <f t="shared" si="55"/>
        <v>0</v>
      </c>
    </row>
    <row r="185" spans="1:9" s="362" customFormat="1" ht="14.1" customHeight="1">
      <c r="A185" s="361" t="s">
        <v>1045</v>
      </c>
      <c r="B185" s="333">
        <f t="shared" ref="B185:C188" si="56">D185+F185+H185</f>
        <v>0</v>
      </c>
      <c r="C185" s="333">
        <f t="shared" si="56"/>
        <v>0</v>
      </c>
      <c r="D185" s="332">
        <v>0</v>
      </c>
      <c r="E185" s="333">
        <f>'MMMH dologi'!E211</f>
        <v>0</v>
      </c>
      <c r="F185" s="332">
        <v>0</v>
      </c>
      <c r="G185" s="333">
        <f>'MMMH dologi'!F211</f>
        <v>0</v>
      </c>
      <c r="H185" s="332">
        <v>0</v>
      </c>
      <c r="I185" s="333">
        <f>'MMMH dologi'!G211</f>
        <v>0</v>
      </c>
    </row>
    <row r="186" spans="1:9" s="362" customFormat="1" ht="14.1" customHeight="1">
      <c r="A186" s="361" t="s">
        <v>1046</v>
      </c>
      <c r="B186" s="333">
        <f t="shared" si="56"/>
        <v>0</v>
      </c>
      <c r="C186" s="333">
        <f t="shared" si="56"/>
        <v>0</v>
      </c>
      <c r="D186" s="332">
        <v>0</v>
      </c>
      <c r="E186" s="333">
        <f>'MMMH dologi'!E215</f>
        <v>0</v>
      </c>
      <c r="F186" s="332">
        <v>0</v>
      </c>
      <c r="G186" s="333">
        <f>'MMMH dologi'!F215</f>
        <v>0</v>
      </c>
      <c r="H186" s="332">
        <v>0</v>
      </c>
      <c r="I186" s="333">
        <f>'MMMH dologi'!G215</f>
        <v>0</v>
      </c>
    </row>
    <row r="187" spans="1:9" s="362" customFormat="1" ht="14.1" customHeight="1">
      <c r="A187" s="361" t="s">
        <v>1047</v>
      </c>
      <c r="B187" s="333">
        <f t="shared" si="56"/>
        <v>0</v>
      </c>
      <c r="C187" s="333">
        <f t="shared" si="56"/>
        <v>0</v>
      </c>
      <c r="D187" s="332">
        <v>0</v>
      </c>
      <c r="E187" s="333">
        <f>'MMMH dologi'!E219</f>
        <v>0</v>
      </c>
      <c r="F187" s="332">
        <v>0</v>
      </c>
      <c r="G187" s="333">
        <f>'MMMH dologi'!F219</f>
        <v>0</v>
      </c>
      <c r="H187" s="332">
        <v>0</v>
      </c>
      <c r="I187" s="333">
        <f>'MMMH dologi'!G219</f>
        <v>0</v>
      </c>
    </row>
    <row r="188" spans="1:9" s="362" customFormat="1" ht="14.1" customHeight="1">
      <c r="A188" s="361" t="s">
        <v>1048</v>
      </c>
      <c r="B188" s="333">
        <f t="shared" si="56"/>
        <v>50000</v>
      </c>
      <c r="C188" s="333">
        <f t="shared" si="56"/>
        <v>0</v>
      </c>
      <c r="D188" s="332">
        <v>50000</v>
      </c>
      <c r="E188" s="333">
        <f>'MMMH dologi'!E223</f>
        <v>0</v>
      </c>
      <c r="F188" s="332">
        <v>0</v>
      </c>
      <c r="G188" s="333">
        <f>'MMMH dologi'!F223</f>
        <v>0</v>
      </c>
      <c r="H188" s="332">
        <v>0</v>
      </c>
      <c r="I188" s="333">
        <f>'MMMH dologi'!G223</f>
        <v>0</v>
      </c>
    </row>
    <row r="189" spans="1:9" ht="14.1" customHeight="1">
      <c r="A189" s="323" t="s">
        <v>249</v>
      </c>
      <c r="B189" s="326">
        <f t="shared" ref="B189:I189" si="57">SUM(B190:B207)</f>
        <v>9843811.9160000011</v>
      </c>
      <c r="C189" s="326">
        <f t="shared" si="57"/>
        <v>0</v>
      </c>
      <c r="D189" s="326">
        <f t="shared" si="57"/>
        <v>0</v>
      </c>
      <c r="E189" s="326">
        <f t="shared" si="57"/>
        <v>0</v>
      </c>
      <c r="F189" s="326">
        <f t="shared" si="57"/>
        <v>9843811.9160000011</v>
      </c>
      <c r="G189" s="326">
        <f t="shared" si="57"/>
        <v>0</v>
      </c>
      <c r="H189" s="326">
        <f t="shared" si="57"/>
        <v>0</v>
      </c>
      <c r="I189" s="326">
        <f t="shared" si="57"/>
        <v>0</v>
      </c>
    </row>
    <row r="190" spans="1:9" s="365" customFormat="1" ht="14.1" customHeight="1">
      <c r="A190" s="363" t="s">
        <v>1049</v>
      </c>
      <c r="B190" s="333">
        <f t="shared" ref="B190:C207" si="58">D190+F190+H190</f>
        <v>900000</v>
      </c>
      <c r="C190" s="333">
        <f t="shared" si="58"/>
        <v>0</v>
      </c>
      <c r="D190" s="364">
        <v>0</v>
      </c>
      <c r="E190" s="333">
        <f>'MMMH dologi'!E227</f>
        <v>0</v>
      </c>
      <c r="F190" s="364">
        <v>900000</v>
      </c>
      <c r="G190" s="333">
        <f>'MMMH dologi'!F227</f>
        <v>0</v>
      </c>
      <c r="H190" s="364">
        <v>0</v>
      </c>
      <c r="I190" s="333">
        <f>'MMMH dologi'!G227</f>
        <v>0</v>
      </c>
    </row>
    <row r="191" spans="1:9" s="365" customFormat="1" ht="14.1" customHeight="1">
      <c r="A191" s="363" t="s">
        <v>1050</v>
      </c>
      <c r="B191" s="333">
        <f t="shared" si="58"/>
        <v>6523200</v>
      </c>
      <c r="C191" s="333">
        <f t="shared" si="58"/>
        <v>0</v>
      </c>
      <c r="D191" s="364">
        <v>0</v>
      </c>
      <c r="E191" s="333">
        <f>'MMMH dologi'!E231</f>
        <v>0</v>
      </c>
      <c r="F191" s="364">
        <f>543600*12</f>
        <v>6523200</v>
      </c>
      <c r="G191" s="333">
        <f>'MMMH dologi'!F231</f>
        <v>0</v>
      </c>
      <c r="H191" s="364">
        <v>0</v>
      </c>
      <c r="I191" s="333">
        <f>'MMMH dologi'!G231</f>
        <v>0</v>
      </c>
    </row>
    <row r="192" spans="1:9" s="365" customFormat="1" ht="14.1" customHeight="1">
      <c r="A192" s="363" t="s">
        <v>1051</v>
      </c>
      <c r="B192" s="333">
        <f t="shared" si="58"/>
        <v>140000</v>
      </c>
      <c r="C192" s="333">
        <f t="shared" si="58"/>
        <v>0</v>
      </c>
      <c r="D192" s="364">
        <v>0</v>
      </c>
      <c r="E192" s="333">
        <f>'MMMH dologi'!E235</f>
        <v>0</v>
      </c>
      <c r="F192" s="364">
        <f>35000*4</f>
        <v>140000</v>
      </c>
      <c r="G192" s="333">
        <f>'MMMH dologi'!F235</f>
        <v>0</v>
      </c>
      <c r="H192" s="364">
        <v>0</v>
      </c>
      <c r="I192" s="333">
        <f>'MMMH dologi'!G235</f>
        <v>0</v>
      </c>
    </row>
    <row r="193" spans="1:9" s="365" customFormat="1" ht="14.1" customHeight="1">
      <c r="A193" s="363" t="s">
        <v>1052</v>
      </c>
      <c r="B193" s="333">
        <f t="shared" si="58"/>
        <v>0</v>
      </c>
      <c r="C193" s="333">
        <f t="shared" si="58"/>
        <v>0</v>
      </c>
      <c r="D193" s="364">
        <v>0</v>
      </c>
      <c r="E193" s="333">
        <f>'MMMH dologi'!E239</f>
        <v>0</v>
      </c>
      <c r="F193" s="364">
        <v>0</v>
      </c>
      <c r="G193" s="333">
        <f>'MMMH dologi'!F239</f>
        <v>0</v>
      </c>
      <c r="H193" s="364">
        <v>0</v>
      </c>
      <c r="I193" s="333">
        <f>'MMMH dologi'!G239</f>
        <v>0</v>
      </c>
    </row>
    <row r="194" spans="1:9" s="365" customFormat="1" ht="14.1" customHeight="1">
      <c r="A194" s="363" t="s">
        <v>1053</v>
      </c>
      <c r="B194" s="333">
        <f t="shared" si="58"/>
        <v>150000</v>
      </c>
      <c r="C194" s="333">
        <f t="shared" si="58"/>
        <v>0</v>
      </c>
      <c r="D194" s="364">
        <v>0</v>
      </c>
      <c r="E194" s="333">
        <f>'MMMH dologi'!E243</f>
        <v>0</v>
      </c>
      <c r="F194" s="364">
        <v>150000</v>
      </c>
      <c r="G194" s="333">
        <f>'MMMH dologi'!F243</f>
        <v>0</v>
      </c>
      <c r="H194" s="364">
        <v>0</v>
      </c>
      <c r="I194" s="333">
        <f>'MMMH dologi'!G243</f>
        <v>0</v>
      </c>
    </row>
    <row r="195" spans="1:9" s="365" customFormat="1" ht="14.1" customHeight="1">
      <c r="A195" s="363" t="s">
        <v>1054</v>
      </c>
      <c r="B195" s="333">
        <f t="shared" si="58"/>
        <v>200000</v>
      </c>
      <c r="C195" s="333">
        <f t="shared" si="58"/>
        <v>0</v>
      </c>
      <c r="D195" s="364">
        <v>0</v>
      </c>
      <c r="E195" s="333">
        <f>'MMMH dologi'!E247</f>
        <v>0</v>
      </c>
      <c r="F195" s="364">
        <v>200000</v>
      </c>
      <c r="G195" s="333">
        <f>'MMMH dologi'!F247</f>
        <v>0</v>
      </c>
      <c r="H195" s="364">
        <v>0</v>
      </c>
      <c r="I195" s="333">
        <f>'MMMH dologi'!G247</f>
        <v>0</v>
      </c>
    </row>
    <row r="196" spans="1:9" s="365" customFormat="1" ht="14.1" customHeight="1">
      <c r="A196" s="363" t="s">
        <v>1055</v>
      </c>
      <c r="B196" s="333">
        <f t="shared" si="58"/>
        <v>0</v>
      </c>
      <c r="C196" s="333">
        <f t="shared" si="58"/>
        <v>0</v>
      </c>
      <c r="D196" s="364">
        <v>0</v>
      </c>
      <c r="E196" s="333">
        <f>'MMMH dologi'!E251</f>
        <v>0</v>
      </c>
      <c r="F196" s="364">
        <v>0</v>
      </c>
      <c r="G196" s="333">
        <f>'MMMH dologi'!F251</f>
        <v>0</v>
      </c>
      <c r="H196" s="364">
        <v>0</v>
      </c>
      <c r="I196" s="333">
        <f>'MMMH dologi'!G251</f>
        <v>0</v>
      </c>
    </row>
    <row r="197" spans="1:9" s="365" customFormat="1" ht="14.1" customHeight="1">
      <c r="A197" s="363" t="s">
        <v>1056</v>
      </c>
      <c r="B197" s="333">
        <f t="shared" si="58"/>
        <v>0</v>
      </c>
      <c r="C197" s="333">
        <f t="shared" si="58"/>
        <v>0</v>
      </c>
      <c r="D197" s="364">
        <v>0</v>
      </c>
      <c r="E197" s="333">
        <f>'MMMH dologi'!E255</f>
        <v>0</v>
      </c>
      <c r="F197" s="364">
        <v>0</v>
      </c>
      <c r="G197" s="333">
        <f>'MMMH dologi'!F255</f>
        <v>0</v>
      </c>
      <c r="H197" s="364">
        <v>0</v>
      </c>
      <c r="I197" s="333">
        <f>'MMMH dologi'!G255</f>
        <v>0</v>
      </c>
    </row>
    <row r="198" spans="1:9" s="365" customFormat="1" ht="14.1" customHeight="1">
      <c r="A198" s="363" t="s">
        <v>1057</v>
      </c>
      <c r="B198" s="333">
        <f t="shared" si="58"/>
        <v>80000</v>
      </c>
      <c r="C198" s="333">
        <f t="shared" si="58"/>
        <v>0</v>
      </c>
      <c r="D198" s="364">
        <v>0</v>
      </c>
      <c r="E198" s="333">
        <f>'MMMH dologi'!E259</f>
        <v>0</v>
      </c>
      <c r="F198" s="364">
        <v>80000</v>
      </c>
      <c r="G198" s="333">
        <f>'MMMH dologi'!F259</f>
        <v>0</v>
      </c>
      <c r="H198" s="364">
        <v>0</v>
      </c>
      <c r="I198" s="333">
        <f>'MMMH dologi'!G259</f>
        <v>0</v>
      </c>
    </row>
    <row r="199" spans="1:9" s="365" customFormat="1" ht="14.1" customHeight="1">
      <c r="A199" s="363" t="s">
        <v>1058</v>
      </c>
      <c r="B199" s="333">
        <f t="shared" si="58"/>
        <v>200000</v>
      </c>
      <c r="C199" s="333">
        <f t="shared" si="58"/>
        <v>0</v>
      </c>
      <c r="D199" s="364">
        <v>0</v>
      </c>
      <c r="E199" s="333">
        <f>'MMMH dologi'!E263</f>
        <v>0</v>
      </c>
      <c r="F199" s="364">
        <v>200000</v>
      </c>
      <c r="G199" s="333">
        <f>'MMMH dologi'!F263</f>
        <v>0</v>
      </c>
      <c r="H199" s="364">
        <v>0</v>
      </c>
      <c r="I199" s="333">
        <f>'MMMH dologi'!G263</f>
        <v>0</v>
      </c>
    </row>
    <row r="200" spans="1:9" s="365" customFormat="1" ht="14.1" customHeight="1">
      <c r="A200" s="363" t="s">
        <v>1059</v>
      </c>
      <c r="B200" s="333">
        <f t="shared" si="58"/>
        <v>150000</v>
      </c>
      <c r="C200" s="333">
        <f t="shared" si="58"/>
        <v>0</v>
      </c>
      <c r="D200" s="364">
        <v>0</v>
      </c>
      <c r="E200" s="333">
        <f>'MMMH dologi'!E267</f>
        <v>0</v>
      </c>
      <c r="F200" s="364">
        <v>150000</v>
      </c>
      <c r="G200" s="333">
        <f>'MMMH dologi'!F267</f>
        <v>0</v>
      </c>
      <c r="H200" s="364">
        <v>0</v>
      </c>
      <c r="I200" s="333">
        <f>'MMMH dologi'!G267</f>
        <v>0</v>
      </c>
    </row>
    <row r="201" spans="1:9" s="365" customFormat="1" ht="14.1" customHeight="1">
      <c r="A201" s="363" t="s">
        <v>1060</v>
      </c>
      <c r="B201" s="333">
        <f t="shared" si="58"/>
        <v>200000</v>
      </c>
      <c r="C201" s="333">
        <f t="shared" si="58"/>
        <v>0</v>
      </c>
      <c r="D201" s="364">
        <v>0</v>
      </c>
      <c r="E201" s="333">
        <f>'MMMH dologi'!E271</f>
        <v>0</v>
      </c>
      <c r="F201" s="364">
        <v>200000</v>
      </c>
      <c r="G201" s="333">
        <f>'MMMH dologi'!F271</f>
        <v>0</v>
      </c>
      <c r="H201" s="364">
        <v>0</v>
      </c>
      <c r="I201" s="333">
        <f>'MMMH dologi'!G271</f>
        <v>0</v>
      </c>
    </row>
    <row r="202" spans="1:9" s="365" customFormat="1" ht="14.1" customHeight="1">
      <c r="A202" s="363" t="s">
        <v>1061</v>
      </c>
      <c r="B202" s="333">
        <f t="shared" si="58"/>
        <v>523395.51599999995</v>
      </c>
      <c r="C202" s="333">
        <f t="shared" si="58"/>
        <v>0</v>
      </c>
      <c r="D202" s="364">
        <v>0</v>
      </c>
      <c r="E202" s="333">
        <f>'MMMH dologi'!E275</f>
        <v>0</v>
      </c>
      <c r="F202" s="368">
        <f>40429*1.017*12+6000*5</f>
        <v>523395.51599999995</v>
      </c>
      <c r="G202" s="333">
        <f>'MMMH dologi'!F275</f>
        <v>0</v>
      </c>
      <c r="H202" s="364">
        <v>0</v>
      </c>
      <c r="I202" s="333">
        <f>'MMMH dologi'!G275</f>
        <v>0</v>
      </c>
    </row>
    <row r="203" spans="1:9" s="365" customFormat="1" ht="14.1" customHeight="1">
      <c r="A203" s="363" t="s">
        <v>1062</v>
      </c>
      <c r="B203" s="333">
        <f t="shared" si="58"/>
        <v>298284.89999999997</v>
      </c>
      <c r="C203" s="333">
        <f t="shared" si="58"/>
        <v>0</v>
      </c>
      <c r="D203" s="364">
        <v>0</v>
      </c>
      <c r="E203" s="333">
        <f>'MMMH dologi'!E279</f>
        <v>0</v>
      </c>
      <c r="F203" s="368">
        <f>22475*1.017*12+6000*4</f>
        <v>298284.89999999997</v>
      </c>
      <c r="G203" s="333">
        <f>'MMMH dologi'!F279</f>
        <v>0</v>
      </c>
      <c r="H203" s="364">
        <v>0</v>
      </c>
      <c r="I203" s="333">
        <f>'MMMH dologi'!G279</f>
        <v>0</v>
      </c>
    </row>
    <row r="204" spans="1:9" s="365" customFormat="1" ht="14.1" customHeight="1">
      <c r="A204" s="363" t="s">
        <v>1063</v>
      </c>
      <c r="B204" s="333">
        <f t="shared" si="58"/>
        <v>348931.49999999994</v>
      </c>
      <c r="C204" s="333">
        <f t="shared" si="58"/>
        <v>0</v>
      </c>
      <c r="D204" s="364">
        <v>0</v>
      </c>
      <c r="E204" s="333">
        <f>'MMMH dologi'!E283</f>
        <v>0</v>
      </c>
      <c r="F204" s="368">
        <f>26625*1.017*12+6000*4</f>
        <v>348931.49999999994</v>
      </c>
      <c r="G204" s="333">
        <f>'MMMH dologi'!F283</f>
        <v>0</v>
      </c>
      <c r="H204" s="364">
        <v>0</v>
      </c>
      <c r="I204" s="333">
        <f>'MMMH dologi'!G283</f>
        <v>0</v>
      </c>
    </row>
    <row r="205" spans="1:9" s="365" customFormat="1" ht="14.1" customHeight="1">
      <c r="A205" s="363" t="s">
        <v>1064</v>
      </c>
      <c r="B205" s="333">
        <f t="shared" si="58"/>
        <v>30000</v>
      </c>
      <c r="C205" s="333">
        <f t="shared" si="58"/>
        <v>0</v>
      </c>
      <c r="D205" s="364">
        <v>0</v>
      </c>
      <c r="E205" s="333">
        <f>'MMMH dologi'!E287</f>
        <v>0</v>
      </c>
      <c r="F205" s="364">
        <v>30000</v>
      </c>
      <c r="G205" s="333">
        <f>'MMMH dologi'!F287</f>
        <v>0</v>
      </c>
      <c r="H205" s="364">
        <v>0</v>
      </c>
      <c r="I205" s="333">
        <f>'MMMH dologi'!G287</f>
        <v>0</v>
      </c>
    </row>
    <row r="206" spans="1:9" s="365" customFormat="1" ht="14.1" customHeight="1">
      <c r="A206" s="363" t="s">
        <v>1065</v>
      </c>
      <c r="B206" s="333">
        <f t="shared" si="58"/>
        <v>100000</v>
      </c>
      <c r="C206" s="333">
        <f t="shared" si="58"/>
        <v>0</v>
      </c>
      <c r="D206" s="364">
        <v>0</v>
      </c>
      <c r="E206" s="333">
        <f>'MMMH dologi'!E291</f>
        <v>0</v>
      </c>
      <c r="F206" s="364">
        <v>100000</v>
      </c>
      <c r="G206" s="333">
        <f>'MMMH dologi'!F291</f>
        <v>0</v>
      </c>
      <c r="H206" s="364">
        <v>0</v>
      </c>
      <c r="I206" s="333">
        <f>'MMMH dologi'!G291</f>
        <v>0</v>
      </c>
    </row>
    <row r="207" spans="1:9" s="365" customFormat="1" ht="14.1" customHeight="1">
      <c r="A207" s="363" t="s">
        <v>1066</v>
      </c>
      <c r="B207" s="333">
        <f t="shared" si="58"/>
        <v>0</v>
      </c>
      <c r="C207" s="333">
        <f t="shared" si="58"/>
        <v>0</v>
      </c>
      <c r="D207" s="364">
        <v>0</v>
      </c>
      <c r="E207" s="333"/>
      <c r="F207" s="364">
        <v>0</v>
      </c>
      <c r="G207" s="333"/>
      <c r="H207" s="364">
        <v>0</v>
      </c>
      <c r="I207" s="333"/>
    </row>
    <row r="208" spans="1:9" ht="14.1" customHeight="1">
      <c r="A208" s="323" t="s">
        <v>767</v>
      </c>
      <c r="B208" s="326">
        <f t="shared" ref="B208:I208" si="59">B209+B212</f>
        <v>2720000</v>
      </c>
      <c r="C208" s="326">
        <f t="shared" si="59"/>
        <v>0</v>
      </c>
      <c r="D208" s="326">
        <f t="shared" si="59"/>
        <v>0</v>
      </c>
      <c r="E208" s="326">
        <f t="shared" si="59"/>
        <v>0</v>
      </c>
      <c r="F208" s="326">
        <f t="shared" si="59"/>
        <v>2720000</v>
      </c>
      <c r="G208" s="326">
        <f t="shared" si="59"/>
        <v>0</v>
      </c>
      <c r="H208" s="326">
        <f t="shared" si="59"/>
        <v>0</v>
      </c>
      <c r="I208" s="326">
        <f t="shared" si="59"/>
        <v>0</v>
      </c>
    </row>
    <row r="209" spans="1:9" s="360" customFormat="1" ht="14.1" customHeight="1">
      <c r="A209" s="358" t="s">
        <v>763</v>
      </c>
      <c r="B209" s="326">
        <f t="shared" ref="B209:I209" si="60">SUM(B210:B211)</f>
        <v>2120000</v>
      </c>
      <c r="C209" s="326">
        <f t="shared" si="60"/>
        <v>0</v>
      </c>
      <c r="D209" s="359">
        <f t="shared" si="60"/>
        <v>0</v>
      </c>
      <c r="E209" s="326">
        <f t="shared" si="60"/>
        <v>0</v>
      </c>
      <c r="F209" s="359">
        <f t="shared" si="60"/>
        <v>2120000</v>
      </c>
      <c r="G209" s="326">
        <f t="shared" si="60"/>
        <v>0</v>
      </c>
      <c r="H209" s="359">
        <f t="shared" si="60"/>
        <v>0</v>
      </c>
      <c r="I209" s="326">
        <f t="shared" si="60"/>
        <v>0</v>
      </c>
    </row>
    <row r="210" spans="1:9" s="362" customFormat="1" ht="14.1" customHeight="1">
      <c r="A210" s="361" t="s">
        <v>1067</v>
      </c>
      <c r="B210" s="333">
        <f>D210+F210+H210</f>
        <v>120000</v>
      </c>
      <c r="C210" s="333">
        <f>E210+G210+I210</f>
        <v>0</v>
      </c>
      <c r="D210" s="332"/>
      <c r="E210" s="333"/>
      <c r="F210" s="332">
        <v>120000</v>
      </c>
      <c r="G210" s="333"/>
      <c r="H210" s="332"/>
      <c r="I210" s="333"/>
    </row>
    <row r="211" spans="1:9" s="362" customFormat="1" ht="14.1" customHeight="1">
      <c r="A211" s="361" t="s">
        <v>1068</v>
      </c>
      <c r="B211" s="333">
        <f>D211+F211+H211</f>
        <v>2000000</v>
      </c>
      <c r="C211" s="333">
        <f>E211+G211+I211</f>
        <v>0</v>
      </c>
      <c r="D211" s="332"/>
      <c r="E211" s="333"/>
      <c r="F211" s="332">
        <v>2000000</v>
      </c>
      <c r="G211" s="333"/>
      <c r="H211" s="332"/>
      <c r="I211" s="333"/>
    </row>
    <row r="212" spans="1:9" s="360" customFormat="1" ht="14.1" customHeight="1">
      <c r="A212" s="358" t="s">
        <v>765</v>
      </c>
      <c r="B212" s="326">
        <f t="shared" ref="B212:I212" si="61">SUM(B213:B214)</f>
        <v>600000</v>
      </c>
      <c r="C212" s="326">
        <f t="shared" si="61"/>
        <v>0</v>
      </c>
      <c r="D212" s="359">
        <f t="shared" si="61"/>
        <v>0</v>
      </c>
      <c r="E212" s="326">
        <f t="shared" si="61"/>
        <v>0</v>
      </c>
      <c r="F212" s="359">
        <f t="shared" si="61"/>
        <v>600000</v>
      </c>
      <c r="G212" s="326">
        <f t="shared" si="61"/>
        <v>0</v>
      </c>
      <c r="H212" s="359">
        <f t="shared" si="61"/>
        <v>0</v>
      </c>
      <c r="I212" s="326">
        <f t="shared" si="61"/>
        <v>0</v>
      </c>
    </row>
    <row r="213" spans="1:9" s="362" customFormat="1" ht="14.1" customHeight="1">
      <c r="A213" s="361" t="s">
        <v>1069</v>
      </c>
      <c r="B213" s="333">
        <f>D213+F213+H213</f>
        <v>600000</v>
      </c>
      <c r="C213" s="333">
        <f>E213+G213+I213</f>
        <v>0</v>
      </c>
      <c r="D213" s="332"/>
      <c r="E213" s="333"/>
      <c r="F213" s="332">
        <v>600000</v>
      </c>
      <c r="G213" s="333"/>
      <c r="H213" s="332"/>
      <c r="I213" s="333"/>
    </row>
    <row r="214" spans="1:9" s="362" customFormat="1" ht="14.1" customHeight="1">
      <c r="A214" s="361" t="s">
        <v>1070</v>
      </c>
      <c r="B214" s="333">
        <f>D214+F214+H214</f>
        <v>0</v>
      </c>
      <c r="C214" s="333">
        <f>E214+G214+I214</f>
        <v>0</v>
      </c>
      <c r="D214" s="332"/>
      <c r="E214" s="333"/>
      <c r="F214" s="332"/>
      <c r="G214" s="333"/>
      <c r="H214" s="332"/>
      <c r="I214" s="333"/>
    </row>
    <row r="215" spans="1:9" ht="14.1" customHeight="1">
      <c r="A215" s="323" t="s">
        <v>253</v>
      </c>
      <c r="B215" s="326">
        <f t="shared" ref="B215:I215" si="62">B216+B219+B232</f>
        <v>19000000</v>
      </c>
      <c r="C215" s="326">
        <f t="shared" si="62"/>
        <v>0</v>
      </c>
      <c r="D215" s="326">
        <f t="shared" si="62"/>
        <v>15900000</v>
      </c>
      <c r="E215" s="326">
        <f t="shared" si="62"/>
        <v>0</v>
      </c>
      <c r="F215" s="326">
        <f t="shared" si="62"/>
        <v>0</v>
      </c>
      <c r="G215" s="326">
        <f t="shared" si="62"/>
        <v>0</v>
      </c>
      <c r="H215" s="326">
        <f t="shared" si="62"/>
        <v>3100000</v>
      </c>
      <c r="I215" s="326">
        <f t="shared" si="62"/>
        <v>0</v>
      </c>
    </row>
    <row r="216" spans="1:9" s="360" customFormat="1" ht="14.1" customHeight="1">
      <c r="A216" s="358" t="s">
        <v>769</v>
      </c>
      <c r="B216" s="326">
        <f t="shared" ref="B216:I216" si="63">SUM(B217:B218)</f>
        <v>0</v>
      </c>
      <c r="C216" s="326">
        <f t="shared" si="63"/>
        <v>0</v>
      </c>
      <c r="D216" s="359">
        <f t="shared" si="63"/>
        <v>0</v>
      </c>
      <c r="E216" s="326">
        <f t="shared" si="63"/>
        <v>0</v>
      </c>
      <c r="F216" s="359">
        <f t="shared" si="63"/>
        <v>0</v>
      </c>
      <c r="G216" s="326">
        <f t="shared" si="63"/>
        <v>0</v>
      </c>
      <c r="H216" s="359">
        <f t="shared" si="63"/>
        <v>0</v>
      </c>
      <c r="I216" s="326">
        <f t="shared" si="63"/>
        <v>0</v>
      </c>
    </row>
    <row r="217" spans="1:9" s="362" customFormat="1" ht="14.1" customHeight="1">
      <c r="A217" s="361" t="s">
        <v>1071</v>
      </c>
      <c r="B217" s="333">
        <f>D217+F217+H217</f>
        <v>0</v>
      </c>
      <c r="C217" s="333">
        <f>E217+G217+I217</f>
        <v>0</v>
      </c>
      <c r="D217" s="332">
        <v>0</v>
      </c>
      <c r="E217" s="333"/>
      <c r="F217" s="332">
        <v>0</v>
      </c>
      <c r="G217" s="333"/>
      <c r="H217" s="332"/>
      <c r="I217" s="333"/>
    </row>
    <row r="218" spans="1:9" s="362" customFormat="1" ht="14.1" customHeight="1">
      <c r="A218" s="361" t="s">
        <v>1072</v>
      </c>
      <c r="B218" s="333">
        <f>D218+F218+H218</f>
        <v>0</v>
      </c>
      <c r="C218" s="333">
        <f>E218+G218+I218</f>
        <v>0</v>
      </c>
      <c r="D218" s="332">
        <v>0</v>
      </c>
      <c r="E218" s="333"/>
      <c r="F218" s="332"/>
      <c r="G218" s="333"/>
      <c r="H218" s="332"/>
      <c r="I218" s="333"/>
    </row>
    <row r="219" spans="1:9" s="360" customFormat="1" ht="14.1" customHeight="1">
      <c r="A219" s="358" t="s">
        <v>929</v>
      </c>
      <c r="B219" s="326">
        <f t="shared" ref="B219:I219" si="64">SUM(B220:B231)</f>
        <v>8600000</v>
      </c>
      <c r="C219" s="326">
        <f t="shared" si="64"/>
        <v>0</v>
      </c>
      <c r="D219" s="359">
        <f t="shared" si="64"/>
        <v>7000000</v>
      </c>
      <c r="E219" s="326">
        <f t="shared" si="64"/>
        <v>0</v>
      </c>
      <c r="F219" s="359">
        <f t="shared" si="64"/>
        <v>0</v>
      </c>
      <c r="G219" s="326">
        <f t="shared" si="64"/>
        <v>0</v>
      </c>
      <c r="H219" s="359">
        <f t="shared" si="64"/>
        <v>1600000</v>
      </c>
      <c r="I219" s="326">
        <f t="shared" si="64"/>
        <v>0</v>
      </c>
    </row>
    <row r="220" spans="1:9" s="362" customFormat="1" ht="14.1" customHeight="1">
      <c r="A220" s="361" t="s">
        <v>1073</v>
      </c>
      <c r="B220" s="333">
        <f t="shared" ref="B220:C231" si="65">D220+F220+H220</f>
        <v>0</v>
      </c>
      <c r="C220" s="333">
        <f t="shared" si="65"/>
        <v>0</v>
      </c>
      <c r="D220" s="332"/>
      <c r="E220" s="333"/>
      <c r="F220" s="332">
        <v>0</v>
      </c>
      <c r="G220" s="333"/>
      <c r="H220" s="332"/>
      <c r="I220" s="333"/>
    </row>
    <row r="221" spans="1:9" s="362" customFormat="1" ht="14.1" customHeight="1">
      <c r="A221" s="361" t="s">
        <v>1074</v>
      </c>
      <c r="B221" s="333">
        <f t="shared" si="65"/>
        <v>1600000</v>
      </c>
      <c r="C221" s="333">
        <f t="shared" si="65"/>
        <v>0</v>
      </c>
      <c r="D221" s="332"/>
      <c r="E221" s="333"/>
      <c r="F221" s="332"/>
      <c r="G221" s="333"/>
      <c r="H221" s="332">
        <v>1600000</v>
      </c>
      <c r="I221" s="333"/>
    </row>
    <row r="222" spans="1:9" s="362" customFormat="1" ht="14.1" customHeight="1">
      <c r="A222" s="361" t="s">
        <v>1075</v>
      </c>
      <c r="B222" s="333">
        <f t="shared" si="65"/>
        <v>1000000</v>
      </c>
      <c r="C222" s="333">
        <f t="shared" si="65"/>
        <v>0</v>
      </c>
      <c r="D222" s="332">
        <v>1000000</v>
      </c>
      <c r="E222" s="333"/>
      <c r="F222" s="332"/>
      <c r="G222" s="333"/>
      <c r="H222" s="332"/>
      <c r="I222" s="333"/>
    </row>
    <row r="223" spans="1:9" s="362" customFormat="1" ht="14.1" customHeight="1">
      <c r="A223" s="361" t="s">
        <v>1076</v>
      </c>
      <c r="B223" s="333">
        <f t="shared" si="65"/>
        <v>0</v>
      </c>
      <c r="C223" s="333">
        <f t="shared" si="65"/>
        <v>0</v>
      </c>
      <c r="D223" s="332"/>
      <c r="E223" s="333"/>
      <c r="F223" s="332"/>
      <c r="G223" s="333"/>
      <c r="H223" s="332"/>
      <c r="I223" s="333"/>
    </row>
    <row r="224" spans="1:9" s="362" customFormat="1" ht="14.1" customHeight="1">
      <c r="A224" s="361" t="s">
        <v>1077</v>
      </c>
      <c r="B224" s="333">
        <f t="shared" si="65"/>
        <v>1500000</v>
      </c>
      <c r="C224" s="333">
        <f t="shared" si="65"/>
        <v>0</v>
      </c>
      <c r="D224" s="332">
        <v>1500000</v>
      </c>
      <c r="E224" s="333"/>
      <c r="F224" s="332"/>
      <c r="G224" s="333"/>
      <c r="H224" s="332"/>
      <c r="I224" s="333"/>
    </row>
    <row r="225" spans="1:9" s="362" customFormat="1" ht="14.1" customHeight="1">
      <c r="A225" s="361" t="s">
        <v>1078</v>
      </c>
      <c r="B225" s="333">
        <f t="shared" si="65"/>
        <v>200000</v>
      </c>
      <c r="C225" s="333">
        <f t="shared" si="65"/>
        <v>0</v>
      </c>
      <c r="D225" s="332">
        <v>200000</v>
      </c>
      <c r="E225" s="333"/>
      <c r="F225" s="332"/>
      <c r="G225" s="333"/>
      <c r="H225" s="332"/>
      <c r="I225" s="333"/>
    </row>
    <row r="226" spans="1:9" s="362" customFormat="1" ht="14.1" customHeight="1">
      <c r="A226" s="361" t="s">
        <v>1079</v>
      </c>
      <c r="B226" s="333">
        <f t="shared" si="65"/>
        <v>0</v>
      </c>
      <c r="C226" s="333">
        <f t="shared" si="65"/>
        <v>0</v>
      </c>
      <c r="D226" s="332"/>
      <c r="E226" s="333"/>
      <c r="F226" s="332"/>
      <c r="G226" s="333"/>
      <c r="H226" s="332"/>
      <c r="I226" s="333"/>
    </row>
    <row r="227" spans="1:9" s="362" customFormat="1" ht="14.1" customHeight="1">
      <c r="A227" s="361" t="s">
        <v>1080</v>
      </c>
      <c r="B227" s="333">
        <f t="shared" si="65"/>
        <v>500000</v>
      </c>
      <c r="C227" s="333">
        <f t="shared" si="65"/>
        <v>0</v>
      </c>
      <c r="D227" s="332">
        <v>500000</v>
      </c>
      <c r="E227" s="333"/>
      <c r="F227" s="332"/>
      <c r="G227" s="333"/>
      <c r="H227" s="332"/>
      <c r="I227" s="333"/>
    </row>
    <row r="228" spans="1:9" s="362" customFormat="1" ht="14.1" customHeight="1">
      <c r="A228" s="361" t="s">
        <v>1081</v>
      </c>
      <c r="B228" s="333">
        <f t="shared" si="65"/>
        <v>1000000</v>
      </c>
      <c r="C228" s="333">
        <f t="shared" si="65"/>
        <v>0</v>
      </c>
      <c r="D228" s="332">
        <v>1000000</v>
      </c>
      <c r="E228" s="333"/>
      <c r="F228" s="332"/>
      <c r="G228" s="333"/>
      <c r="H228" s="332"/>
      <c r="I228" s="333"/>
    </row>
    <row r="229" spans="1:9" s="362" customFormat="1" ht="14.1" customHeight="1">
      <c r="A229" s="361" t="s">
        <v>1082</v>
      </c>
      <c r="B229" s="333">
        <f t="shared" si="65"/>
        <v>1600000</v>
      </c>
      <c r="C229" s="333">
        <f t="shared" si="65"/>
        <v>0</v>
      </c>
      <c r="D229" s="332">
        <v>1600000</v>
      </c>
      <c r="E229" s="333"/>
      <c r="F229" s="332"/>
      <c r="G229" s="333"/>
      <c r="H229" s="332"/>
      <c r="I229" s="333"/>
    </row>
    <row r="230" spans="1:9" s="362" customFormat="1" ht="14.1" customHeight="1">
      <c r="A230" s="361" t="s">
        <v>1083</v>
      </c>
      <c r="B230" s="333">
        <f t="shared" si="65"/>
        <v>1000000</v>
      </c>
      <c r="C230" s="333">
        <f t="shared" si="65"/>
        <v>0</v>
      </c>
      <c r="D230" s="332">
        <v>1000000</v>
      </c>
      <c r="E230" s="333"/>
      <c r="F230" s="332"/>
      <c r="G230" s="333"/>
      <c r="H230" s="332"/>
      <c r="I230" s="333"/>
    </row>
    <row r="231" spans="1:9" s="362" customFormat="1" ht="14.1" customHeight="1">
      <c r="A231" s="361" t="s">
        <v>1084</v>
      </c>
      <c r="B231" s="333">
        <f t="shared" si="65"/>
        <v>200000</v>
      </c>
      <c r="C231" s="333">
        <f t="shared" si="65"/>
        <v>0</v>
      </c>
      <c r="D231" s="332">
        <v>200000</v>
      </c>
      <c r="E231" s="333"/>
      <c r="F231" s="332"/>
      <c r="G231" s="333"/>
      <c r="H231" s="332"/>
      <c r="I231" s="333"/>
    </row>
    <row r="232" spans="1:9" s="360" customFormat="1" ht="14.1" customHeight="1">
      <c r="A232" s="358" t="s">
        <v>773</v>
      </c>
      <c r="B232" s="326">
        <f t="shared" ref="B232:I232" si="66">SUM(B233:B245)</f>
        <v>10400000</v>
      </c>
      <c r="C232" s="326">
        <f t="shared" si="66"/>
        <v>0</v>
      </c>
      <c r="D232" s="359">
        <f t="shared" si="66"/>
        <v>8900000</v>
      </c>
      <c r="E232" s="326">
        <f t="shared" si="66"/>
        <v>0</v>
      </c>
      <c r="F232" s="359">
        <f t="shared" si="66"/>
        <v>0</v>
      </c>
      <c r="G232" s="326">
        <f t="shared" si="66"/>
        <v>0</v>
      </c>
      <c r="H232" s="359">
        <f t="shared" si="66"/>
        <v>1500000</v>
      </c>
      <c r="I232" s="326">
        <f t="shared" si="66"/>
        <v>0</v>
      </c>
    </row>
    <row r="233" spans="1:9" ht="14.1" customHeight="1">
      <c r="A233" s="361" t="s">
        <v>1085</v>
      </c>
      <c r="B233" s="333">
        <f t="shared" ref="B233:C245" si="67">D233+F233+H233</f>
        <v>5400000</v>
      </c>
      <c r="C233" s="333">
        <f t="shared" si="67"/>
        <v>0</v>
      </c>
      <c r="D233" s="332">
        <v>5400000</v>
      </c>
      <c r="E233" s="333"/>
      <c r="F233" s="332"/>
      <c r="G233" s="333"/>
      <c r="H233" s="332"/>
      <c r="I233" s="333"/>
    </row>
    <row r="234" spans="1:9" ht="14.1" customHeight="1">
      <c r="A234" s="361" t="s">
        <v>1086</v>
      </c>
      <c r="B234" s="333">
        <f t="shared" si="67"/>
        <v>500000</v>
      </c>
      <c r="C234" s="333">
        <f t="shared" si="67"/>
        <v>0</v>
      </c>
      <c r="D234" s="332">
        <v>500000</v>
      </c>
      <c r="E234" s="333"/>
      <c r="F234" s="332"/>
      <c r="G234" s="333"/>
      <c r="H234" s="332"/>
      <c r="I234" s="333"/>
    </row>
    <row r="235" spans="1:9" ht="14.1" customHeight="1">
      <c r="A235" s="361" t="s">
        <v>1074</v>
      </c>
      <c r="B235" s="333">
        <f t="shared" si="67"/>
        <v>1500000</v>
      </c>
      <c r="C235" s="333">
        <f t="shared" si="67"/>
        <v>0</v>
      </c>
      <c r="D235" s="332"/>
      <c r="E235" s="333"/>
      <c r="F235" s="332"/>
      <c r="G235" s="333"/>
      <c r="H235" s="332">
        <v>1500000</v>
      </c>
      <c r="I235" s="333"/>
    </row>
    <row r="236" spans="1:9" ht="14.1" customHeight="1">
      <c r="A236" s="361" t="s">
        <v>1075</v>
      </c>
      <c r="B236" s="333">
        <f t="shared" si="67"/>
        <v>500000</v>
      </c>
      <c r="C236" s="333">
        <f t="shared" si="67"/>
        <v>0</v>
      </c>
      <c r="D236" s="332">
        <v>500000</v>
      </c>
      <c r="E236" s="333"/>
      <c r="F236" s="332"/>
      <c r="G236" s="333"/>
      <c r="H236" s="332"/>
      <c r="I236" s="333"/>
    </row>
    <row r="237" spans="1:9" ht="14.1" customHeight="1">
      <c r="A237" s="361" t="s">
        <v>1076</v>
      </c>
      <c r="B237" s="333">
        <f t="shared" si="67"/>
        <v>300000</v>
      </c>
      <c r="C237" s="333">
        <f t="shared" si="67"/>
        <v>0</v>
      </c>
      <c r="D237" s="332">
        <v>300000</v>
      </c>
      <c r="E237" s="333"/>
      <c r="F237" s="332"/>
      <c r="G237" s="333"/>
      <c r="H237" s="332"/>
      <c r="I237" s="333"/>
    </row>
    <row r="238" spans="1:9" ht="14.1" customHeight="1">
      <c r="A238" s="361" t="s">
        <v>1077</v>
      </c>
      <c r="B238" s="333">
        <f t="shared" si="67"/>
        <v>1500000</v>
      </c>
      <c r="C238" s="333">
        <f t="shared" si="67"/>
        <v>0</v>
      </c>
      <c r="D238" s="332">
        <v>1500000</v>
      </c>
      <c r="E238" s="333"/>
      <c r="F238" s="332"/>
      <c r="G238" s="333"/>
      <c r="H238" s="332"/>
      <c r="I238" s="333"/>
    </row>
    <row r="239" spans="1:9" ht="14.1" customHeight="1">
      <c r="A239" s="361" t="s">
        <v>1078</v>
      </c>
      <c r="B239" s="333">
        <f t="shared" si="67"/>
        <v>400000</v>
      </c>
      <c r="C239" s="333">
        <f t="shared" si="67"/>
        <v>0</v>
      </c>
      <c r="D239" s="332">
        <v>400000</v>
      </c>
      <c r="E239" s="333"/>
      <c r="F239" s="332"/>
      <c r="G239" s="333"/>
      <c r="H239" s="332"/>
      <c r="I239" s="333"/>
    </row>
    <row r="240" spans="1:9" ht="14.1" customHeight="1">
      <c r="A240" s="361" t="s">
        <v>1079</v>
      </c>
      <c r="B240" s="333">
        <f t="shared" si="67"/>
        <v>200000</v>
      </c>
      <c r="C240" s="333">
        <f t="shared" si="67"/>
        <v>0</v>
      </c>
      <c r="D240" s="332">
        <v>200000</v>
      </c>
      <c r="E240" s="333"/>
      <c r="F240" s="332"/>
      <c r="G240" s="333"/>
      <c r="H240" s="332"/>
      <c r="I240" s="333"/>
    </row>
    <row r="241" spans="1:9" ht="14.1" customHeight="1">
      <c r="A241" s="361" t="s">
        <v>1080</v>
      </c>
      <c r="B241" s="333">
        <f t="shared" si="67"/>
        <v>0</v>
      </c>
      <c r="C241" s="333">
        <f t="shared" si="67"/>
        <v>0</v>
      </c>
      <c r="D241" s="332"/>
      <c r="E241" s="333"/>
      <c r="F241" s="332"/>
      <c r="G241" s="333"/>
      <c r="H241" s="332"/>
      <c r="I241" s="333"/>
    </row>
    <row r="242" spans="1:9" ht="14.1" customHeight="1">
      <c r="A242" s="361" t="s">
        <v>1081</v>
      </c>
      <c r="B242" s="333">
        <f t="shared" si="67"/>
        <v>0</v>
      </c>
      <c r="C242" s="333">
        <f t="shared" si="67"/>
        <v>0</v>
      </c>
      <c r="D242" s="332"/>
      <c r="E242" s="333"/>
      <c r="F242" s="332"/>
      <c r="G242" s="333"/>
      <c r="H242" s="332"/>
      <c r="I242" s="333"/>
    </row>
    <row r="243" spans="1:9" ht="14.1" customHeight="1">
      <c r="A243" s="361" t="s">
        <v>1082</v>
      </c>
      <c r="B243" s="333">
        <f t="shared" si="67"/>
        <v>0</v>
      </c>
      <c r="C243" s="333">
        <f t="shared" si="67"/>
        <v>0</v>
      </c>
      <c r="D243" s="332"/>
      <c r="E243" s="333"/>
      <c r="F243" s="332"/>
      <c r="G243" s="333"/>
      <c r="H243" s="332"/>
      <c r="I243" s="333"/>
    </row>
    <row r="244" spans="1:9" ht="14.1" customHeight="1">
      <c r="A244" s="361" t="s">
        <v>1083</v>
      </c>
      <c r="B244" s="333">
        <f t="shared" si="67"/>
        <v>0</v>
      </c>
      <c r="C244" s="333">
        <f t="shared" si="67"/>
        <v>0</v>
      </c>
      <c r="D244" s="332"/>
      <c r="E244" s="333"/>
      <c r="F244" s="332"/>
      <c r="G244" s="333"/>
      <c r="H244" s="332"/>
      <c r="I244" s="333"/>
    </row>
    <row r="245" spans="1:9" ht="14.1" customHeight="1">
      <c r="A245" s="361" t="s">
        <v>1084</v>
      </c>
      <c r="B245" s="333">
        <f t="shared" si="67"/>
        <v>100000</v>
      </c>
      <c r="C245" s="333">
        <f t="shared" si="67"/>
        <v>0</v>
      </c>
      <c r="D245" s="332">
        <v>100000</v>
      </c>
      <c r="E245" s="333"/>
      <c r="F245" s="332"/>
      <c r="G245" s="333"/>
      <c r="H245" s="332"/>
      <c r="I245" s="333"/>
    </row>
    <row r="246" spans="1:9" ht="14.1" customHeight="1">
      <c r="A246" s="323" t="s">
        <v>785</v>
      </c>
      <c r="B246" s="326">
        <f t="shared" ref="B246:I246" si="68">B247+B248+B250+B255</f>
        <v>11630616</v>
      </c>
      <c r="C246" s="326">
        <f t="shared" si="68"/>
        <v>0</v>
      </c>
      <c r="D246" s="326">
        <f t="shared" si="68"/>
        <v>60000</v>
      </c>
      <c r="E246" s="326">
        <f t="shared" si="68"/>
        <v>0</v>
      </c>
      <c r="F246" s="326">
        <f t="shared" si="68"/>
        <v>11570616</v>
      </c>
      <c r="G246" s="326">
        <f t="shared" si="68"/>
        <v>0</v>
      </c>
      <c r="H246" s="326">
        <f t="shared" si="68"/>
        <v>0</v>
      </c>
      <c r="I246" s="326">
        <f t="shared" si="68"/>
        <v>0</v>
      </c>
    </row>
    <row r="247" spans="1:9" s="360" customFormat="1" ht="14.1" customHeight="1">
      <c r="A247" s="358" t="s">
        <v>777</v>
      </c>
      <c r="B247" s="326">
        <f>D247+F247+H247</f>
        <v>0</v>
      </c>
      <c r="C247" s="326">
        <f>E247+G247+I247</f>
        <v>0</v>
      </c>
      <c r="D247" s="359"/>
      <c r="E247" s="326"/>
      <c r="F247" s="359"/>
      <c r="G247" s="326"/>
      <c r="H247" s="359"/>
      <c r="I247" s="326"/>
    </row>
    <row r="248" spans="1:9" s="360" customFormat="1" ht="14.1" customHeight="1">
      <c r="A248" s="358" t="s">
        <v>779</v>
      </c>
      <c r="B248" s="326">
        <f t="shared" ref="B248:I248" si="69">SUM(B249)</f>
        <v>250000</v>
      </c>
      <c r="C248" s="326">
        <f t="shared" si="69"/>
        <v>0</v>
      </c>
      <c r="D248" s="359">
        <f t="shared" si="69"/>
        <v>0</v>
      </c>
      <c r="E248" s="326">
        <f t="shared" si="69"/>
        <v>0</v>
      </c>
      <c r="F248" s="359">
        <f t="shared" si="69"/>
        <v>250000</v>
      </c>
      <c r="G248" s="326">
        <f t="shared" si="69"/>
        <v>0</v>
      </c>
      <c r="H248" s="359">
        <f t="shared" si="69"/>
        <v>0</v>
      </c>
      <c r="I248" s="326">
        <f t="shared" si="69"/>
        <v>0</v>
      </c>
    </row>
    <row r="249" spans="1:9" s="362" customFormat="1" ht="14.1" customHeight="1">
      <c r="A249" s="361" t="s">
        <v>1087</v>
      </c>
      <c r="B249" s="333">
        <f>D249+F249+H249</f>
        <v>250000</v>
      </c>
      <c r="C249" s="333">
        <f>E249+G249+I249</f>
        <v>0</v>
      </c>
      <c r="D249" s="332"/>
      <c r="E249" s="333"/>
      <c r="F249" s="332">
        <v>250000</v>
      </c>
      <c r="G249" s="333"/>
      <c r="H249" s="332"/>
      <c r="I249" s="333"/>
    </row>
    <row r="250" spans="1:9" s="360" customFormat="1" ht="14.1" customHeight="1">
      <c r="A250" s="358" t="s">
        <v>781</v>
      </c>
      <c r="B250" s="326">
        <f t="shared" ref="B250:I250" si="70">SUM(B251:B254)</f>
        <v>80000</v>
      </c>
      <c r="C250" s="326">
        <f t="shared" si="70"/>
        <v>0</v>
      </c>
      <c r="D250" s="359">
        <f t="shared" si="70"/>
        <v>60000</v>
      </c>
      <c r="E250" s="326">
        <f t="shared" si="70"/>
        <v>0</v>
      </c>
      <c r="F250" s="359">
        <f t="shared" si="70"/>
        <v>20000</v>
      </c>
      <c r="G250" s="326">
        <f t="shared" si="70"/>
        <v>0</v>
      </c>
      <c r="H250" s="359">
        <f t="shared" si="70"/>
        <v>0</v>
      </c>
      <c r="I250" s="326">
        <f t="shared" si="70"/>
        <v>0</v>
      </c>
    </row>
    <row r="251" spans="1:9" s="362" customFormat="1" ht="14.1" customHeight="1">
      <c r="A251" s="361" t="s">
        <v>1088</v>
      </c>
      <c r="B251" s="333">
        <f t="shared" ref="B251:C254" si="71">D251+F251+H251</f>
        <v>0</v>
      </c>
      <c r="C251" s="333">
        <f t="shared" si="71"/>
        <v>0</v>
      </c>
      <c r="D251" s="332"/>
      <c r="E251" s="333"/>
      <c r="F251" s="332"/>
      <c r="G251" s="333"/>
      <c r="H251" s="332"/>
      <c r="I251" s="333"/>
    </row>
    <row r="252" spans="1:9" s="362" customFormat="1" ht="14.1" customHeight="1">
      <c r="A252" s="361" t="s">
        <v>1089</v>
      </c>
      <c r="B252" s="333">
        <f t="shared" si="71"/>
        <v>20000</v>
      </c>
      <c r="C252" s="333">
        <f t="shared" si="71"/>
        <v>0</v>
      </c>
      <c r="D252" s="332"/>
      <c r="E252" s="333"/>
      <c r="F252" s="332">
        <v>20000</v>
      </c>
      <c r="G252" s="333"/>
      <c r="H252" s="332"/>
      <c r="I252" s="333"/>
    </row>
    <row r="253" spans="1:9" s="362" customFormat="1" ht="14.1" customHeight="1">
      <c r="A253" s="361" t="s">
        <v>1090</v>
      </c>
      <c r="B253" s="333">
        <f t="shared" si="71"/>
        <v>60000</v>
      </c>
      <c r="C253" s="333">
        <f t="shared" si="71"/>
        <v>0</v>
      </c>
      <c r="D253" s="332">
        <v>60000</v>
      </c>
      <c r="E253" s="333"/>
      <c r="F253" s="332"/>
      <c r="G253" s="333"/>
      <c r="H253" s="332"/>
      <c r="I253" s="333"/>
    </row>
    <row r="254" spans="1:9" s="362" customFormat="1" ht="14.1" customHeight="1">
      <c r="A254" s="361" t="s">
        <v>1091</v>
      </c>
      <c r="B254" s="333">
        <f t="shared" si="71"/>
        <v>0</v>
      </c>
      <c r="C254" s="333">
        <f t="shared" si="71"/>
        <v>0</v>
      </c>
      <c r="D254" s="332">
        <v>0</v>
      </c>
      <c r="E254" s="333"/>
      <c r="F254" s="332"/>
      <c r="G254" s="333"/>
      <c r="H254" s="332"/>
      <c r="I254" s="333"/>
    </row>
    <row r="255" spans="1:9" s="360" customFormat="1" ht="14.1" customHeight="1">
      <c r="A255" s="358" t="s">
        <v>930</v>
      </c>
      <c r="B255" s="326">
        <f t="shared" ref="B255:I255" si="72">SUM(B256:B272)</f>
        <v>11300616</v>
      </c>
      <c r="C255" s="326">
        <f t="shared" si="72"/>
        <v>0</v>
      </c>
      <c r="D255" s="359">
        <f t="shared" si="72"/>
        <v>0</v>
      </c>
      <c r="E255" s="326">
        <f t="shared" si="72"/>
        <v>0</v>
      </c>
      <c r="F255" s="359">
        <f t="shared" si="72"/>
        <v>11300616</v>
      </c>
      <c r="G255" s="326">
        <f t="shared" si="72"/>
        <v>0</v>
      </c>
      <c r="H255" s="359">
        <f t="shared" si="72"/>
        <v>0</v>
      </c>
      <c r="I255" s="326">
        <f t="shared" si="72"/>
        <v>0</v>
      </c>
    </row>
    <row r="256" spans="1:9" s="362" customFormat="1" ht="14.1" customHeight="1">
      <c r="A256" s="361" t="s">
        <v>1092</v>
      </c>
      <c r="B256" s="333">
        <f t="shared" ref="B256:C272" si="73">D256+F256+H256</f>
        <v>30000</v>
      </c>
      <c r="C256" s="333">
        <f t="shared" si="73"/>
        <v>0</v>
      </c>
      <c r="D256" s="332"/>
      <c r="E256" s="333"/>
      <c r="F256" s="332">
        <v>30000</v>
      </c>
      <c r="G256" s="333"/>
      <c r="H256" s="332"/>
      <c r="I256" s="333"/>
    </row>
    <row r="257" spans="1:9" s="362" customFormat="1" ht="14.1" customHeight="1">
      <c r="A257" s="361" t="s">
        <v>1093</v>
      </c>
      <c r="B257" s="333">
        <f t="shared" si="73"/>
        <v>120000</v>
      </c>
      <c r="C257" s="333">
        <f t="shared" si="73"/>
        <v>0</v>
      </c>
      <c r="D257" s="332"/>
      <c r="E257" s="333"/>
      <c r="F257" s="332">
        <v>120000</v>
      </c>
      <c r="G257" s="333"/>
      <c r="H257" s="332"/>
      <c r="I257" s="333"/>
    </row>
    <row r="258" spans="1:9" s="362" customFormat="1" ht="14.1" customHeight="1">
      <c r="A258" s="361" t="s">
        <v>1094</v>
      </c>
      <c r="B258" s="333">
        <f t="shared" si="73"/>
        <v>0</v>
      </c>
      <c r="C258" s="333">
        <f t="shared" si="73"/>
        <v>0</v>
      </c>
      <c r="D258" s="332"/>
      <c r="E258" s="333"/>
      <c r="F258" s="332">
        <v>0</v>
      </c>
      <c r="G258" s="333"/>
      <c r="H258" s="332"/>
      <c r="I258" s="333"/>
    </row>
    <row r="259" spans="1:9" s="362" customFormat="1" ht="14.1" customHeight="1">
      <c r="A259" s="361" t="s">
        <v>1095</v>
      </c>
      <c r="B259" s="333">
        <f t="shared" si="73"/>
        <v>0</v>
      </c>
      <c r="C259" s="333">
        <f t="shared" si="73"/>
        <v>0</v>
      </c>
      <c r="D259" s="332"/>
      <c r="E259" s="333"/>
      <c r="F259" s="332">
        <v>0</v>
      </c>
      <c r="G259" s="333"/>
      <c r="H259" s="332"/>
      <c r="I259" s="333"/>
    </row>
    <row r="260" spans="1:9" s="362" customFormat="1" ht="14.1" customHeight="1">
      <c r="A260" s="361" t="s">
        <v>1096</v>
      </c>
      <c r="B260" s="333">
        <f t="shared" si="73"/>
        <v>5857919.9999999991</v>
      </c>
      <c r="C260" s="333">
        <f t="shared" si="73"/>
        <v>0</v>
      </c>
      <c r="D260" s="332"/>
      <c r="E260" s="333"/>
      <c r="F260" s="369">
        <f>480000*12*1.017</f>
        <v>5857919.9999999991</v>
      </c>
      <c r="G260" s="333"/>
      <c r="H260" s="332"/>
      <c r="I260" s="333"/>
    </row>
    <row r="261" spans="1:9" s="362" customFormat="1" ht="14.1" customHeight="1">
      <c r="A261" s="361" t="s">
        <v>1097</v>
      </c>
      <c r="B261" s="333">
        <f t="shared" si="73"/>
        <v>70000</v>
      </c>
      <c r="C261" s="333">
        <f t="shared" si="73"/>
        <v>0</v>
      </c>
      <c r="D261" s="332"/>
      <c r="E261" s="333"/>
      <c r="F261" s="332">
        <v>70000</v>
      </c>
      <c r="G261" s="333"/>
      <c r="H261" s="332"/>
      <c r="I261" s="333"/>
    </row>
    <row r="262" spans="1:9" s="362" customFormat="1" ht="14.1" customHeight="1">
      <c r="A262" s="361" t="s">
        <v>1098</v>
      </c>
      <c r="B262" s="333">
        <f t="shared" si="73"/>
        <v>0</v>
      </c>
      <c r="C262" s="333">
        <f t="shared" si="73"/>
        <v>0</v>
      </c>
      <c r="D262" s="332"/>
      <c r="E262" s="333"/>
      <c r="F262" s="332">
        <v>0</v>
      </c>
      <c r="G262" s="333"/>
      <c r="H262" s="332"/>
      <c r="I262" s="333"/>
    </row>
    <row r="263" spans="1:9" s="362" customFormat="1" ht="14.1" customHeight="1">
      <c r="A263" s="361" t="s">
        <v>1099</v>
      </c>
      <c r="B263" s="333">
        <f t="shared" si="73"/>
        <v>80000</v>
      </c>
      <c r="C263" s="333">
        <f t="shared" si="73"/>
        <v>0</v>
      </c>
      <c r="D263" s="332"/>
      <c r="E263" s="333"/>
      <c r="F263" s="332">
        <v>80000</v>
      </c>
      <c r="G263" s="333"/>
      <c r="H263" s="332"/>
      <c r="I263" s="333"/>
    </row>
    <row r="264" spans="1:9" s="362" customFormat="1" ht="14.1" customHeight="1">
      <c r="A264" s="361" t="s">
        <v>1100</v>
      </c>
      <c r="B264" s="333">
        <f t="shared" si="73"/>
        <v>354120</v>
      </c>
      <c r="C264" s="333">
        <f t="shared" si="73"/>
        <v>0</v>
      </c>
      <c r="D264" s="332"/>
      <c r="E264" s="333"/>
      <c r="F264" s="332">
        <f>88530*4</f>
        <v>354120</v>
      </c>
      <c r="G264" s="333"/>
      <c r="H264" s="332"/>
      <c r="I264" s="333"/>
    </row>
    <row r="265" spans="1:9" s="362" customFormat="1" ht="14.1" customHeight="1">
      <c r="A265" s="361" t="s">
        <v>1101</v>
      </c>
      <c r="B265" s="333">
        <f t="shared" si="73"/>
        <v>386976</v>
      </c>
      <c r="C265" s="333">
        <f t="shared" si="73"/>
        <v>0</v>
      </c>
      <c r="D265" s="332"/>
      <c r="E265" s="333"/>
      <c r="F265" s="369">
        <f>32248*12</f>
        <v>386976</v>
      </c>
      <c r="G265" s="333"/>
      <c r="H265" s="332"/>
      <c r="I265" s="333"/>
    </row>
    <row r="266" spans="1:9" s="362" customFormat="1" ht="14.1" customHeight="1">
      <c r="A266" s="361" t="s">
        <v>1102</v>
      </c>
      <c r="B266" s="333">
        <f t="shared" si="73"/>
        <v>237600</v>
      </c>
      <c r="C266" s="333">
        <f t="shared" si="73"/>
        <v>0</v>
      </c>
      <c r="D266" s="332"/>
      <c r="E266" s="333"/>
      <c r="F266" s="369">
        <f>59400*4</f>
        <v>237600</v>
      </c>
      <c r="G266" s="333"/>
      <c r="H266" s="332"/>
      <c r="I266" s="333"/>
    </row>
    <row r="267" spans="1:9" s="362" customFormat="1" ht="14.1" customHeight="1">
      <c r="A267" s="361" t="s">
        <v>1103</v>
      </c>
      <c r="B267" s="333">
        <f t="shared" si="73"/>
        <v>3300000</v>
      </c>
      <c r="C267" s="333">
        <f t="shared" si="73"/>
        <v>0</v>
      </c>
      <c r="D267" s="332"/>
      <c r="E267" s="333"/>
      <c r="F267" s="369">
        <f>275000*12</f>
        <v>3300000</v>
      </c>
      <c r="G267" s="333"/>
      <c r="H267" s="332"/>
      <c r="I267" s="333"/>
    </row>
    <row r="268" spans="1:9" s="362" customFormat="1" ht="14.1" customHeight="1">
      <c r="A268" s="361" t="s">
        <v>1104</v>
      </c>
      <c r="B268" s="333">
        <f t="shared" si="73"/>
        <v>14000</v>
      </c>
      <c r="C268" s="333">
        <f t="shared" si="73"/>
        <v>0</v>
      </c>
      <c r="D268" s="332"/>
      <c r="E268" s="333"/>
      <c r="F268" s="369">
        <f>7000*2</f>
        <v>14000</v>
      </c>
      <c r="G268" s="333"/>
      <c r="H268" s="332"/>
      <c r="I268" s="333"/>
    </row>
    <row r="269" spans="1:9" s="362" customFormat="1" ht="14.1" customHeight="1">
      <c r="A269" s="361" t="s">
        <v>1105</v>
      </c>
      <c r="B269" s="333">
        <f t="shared" si="73"/>
        <v>30000</v>
      </c>
      <c r="C269" s="333">
        <f t="shared" si="73"/>
        <v>0</v>
      </c>
      <c r="D269" s="332"/>
      <c r="E269" s="333"/>
      <c r="F269" s="369">
        <v>30000</v>
      </c>
      <c r="G269" s="333"/>
      <c r="H269" s="332"/>
      <c r="I269" s="333"/>
    </row>
    <row r="270" spans="1:9" s="362" customFormat="1" ht="14.1" customHeight="1">
      <c r="A270" s="361" t="s">
        <v>1106</v>
      </c>
      <c r="B270" s="333">
        <f t="shared" si="73"/>
        <v>480000</v>
      </c>
      <c r="C270" s="333">
        <f t="shared" si="73"/>
        <v>0</v>
      </c>
      <c r="D270" s="332"/>
      <c r="E270" s="333"/>
      <c r="F270" s="369">
        <f>40000*12</f>
        <v>480000</v>
      </c>
      <c r="G270" s="333"/>
      <c r="H270" s="332"/>
      <c r="I270" s="333"/>
    </row>
    <row r="271" spans="1:9" s="362" customFormat="1" ht="14.1" customHeight="1">
      <c r="A271" s="361" t="s">
        <v>1107</v>
      </c>
      <c r="B271" s="333">
        <f t="shared" si="73"/>
        <v>150000</v>
      </c>
      <c r="C271" s="333">
        <f t="shared" si="73"/>
        <v>0</v>
      </c>
      <c r="D271" s="332"/>
      <c r="E271" s="333"/>
      <c r="F271" s="332">
        <v>150000</v>
      </c>
      <c r="G271" s="333"/>
      <c r="H271" s="332"/>
      <c r="I271" s="333"/>
    </row>
    <row r="272" spans="1:9" s="362" customFormat="1" ht="14.1" customHeight="1">
      <c r="A272" s="361" t="s">
        <v>1108</v>
      </c>
      <c r="B272" s="333">
        <f t="shared" si="73"/>
        <v>190000</v>
      </c>
      <c r="C272" s="333">
        <f t="shared" si="73"/>
        <v>0</v>
      </c>
      <c r="D272" s="332"/>
      <c r="E272" s="333"/>
      <c r="F272" s="332">
        <f>130000+60000</f>
        <v>190000</v>
      </c>
      <c r="G272" s="333"/>
      <c r="H272" s="332"/>
      <c r="I272" s="333"/>
    </row>
    <row r="273" spans="1:9" ht="14.1" customHeight="1">
      <c r="A273" s="336" t="s">
        <v>787</v>
      </c>
      <c r="B273" s="339">
        <f t="shared" ref="B273:I273" si="74">B176+B181+B182+B189+B208+B215+B246</f>
        <v>62764427.916000001</v>
      </c>
      <c r="C273" s="339">
        <f t="shared" si="74"/>
        <v>0</v>
      </c>
      <c r="D273" s="339">
        <f t="shared" si="74"/>
        <v>16010000</v>
      </c>
      <c r="E273" s="339">
        <f t="shared" si="74"/>
        <v>0</v>
      </c>
      <c r="F273" s="339">
        <f t="shared" si="74"/>
        <v>43654427.916000001</v>
      </c>
      <c r="G273" s="339">
        <f t="shared" si="74"/>
        <v>0</v>
      </c>
      <c r="H273" s="339">
        <f t="shared" si="74"/>
        <v>3100000</v>
      </c>
      <c r="I273" s="339">
        <f t="shared" si="74"/>
        <v>0</v>
      </c>
    </row>
    <row r="274" spans="1:9" ht="14.1" customHeight="1">
      <c r="A274" s="323" t="s">
        <v>793</v>
      </c>
      <c r="B274" s="326">
        <f t="shared" ref="B274:I274" si="75">B275+B280</f>
        <v>60000</v>
      </c>
      <c r="C274" s="326">
        <f t="shared" si="75"/>
        <v>0</v>
      </c>
      <c r="D274" s="326">
        <f t="shared" si="75"/>
        <v>15000</v>
      </c>
      <c r="E274" s="326">
        <f t="shared" si="75"/>
        <v>0</v>
      </c>
      <c r="F274" s="326">
        <f t="shared" si="75"/>
        <v>45000</v>
      </c>
      <c r="G274" s="326">
        <f t="shared" si="75"/>
        <v>0</v>
      </c>
      <c r="H274" s="326">
        <f t="shared" si="75"/>
        <v>0</v>
      </c>
      <c r="I274" s="326">
        <f t="shared" si="75"/>
        <v>0</v>
      </c>
    </row>
    <row r="275" spans="1:9" ht="14.1" customHeight="1">
      <c r="A275" s="349" t="s">
        <v>789</v>
      </c>
      <c r="B275" s="351">
        <f t="shared" ref="B275:I275" si="76">SUM(B276:B279)</f>
        <v>60000</v>
      </c>
      <c r="C275" s="351">
        <f t="shared" si="76"/>
        <v>0</v>
      </c>
      <c r="D275" s="350">
        <f t="shared" si="76"/>
        <v>15000</v>
      </c>
      <c r="E275" s="351">
        <f t="shared" si="76"/>
        <v>0</v>
      </c>
      <c r="F275" s="350">
        <f t="shared" si="76"/>
        <v>45000</v>
      </c>
      <c r="G275" s="351">
        <f t="shared" si="76"/>
        <v>0</v>
      </c>
      <c r="H275" s="350">
        <f t="shared" si="76"/>
        <v>0</v>
      </c>
      <c r="I275" s="351">
        <f t="shared" si="76"/>
        <v>0</v>
      </c>
    </row>
    <row r="276" spans="1:9" s="362" customFormat="1" ht="14.1" customHeight="1">
      <c r="A276" s="361" t="s">
        <v>1109</v>
      </c>
      <c r="B276" s="333">
        <f t="shared" ref="B276:C280" si="77">D276+F276+H276</f>
        <v>0</v>
      </c>
      <c r="C276" s="333">
        <f t="shared" si="77"/>
        <v>0</v>
      </c>
      <c r="D276" s="332"/>
      <c r="E276" s="333"/>
      <c r="F276" s="332">
        <v>0</v>
      </c>
      <c r="G276" s="333"/>
      <c r="H276" s="332"/>
      <c r="I276" s="333"/>
    </row>
    <row r="277" spans="1:9" s="362" customFormat="1" ht="14.1" customHeight="1">
      <c r="A277" s="361" t="s">
        <v>1110</v>
      </c>
      <c r="B277" s="333">
        <f t="shared" si="77"/>
        <v>0</v>
      </c>
      <c r="C277" s="333">
        <f t="shared" si="77"/>
        <v>0</v>
      </c>
      <c r="D277" s="332"/>
      <c r="E277" s="333"/>
      <c r="F277" s="332"/>
      <c r="G277" s="333"/>
      <c r="H277" s="332"/>
      <c r="I277" s="333"/>
    </row>
    <row r="278" spans="1:9" s="362" customFormat="1" ht="14.1" customHeight="1">
      <c r="A278" s="361" t="s">
        <v>1111</v>
      </c>
      <c r="B278" s="333">
        <f t="shared" si="77"/>
        <v>60000</v>
      </c>
      <c r="C278" s="333">
        <f t="shared" si="77"/>
        <v>0</v>
      </c>
      <c r="D278" s="332">
        <v>15000</v>
      </c>
      <c r="E278" s="333"/>
      <c r="F278" s="332">
        <v>45000</v>
      </c>
      <c r="G278" s="333"/>
      <c r="H278" s="332"/>
      <c r="I278" s="333"/>
    </row>
    <row r="279" spans="1:9" s="362" customFormat="1" ht="14.1" customHeight="1">
      <c r="A279" s="361" t="s">
        <v>1112</v>
      </c>
      <c r="B279" s="333">
        <f t="shared" si="77"/>
        <v>0</v>
      </c>
      <c r="C279" s="333">
        <f t="shared" si="77"/>
        <v>0</v>
      </c>
      <c r="D279" s="332"/>
      <c r="E279" s="333"/>
      <c r="F279" s="332">
        <v>0</v>
      </c>
      <c r="G279" s="333"/>
      <c r="H279" s="332"/>
      <c r="I279" s="333"/>
    </row>
    <row r="280" spans="1:9" ht="14.1" customHeight="1">
      <c r="A280" s="349" t="s">
        <v>791</v>
      </c>
      <c r="B280" s="351">
        <f t="shared" si="77"/>
        <v>0</v>
      </c>
      <c r="C280" s="351">
        <f t="shared" si="77"/>
        <v>0</v>
      </c>
      <c r="D280" s="350"/>
      <c r="E280" s="351"/>
      <c r="F280" s="350"/>
      <c r="G280" s="351"/>
      <c r="H280" s="350"/>
      <c r="I280" s="351"/>
    </row>
    <row r="281" spans="1:9" ht="14.1" customHeight="1">
      <c r="A281" s="323" t="s">
        <v>931</v>
      </c>
      <c r="B281" s="326">
        <f t="shared" ref="B281:I281" si="78">SUM(B282:B285)</f>
        <v>1900000</v>
      </c>
      <c r="C281" s="326">
        <f t="shared" si="78"/>
        <v>0</v>
      </c>
      <c r="D281" s="326">
        <f t="shared" si="78"/>
        <v>1900000</v>
      </c>
      <c r="E281" s="326">
        <f t="shared" si="78"/>
        <v>0</v>
      </c>
      <c r="F281" s="326">
        <f t="shared" si="78"/>
        <v>0</v>
      </c>
      <c r="G281" s="326">
        <f t="shared" si="78"/>
        <v>0</v>
      </c>
      <c r="H281" s="326">
        <f t="shared" si="78"/>
        <v>0</v>
      </c>
      <c r="I281" s="326">
        <f t="shared" si="78"/>
        <v>0</v>
      </c>
    </row>
    <row r="282" spans="1:9" s="365" customFormat="1" ht="14.1" customHeight="1">
      <c r="A282" s="363" t="s">
        <v>1113</v>
      </c>
      <c r="B282" s="333">
        <f t="shared" ref="B282:C285" si="79">D282+F282+H282</f>
        <v>1600000</v>
      </c>
      <c r="C282" s="333">
        <f t="shared" si="79"/>
        <v>0</v>
      </c>
      <c r="D282" s="364">
        <v>1600000</v>
      </c>
      <c r="E282" s="333"/>
      <c r="F282" s="364"/>
      <c r="G282" s="333"/>
      <c r="H282" s="364"/>
      <c r="I282" s="333"/>
    </row>
    <row r="283" spans="1:9" s="365" customFormat="1" ht="14.1" customHeight="1">
      <c r="A283" s="363" t="s">
        <v>1114</v>
      </c>
      <c r="B283" s="333">
        <f t="shared" si="79"/>
        <v>200000</v>
      </c>
      <c r="C283" s="333">
        <f t="shared" si="79"/>
        <v>0</v>
      </c>
      <c r="D283" s="364">
        <v>200000</v>
      </c>
      <c r="E283" s="333"/>
      <c r="F283" s="364"/>
      <c r="G283" s="333"/>
      <c r="H283" s="364"/>
      <c r="I283" s="333"/>
    </row>
    <row r="284" spans="1:9" s="365" customFormat="1" ht="14.1" customHeight="1">
      <c r="A284" s="363" t="s">
        <v>1115</v>
      </c>
      <c r="B284" s="333">
        <f t="shared" si="79"/>
        <v>0</v>
      </c>
      <c r="C284" s="333">
        <f t="shared" si="79"/>
        <v>0</v>
      </c>
      <c r="D284" s="364">
        <v>0</v>
      </c>
      <c r="E284" s="333"/>
      <c r="F284" s="364"/>
      <c r="G284" s="333"/>
      <c r="H284" s="364"/>
      <c r="I284" s="333"/>
    </row>
    <row r="285" spans="1:9" s="365" customFormat="1" ht="14.1" customHeight="1">
      <c r="A285" s="363" t="s">
        <v>1116</v>
      </c>
      <c r="B285" s="333">
        <f t="shared" si="79"/>
        <v>100000</v>
      </c>
      <c r="C285" s="333">
        <f t="shared" si="79"/>
        <v>0</v>
      </c>
      <c r="D285" s="364">
        <v>100000</v>
      </c>
      <c r="E285" s="333"/>
      <c r="F285" s="364"/>
      <c r="G285" s="333"/>
      <c r="H285" s="364"/>
      <c r="I285" s="333"/>
    </row>
    <row r="286" spans="1:9" ht="14.1" customHeight="1">
      <c r="A286" s="336" t="s">
        <v>796</v>
      </c>
      <c r="B286" s="339">
        <f t="shared" ref="B286:I286" si="80">B274+B281</f>
        <v>1960000</v>
      </c>
      <c r="C286" s="339">
        <f t="shared" si="80"/>
        <v>0</v>
      </c>
      <c r="D286" s="339">
        <f t="shared" si="80"/>
        <v>1915000</v>
      </c>
      <c r="E286" s="339">
        <f t="shared" si="80"/>
        <v>0</v>
      </c>
      <c r="F286" s="339">
        <f t="shared" si="80"/>
        <v>45000</v>
      </c>
      <c r="G286" s="339">
        <f t="shared" si="80"/>
        <v>0</v>
      </c>
      <c r="H286" s="339">
        <f t="shared" si="80"/>
        <v>0</v>
      </c>
      <c r="I286" s="339">
        <f t="shared" si="80"/>
        <v>0</v>
      </c>
    </row>
    <row r="287" spans="1:9" ht="14.1" customHeight="1">
      <c r="A287" s="323" t="s">
        <v>932</v>
      </c>
      <c r="B287" s="326">
        <f t="shared" ref="B287:I287" si="81">SUM(B288:B289)</f>
        <v>18496195.537320003</v>
      </c>
      <c r="C287" s="326">
        <f t="shared" si="81"/>
        <v>0</v>
      </c>
      <c r="D287" s="326">
        <f t="shared" si="81"/>
        <v>5132700</v>
      </c>
      <c r="E287" s="326">
        <f t="shared" si="81"/>
        <v>0</v>
      </c>
      <c r="F287" s="326">
        <f t="shared" si="81"/>
        <v>12526495.537320001</v>
      </c>
      <c r="G287" s="326">
        <f t="shared" si="81"/>
        <v>0</v>
      </c>
      <c r="H287" s="326">
        <f t="shared" si="81"/>
        <v>837000</v>
      </c>
      <c r="I287" s="326">
        <f t="shared" si="81"/>
        <v>0</v>
      </c>
    </row>
    <row r="288" spans="1:9" ht="14.1" customHeight="1">
      <c r="A288" s="349" t="s">
        <v>933</v>
      </c>
      <c r="B288" s="351">
        <f>D288+F288+H288</f>
        <v>6010200</v>
      </c>
      <c r="C288" s="351">
        <f>E288+G288+I288</f>
        <v>0</v>
      </c>
      <c r="D288" s="350">
        <f>(D129+D137+D208+D219+D232)*0.27</f>
        <v>4428000</v>
      </c>
      <c r="E288" s="351"/>
      <c r="F288" s="350">
        <f>(F129+F137+F208+F219+F232)*0.27</f>
        <v>745200</v>
      </c>
      <c r="G288" s="351"/>
      <c r="H288" s="350">
        <f>(H129+H137+H208+H219+H232)*0.27</f>
        <v>837000</v>
      </c>
      <c r="I288" s="351"/>
    </row>
    <row r="289" spans="1:9" ht="14.1" customHeight="1">
      <c r="A289" s="349" t="s">
        <v>934</v>
      </c>
      <c r="B289" s="351">
        <f>D289+F289+H289</f>
        <v>12485995.537320001</v>
      </c>
      <c r="C289" s="351">
        <f>E289+G289+I289</f>
        <v>0</v>
      </c>
      <c r="D289" s="350">
        <f>(D136-D137+D153+D157++D168+D176+D181+D182+D189+D216+D250+D255+D274+D281+D302)*0.27</f>
        <v>704700</v>
      </c>
      <c r="E289" s="351"/>
      <c r="F289" s="350">
        <f>(F136-F137+F153+F157++F168+F176+F181+F182+F189+F216+F250+F255+F274+F281+F302)*0.27</f>
        <v>11781295.537320001</v>
      </c>
      <c r="G289" s="351"/>
      <c r="H289" s="350">
        <f>(H136-H137+H153+H157++H168+H176+H181+H182+H189+H216+H250+H255+H274+H281+H302)*0.27</f>
        <v>0</v>
      </c>
      <c r="I289" s="351"/>
    </row>
    <row r="290" spans="1:9" ht="14.1" customHeight="1">
      <c r="A290" s="323" t="s">
        <v>935</v>
      </c>
      <c r="B290" s="326">
        <f t="shared" ref="B290:I290" si="82">SUM(B291:B293)</f>
        <v>5000000</v>
      </c>
      <c r="C290" s="326">
        <f t="shared" si="82"/>
        <v>0</v>
      </c>
      <c r="D290" s="326">
        <f t="shared" si="82"/>
        <v>5000000</v>
      </c>
      <c r="E290" s="326">
        <f t="shared" si="82"/>
        <v>0</v>
      </c>
      <c r="F290" s="326">
        <f t="shared" si="82"/>
        <v>0</v>
      </c>
      <c r="G290" s="326">
        <f t="shared" si="82"/>
        <v>0</v>
      </c>
      <c r="H290" s="326">
        <f t="shared" si="82"/>
        <v>0</v>
      </c>
      <c r="I290" s="326">
        <f t="shared" si="82"/>
        <v>0</v>
      </c>
    </row>
    <row r="291" spans="1:9" ht="14.1" customHeight="1">
      <c r="A291" s="349" t="s">
        <v>804</v>
      </c>
      <c r="B291" s="351">
        <f t="shared" ref="B291:C293" si="83">D291+F291+H291</f>
        <v>5000000</v>
      </c>
      <c r="C291" s="351">
        <f t="shared" si="83"/>
        <v>0</v>
      </c>
      <c r="D291" s="350">
        <v>5000000</v>
      </c>
      <c r="E291" s="351"/>
      <c r="F291" s="350"/>
      <c r="G291" s="351"/>
      <c r="H291" s="350"/>
      <c r="I291" s="351"/>
    </row>
    <row r="292" spans="1:9" ht="14.1" customHeight="1">
      <c r="A292" s="349" t="s">
        <v>936</v>
      </c>
      <c r="B292" s="351">
        <f t="shared" si="83"/>
        <v>0</v>
      </c>
      <c r="C292" s="351">
        <f t="shared" si="83"/>
        <v>0</v>
      </c>
      <c r="D292" s="350"/>
      <c r="E292" s="351"/>
      <c r="F292" s="350"/>
      <c r="G292" s="351"/>
      <c r="H292" s="350"/>
      <c r="I292" s="351"/>
    </row>
    <row r="293" spans="1:9" ht="14.1" customHeight="1">
      <c r="A293" s="349" t="s">
        <v>937</v>
      </c>
      <c r="B293" s="351">
        <f t="shared" si="83"/>
        <v>0</v>
      </c>
      <c r="C293" s="351">
        <f t="shared" si="83"/>
        <v>0</v>
      </c>
      <c r="D293" s="350"/>
      <c r="E293" s="351"/>
      <c r="F293" s="350"/>
      <c r="G293" s="351"/>
      <c r="H293" s="350"/>
      <c r="I293" s="351"/>
    </row>
    <row r="294" spans="1:9" ht="14.1" customHeight="1">
      <c r="A294" s="323" t="s">
        <v>269</v>
      </c>
      <c r="B294" s="326">
        <f t="shared" ref="B294:I294" si="84">SUM(B295:B298)</f>
        <v>0</v>
      </c>
      <c r="C294" s="326">
        <f t="shared" si="84"/>
        <v>0</v>
      </c>
      <c r="D294" s="326">
        <f t="shared" si="84"/>
        <v>0</v>
      </c>
      <c r="E294" s="326">
        <f t="shared" si="84"/>
        <v>0</v>
      </c>
      <c r="F294" s="326">
        <f t="shared" si="84"/>
        <v>0</v>
      </c>
      <c r="G294" s="326">
        <f t="shared" si="84"/>
        <v>0</v>
      </c>
      <c r="H294" s="326">
        <f t="shared" si="84"/>
        <v>0</v>
      </c>
      <c r="I294" s="326">
        <f t="shared" si="84"/>
        <v>0</v>
      </c>
    </row>
    <row r="295" spans="1:9" ht="14.1" customHeight="1">
      <c r="A295" s="349" t="s">
        <v>812</v>
      </c>
      <c r="B295" s="351">
        <f t="shared" ref="B295:C298" si="85">D295+F295+H295</f>
        <v>0</v>
      </c>
      <c r="C295" s="351">
        <f t="shared" si="85"/>
        <v>0</v>
      </c>
      <c r="D295" s="350"/>
      <c r="E295" s="351"/>
      <c r="F295" s="350"/>
      <c r="G295" s="351"/>
      <c r="H295" s="350"/>
      <c r="I295" s="351"/>
    </row>
    <row r="296" spans="1:9" ht="14.1" customHeight="1">
      <c r="A296" s="349" t="s">
        <v>814</v>
      </c>
      <c r="B296" s="351">
        <f t="shared" si="85"/>
        <v>0</v>
      </c>
      <c r="C296" s="351">
        <f t="shared" si="85"/>
        <v>0</v>
      </c>
      <c r="D296" s="350"/>
      <c r="E296" s="351"/>
      <c r="F296" s="350"/>
      <c r="G296" s="351"/>
      <c r="H296" s="350"/>
      <c r="I296" s="351"/>
    </row>
    <row r="297" spans="1:9" ht="14.1" customHeight="1">
      <c r="A297" s="349" t="s">
        <v>816</v>
      </c>
      <c r="B297" s="351">
        <f t="shared" si="85"/>
        <v>0</v>
      </c>
      <c r="C297" s="351">
        <f t="shared" si="85"/>
        <v>0</v>
      </c>
      <c r="D297" s="350"/>
      <c r="E297" s="351"/>
      <c r="F297" s="350"/>
      <c r="G297" s="351"/>
      <c r="H297" s="350"/>
      <c r="I297" s="351"/>
    </row>
    <row r="298" spans="1:9" ht="14.1" customHeight="1">
      <c r="A298" s="349" t="s">
        <v>818</v>
      </c>
      <c r="B298" s="351">
        <f t="shared" si="85"/>
        <v>0</v>
      </c>
      <c r="C298" s="351">
        <f t="shared" si="85"/>
        <v>0</v>
      </c>
      <c r="D298" s="350"/>
      <c r="E298" s="351"/>
      <c r="F298" s="350"/>
      <c r="G298" s="351"/>
      <c r="H298" s="350"/>
      <c r="I298" s="351"/>
    </row>
    <row r="299" spans="1:9" ht="14.1" customHeight="1">
      <c r="A299" s="323" t="s">
        <v>271</v>
      </c>
      <c r="B299" s="326">
        <f t="shared" ref="B299:I299" si="86">SUM(B300:B301)</f>
        <v>0</v>
      </c>
      <c r="C299" s="326">
        <f t="shared" si="86"/>
        <v>0</v>
      </c>
      <c r="D299" s="326">
        <f t="shared" si="86"/>
        <v>0</v>
      </c>
      <c r="E299" s="326">
        <f t="shared" si="86"/>
        <v>0</v>
      </c>
      <c r="F299" s="326">
        <f t="shared" si="86"/>
        <v>0</v>
      </c>
      <c r="G299" s="326">
        <f t="shared" si="86"/>
        <v>0</v>
      </c>
      <c r="H299" s="326">
        <f t="shared" si="86"/>
        <v>0</v>
      </c>
      <c r="I299" s="326">
        <f t="shared" si="86"/>
        <v>0</v>
      </c>
    </row>
    <row r="300" spans="1:9" ht="14.1" customHeight="1">
      <c r="A300" s="349" t="s">
        <v>821</v>
      </c>
      <c r="B300" s="351">
        <f>D300+F300+H300</f>
        <v>0</v>
      </c>
      <c r="C300" s="351">
        <f>E300+G300+I300</f>
        <v>0</v>
      </c>
      <c r="D300" s="350"/>
      <c r="E300" s="351"/>
      <c r="F300" s="350"/>
      <c r="G300" s="351"/>
      <c r="H300" s="350"/>
      <c r="I300" s="351"/>
    </row>
    <row r="301" spans="1:9" ht="14.1" customHeight="1">
      <c r="A301" s="349" t="s">
        <v>1117</v>
      </c>
      <c r="B301" s="351">
        <f>D301+F301+H301</f>
        <v>0</v>
      </c>
      <c r="C301" s="351">
        <f>E301+G301+I301</f>
        <v>0</v>
      </c>
      <c r="D301" s="350"/>
      <c r="E301" s="351"/>
      <c r="F301" s="350"/>
      <c r="G301" s="351"/>
      <c r="H301" s="350"/>
      <c r="I301" s="351"/>
    </row>
    <row r="302" spans="1:9" ht="14.1" customHeight="1">
      <c r="A302" s="323" t="s">
        <v>273</v>
      </c>
      <c r="B302" s="326">
        <f t="shared" ref="B302:I302" si="87">B303+B304+B307+B308</f>
        <v>200000</v>
      </c>
      <c r="C302" s="326">
        <f t="shared" si="87"/>
        <v>0</v>
      </c>
      <c r="D302" s="326">
        <f t="shared" si="87"/>
        <v>200000</v>
      </c>
      <c r="E302" s="326">
        <f t="shared" si="87"/>
        <v>0</v>
      </c>
      <c r="F302" s="326">
        <f t="shared" si="87"/>
        <v>0</v>
      </c>
      <c r="G302" s="326">
        <f t="shared" si="87"/>
        <v>0</v>
      </c>
      <c r="H302" s="326">
        <f t="shared" si="87"/>
        <v>0</v>
      </c>
      <c r="I302" s="326">
        <f t="shared" si="87"/>
        <v>0</v>
      </c>
    </row>
    <row r="303" spans="1:9" s="360" customFormat="1" ht="14.1" customHeight="1">
      <c r="A303" s="358" t="s">
        <v>826</v>
      </c>
      <c r="B303" s="326">
        <f>D303+F303+H303</f>
        <v>0</v>
      </c>
      <c r="C303" s="326">
        <f>E303+G303+I303</f>
        <v>0</v>
      </c>
      <c r="D303" s="359"/>
      <c r="E303" s="326"/>
      <c r="F303" s="359"/>
      <c r="G303" s="326"/>
      <c r="H303" s="359"/>
      <c r="I303" s="326"/>
    </row>
    <row r="304" spans="1:9" s="360" customFormat="1" ht="14.1" customHeight="1">
      <c r="A304" s="358" t="s">
        <v>828</v>
      </c>
      <c r="B304" s="326">
        <f t="shared" ref="B304:I304" si="88">SUM(B305:B306)</f>
        <v>200000</v>
      </c>
      <c r="C304" s="326">
        <f t="shared" si="88"/>
        <v>0</v>
      </c>
      <c r="D304" s="359">
        <f t="shared" si="88"/>
        <v>200000</v>
      </c>
      <c r="E304" s="326">
        <f t="shared" si="88"/>
        <v>0</v>
      </c>
      <c r="F304" s="359">
        <f t="shared" si="88"/>
        <v>0</v>
      </c>
      <c r="G304" s="326">
        <f t="shared" si="88"/>
        <v>0</v>
      </c>
      <c r="H304" s="359">
        <f t="shared" si="88"/>
        <v>0</v>
      </c>
      <c r="I304" s="326">
        <f t="shared" si="88"/>
        <v>0</v>
      </c>
    </row>
    <row r="305" spans="1:9" s="362" customFormat="1" ht="14.1" customHeight="1">
      <c r="A305" s="361" t="s">
        <v>1118</v>
      </c>
      <c r="B305" s="333">
        <f t="shared" ref="B305:C308" si="89">D305+F305+H305</f>
        <v>0</v>
      </c>
      <c r="C305" s="333">
        <f t="shared" si="89"/>
        <v>0</v>
      </c>
      <c r="D305" s="332"/>
      <c r="E305" s="333"/>
      <c r="F305" s="332"/>
      <c r="G305" s="333"/>
      <c r="H305" s="332"/>
      <c r="I305" s="333"/>
    </row>
    <row r="306" spans="1:9" s="362" customFormat="1" ht="14.1" customHeight="1">
      <c r="A306" s="361" t="s">
        <v>1119</v>
      </c>
      <c r="B306" s="333">
        <f t="shared" si="89"/>
        <v>200000</v>
      </c>
      <c r="C306" s="333">
        <f t="shared" si="89"/>
        <v>0</v>
      </c>
      <c r="D306" s="332">
        <v>200000</v>
      </c>
      <c r="E306" s="333"/>
      <c r="F306" s="332"/>
      <c r="G306" s="333"/>
      <c r="H306" s="332"/>
      <c r="I306" s="333"/>
    </row>
    <row r="307" spans="1:9" s="360" customFormat="1" ht="14.1" customHeight="1">
      <c r="A307" s="358" t="s">
        <v>830</v>
      </c>
      <c r="B307" s="326">
        <f t="shared" si="89"/>
        <v>0</v>
      </c>
      <c r="C307" s="326">
        <f t="shared" si="89"/>
        <v>0</v>
      </c>
      <c r="D307" s="359"/>
      <c r="E307" s="326"/>
      <c r="F307" s="359"/>
      <c r="G307" s="326"/>
      <c r="H307" s="359"/>
      <c r="I307" s="326"/>
    </row>
    <row r="308" spans="1:9" s="360" customFormat="1" ht="14.1" customHeight="1">
      <c r="A308" s="358" t="s">
        <v>832</v>
      </c>
      <c r="B308" s="326">
        <f t="shared" si="89"/>
        <v>0</v>
      </c>
      <c r="C308" s="326">
        <f t="shared" si="89"/>
        <v>0</v>
      </c>
      <c r="D308" s="359"/>
      <c r="E308" s="326"/>
      <c r="F308" s="359"/>
      <c r="G308" s="326"/>
      <c r="H308" s="359"/>
      <c r="I308" s="326"/>
    </row>
    <row r="309" spans="1:9" ht="14.1" customHeight="1">
      <c r="A309" s="336" t="s">
        <v>275</v>
      </c>
      <c r="B309" s="339">
        <f t="shared" ref="B309:I309" si="90">B287+B290+B294+B299+B302</f>
        <v>23696195.537320003</v>
      </c>
      <c r="C309" s="339">
        <f t="shared" si="90"/>
        <v>0</v>
      </c>
      <c r="D309" s="339">
        <f t="shared" si="90"/>
        <v>10332700</v>
      </c>
      <c r="E309" s="339">
        <f t="shared" si="90"/>
        <v>0</v>
      </c>
      <c r="F309" s="339">
        <f t="shared" si="90"/>
        <v>12526495.537320001</v>
      </c>
      <c r="G309" s="339">
        <f t="shared" si="90"/>
        <v>0</v>
      </c>
      <c r="H309" s="339">
        <f t="shared" si="90"/>
        <v>837000</v>
      </c>
      <c r="I309" s="339">
        <f t="shared" si="90"/>
        <v>0</v>
      </c>
    </row>
    <row r="310" spans="1:9" ht="14.1" customHeight="1">
      <c r="A310" s="341" t="s">
        <v>277</v>
      </c>
      <c r="B310" s="344">
        <f t="shared" ref="B310:I310" si="91">B156+B175+B273+B286+B309</f>
        <v>92250623.453320011</v>
      </c>
      <c r="C310" s="344">
        <f t="shared" si="91"/>
        <v>0</v>
      </c>
      <c r="D310" s="344">
        <f t="shared" si="91"/>
        <v>29142700</v>
      </c>
      <c r="E310" s="344">
        <f t="shared" si="91"/>
        <v>0</v>
      </c>
      <c r="F310" s="344">
        <f t="shared" si="91"/>
        <v>59170923.453320004</v>
      </c>
      <c r="G310" s="344">
        <f t="shared" si="91"/>
        <v>0</v>
      </c>
      <c r="H310" s="344">
        <f t="shared" si="91"/>
        <v>3937000</v>
      </c>
      <c r="I310" s="344">
        <f t="shared" si="91"/>
        <v>0</v>
      </c>
    </row>
    <row r="312" spans="1:9" ht="14.1" customHeight="1">
      <c r="A312" s="699" t="s">
        <v>971</v>
      </c>
      <c r="B312" s="699"/>
      <c r="C312" s="699"/>
      <c r="D312" s="699"/>
      <c r="E312" s="699"/>
      <c r="F312" s="699"/>
      <c r="G312" s="699"/>
      <c r="H312" s="699"/>
      <c r="I312" s="699"/>
    </row>
    <row r="313" spans="1:9" ht="14.1" customHeight="1">
      <c r="A313" s="699" t="s">
        <v>889</v>
      </c>
      <c r="B313" s="695" t="s">
        <v>891</v>
      </c>
      <c r="C313" s="695" t="s">
        <v>892</v>
      </c>
      <c r="D313" s="695" t="s">
        <v>894</v>
      </c>
      <c r="E313" s="695"/>
      <c r="F313" s="695" t="s">
        <v>895</v>
      </c>
      <c r="G313" s="695"/>
      <c r="H313" s="695" t="s">
        <v>896</v>
      </c>
      <c r="I313" s="695"/>
    </row>
    <row r="314" spans="1:9" ht="14.1" customHeight="1">
      <c r="A314" s="699"/>
      <c r="B314" s="695"/>
      <c r="C314" s="695"/>
      <c r="D314" s="316" t="s">
        <v>897</v>
      </c>
      <c r="E314" s="316" t="s">
        <v>898</v>
      </c>
      <c r="F314" s="316" t="s">
        <v>897</v>
      </c>
      <c r="G314" s="316" t="s">
        <v>898</v>
      </c>
      <c r="H314" s="316" t="s">
        <v>897</v>
      </c>
      <c r="I314" s="316" t="s">
        <v>898</v>
      </c>
    </row>
    <row r="315" spans="1:9" ht="5.65" customHeight="1"/>
    <row r="316" spans="1:9" ht="14.1" customHeight="1">
      <c r="A316" s="700" t="s">
        <v>940</v>
      </c>
      <c r="B316" s="700"/>
      <c r="C316" s="700"/>
      <c r="D316" s="700"/>
      <c r="E316" s="700"/>
      <c r="F316" s="700"/>
      <c r="G316" s="700"/>
      <c r="H316" s="700"/>
      <c r="I316" s="700"/>
    </row>
    <row r="317" spans="1:9" ht="14.1" customHeight="1">
      <c r="A317" s="349" t="s">
        <v>321</v>
      </c>
      <c r="B317" s="351">
        <f t="shared" ref="B317:C323" si="92">D317+F317+H317</f>
        <v>80000</v>
      </c>
      <c r="C317" s="351">
        <f t="shared" si="92"/>
        <v>0</v>
      </c>
      <c r="D317" s="350"/>
      <c r="E317" s="351"/>
      <c r="F317" s="350">
        <v>80000</v>
      </c>
      <c r="G317" s="351"/>
      <c r="H317" s="350"/>
      <c r="I317" s="351"/>
    </row>
    <row r="318" spans="1:9" ht="14.1" customHeight="1">
      <c r="A318" s="349" t="s">
        <v>323</v>
      </c>
      <c r="B318" s="351">
        <f t="shared" si="92"/>
        <v>0</v>
      </c>
      <c r="C318" s="351">
        <f t="shared" si="92"/>
        <v>0</v>
      </c>
      <c r="D318" s="350"/>
      <c r="E318" s="351"/>
      <c r="F318" s="350"/>
      <c r="G318" s="351"/>
      <c r="H318" s="350"/>
      <c r="I318" s="351"/>
    </row>
    <row r="319" spans="1:9" ht="14.1" customHeight="1">
      <c r="A319" s="349" t="s">
        <v>325</v>
      </c>
      <c r="B319" s="351">
        <f t="shared" si="92"/>
        <v>0</v>
      </c>
      <c r="C319" s="351">
        <f t="shared" si="92"/>
        <v>0</v>
      </c>
      <c r="D319" s="350"/>
      <c r="E319" s="351"/>
      <c r="F319" s="350"/>
      <c r="G319" s="351"/>
      <c r="H319" s="350"/>
      <c r="I319" s="351"/>
    </row>
    <row r="320" spans="1:9" ht="14.1" customHeight="1">
      <c r="A320" s="349" t="s">
        <v>943</v>
      </c>
      <c r="B320" s="351">
        <f t="shared" si="92"/>
        <v>116500</v>
      </c>
      <c r="C320" s="351">
        <f t="shared" si="92"/>
        <v>0</v>
      </c>
      <c r="D320" s="350"/>
      <c r="E320" s="351"/>
      <c r="F320" s="350">
        <f>19000+97500</f>
        <v>116500</v>
      </c>
      <c r="G320" s="351"/>
      <c r="H320" s="350"/>
      <c r="I320" s="351"/>
    </row>
    <row r="321" spans="1:9" ht="14.1" customHeight="1">
      <c r="A321" s="349" t="s">
        <v>842</v>
      </c>
      <c r="B321" s="351">
        <f t="shared" si="92"/>
        <v>0</v>
      </c>
      <c r="C321" s="351">
        <f t="shared" si="92"/>
        <v>0</v>
      </c>
      <c r="D321" s="350"/>
      <c r="E321" s="351"/>
      <c r="F321" s="350"/>
      <c r="G321" s="351"/>
      <c r="H321" s="350"/>
      <c r="I321" s="351"/>
    </row>
    <row r="322" spans="1:9" ht="14.1" customHeight="1">
      <c r="A322" s="349" t="s">
        <v>329</v>
      </c>
      <c r="B322" s="351">
        <f t="shared" si="92"/>
        <v>0</v>
      </c>
      <c r="C322" s="351">
        <f t="shared" si="92"/>
        <v>0</v>
      </c>
      <c r="D322" s="350"/>
      <c r="E322" s="351"/>
      <c r="F322" s="350"/>
      <c r="G322" s="351"/>
      <c r="H322" s="350"/>
      <c r="I322" s="351"/>
    </row>
    <row r="323" spans="1:9" ht="14.1" customHeight="1">
      <c r="A323" s="349" t="s">
        <v>946</v>
      </c>
      <c r="B323" s="351">
        <f t="shared" si="92"/>
        <v>0</v>
      </c>
      <c r="C323" s="351">
        <f t="shared" si="92"/>
        <v>0</v>
      </c>
      <c r="D323" s="350"/>
      <c r="E323" s="351"/>
      <c r="F323" s="350"/>
      <c r="G323" s="351"/>
      <c r="H323" s="350"/>
      <c r="I323" s="351"/>
    </row>
    <row r="324" spans="1:9" ht="14.1" customHeight="1">
      <c r="A324" s="349" t="s">
        <v>947</v>
      </c>
      <c r="B324" s="351">
        <f t="shared" ref="B324:I324" si="93">SUM(B317:B323)*0.27</f>
        <v>53055</v>
      </c>
      <c r="C324" s="351">
        <f t="shared" si="93"/>
        <v>0</v>
      </c>
      <c r="D324" s="367">
        <f t="shared" si="93"/>
        <v>0</v>
      </c>
      <c r="E324" s="351">
        <f t="shared" si="93"/>
        <v>0</v>
      </c>
      <c r="F324" s="367">
        <f t="shared" si="93"/>
        <v>53055</v>
      </c>
      <c r="G324" s="351">
        <f t="shared" si="93"/>
        <v>0</v>
      </c>
      <c r="H324" s="367">
        <f t="shared" si="93"/>
        <v>0</v>
      </c>
      <c r="I324" s="351">
        <f t="shared" si="93"/>
        <v>0</v>
      </c>
    </row>
    <row r="325" spans="1:9" s="360" customFormat="1" ht="14.1" customHeight="1">
      <c r="A325" s="323" t="s">
        <v>846</v>
      </c>
      <c r="B325" s="326">
        <f t="shared" ref="B325:I325" si="94">SUM(B317:B324)</f>
        <v>249555</v>
      </c>
      <c r="C325" s="326">
        <f t="shared" si="94"/>
        <v>0</v>
      </c>
      <c r="D325" s="326">
        <f t="shared" si="94"/>
        <v>0</v>
      </c>
      <c r="E325" s="326">
        <f t="shared" si="94"/>
        <v>0</v>
      </c>
      <c r="F325" s="326">
        <f t="shared" si="94"/>
        <v>249555</v>
      </c>
      <c r="G325" s="326">
        <f t="shared" si="94"/>
        <v>0</v>
      </c>
      <c r="H325" s="326">
        <f t="shared" si="94"/>
        <v>0</v>
      </c>
      <c r="I325" s="326">
        <f t="shared" si="94"/>
        <v>0</v>
      </c>
    </row>
    <row r="326" spans="1:9" ht="14.1" customHeight="1">
      <c r="A326" s="349" t="s">
        <v>336</v>
      </c>
      <c r="B326" s="351">
        <f t="shared" ref="B326:C329" si="95">D326+F326+H326</f>
        <v>0</v>
      </c>
      <c r="C326" s="351">
        <f t="shared" si="95"/>
        <v>0</v>
      </c>
      <c r="D326" s="350"/>
      <c r="E326" s="351"/>
      <c r="F326" s="350"/>
      <c r="G326" s="351"/>
      <c r="H326" s="350"/>
      <c r="I326" s="351"/>
    </row>
    <row r="327" spans="1:9" ht="14.1" customHeight="1">
      <c r="A327" s="349" t="s">
        <v>848</v>
      </c>
      <c r="B327" s="351">
        <f t="shared" si="95"/>
        <v>0</v>
      </c>
      <c r="C327" s="351">
        <f t="shared" si="95"/>
        <v>0</v>
      </c>
      <c r="D327" s="350"/>
      <c r="E327" s="351"/>
      <c r="F327" s="350"/>
      <c r="G327" s="351"/>
      <c r="H327" s="350"/>
      <c r="I327" s="351"/>
    </row>
    <row r="328" spans="1:9" ht="14.1" customHeight="1">
      <c r="A328" s="349" t="s">
        <v>949</v>
      </c>
      <c r="B328" s="351">
        <f t="shared" si="95"/>
        <v>0</v>
      </c>
      <c r="C328" s="351">
        <f t="shared" si="95"/>
        <v>0</v>
      </c>
      <c r="D328" s="350"/>
      <c r="E328" s="351"/>
      <c r="F328" s="350"/>
      <c r="G328" s="351"/>
      <c r="H328" s="350"/>
      <c r="I328" s="351"/>
    </row>
    <row r="329" spans="1:9" ht="14.1" customHeight="1">
      <c r="A329" s="349" t="s">
        <v>852</v>
      </c>
      <c r="B329" s="351">
        <f t="shared" si="95"/>
        <v>0</v>
      </c>
      <c r="C329" s="351">
        <f t="shared" si="95"/>
        <v>0</v>
      </c>
      <c r="D329" s="350"/>
      <c r="E329" s="351"/>
      <c r="F329" s="350"/>
      <c r="G329" s="351"/>
      <c r="H329" s="350"/>
      <c r="I329" s="351"/>
    </row>
    <row r="330" spans="1:9" ht="14.1" customHeight="1">
      <c r="A330" s="349" t="s">
        <v>950</v>
      </c>
      <c r="B330" s="351">
        <f t="shared" ref="B330:I330" si="96">SUM(B326:B329)*0.27</f>
        <v>0</v>
      </c>
      <c r="C330" s="351">
        <f t="shared" si="96"/>
        <v>0</v>
      </c>
      <c r="D330" s="367">
        <f t="shared" si="96"/>
        <v>0</v>
      </c>
      <c r="E330" s="351">
        <f t="shared" si="96"/>
        <v>0</v>
      </c>
      <c r="F330" s="367">
        <f t="shared" si="96"/>
        <v>0</v>
      </c>
      <c r="G330" s="351">
        <f t="shared" si="96"/>
        <v>0</v>
      </c>
      <c r="H330" s="367">
        <f t="shared" si="96"/>
        <v>0</v>
      </c>
      <c r="I330" s="351">
        <f t="shared" si="96"/>
        <v>0</v>
      </c>
    </row>
    <row r="331" spans="1:9" s="360" customFormat="1" ht="14.1" customHeight="1">
      <c r="A331" s="323" t="s">
        <v>856</v>
      </c>
      <c r="B331" s="326">
        <f t="shared" ref="B331:I331" si="97">SUM(B326:B330)</f>
        <v>0</v>
      </c>
      <c r="C331" s="326">
        <f t="shared" si="97"/>
        <v>0</v>
      </c>
      <c r="D331" s="326">
        <f t="shared" si="97"/>
        <v>0</v>
      </c>
      <c r="E331" s="326">
        <f t="shared" si="97"/>
        <v>0</v>
      </c>
      <c r="F331" s="326">
        <f t="shared" si="97"/>
        <v>0</v>
      </c>
      <c r="G331" s="326">
        <f t="shared" si="97"/>
        <v>0</v>
      </c>
      <c r="H331" s="326">
        <f t="shared" si="97"/>
        <v>0</v>
      </c>
      <c r="I331" s="326">
        <f t="shared" si="97"/>
        <v>0</v>
      </c>
    </row>
    <row r="332" spans="1:9" s="360" customFormat="1" ht="14.1" customHeight="1">
      <c r="A332" s="341" t="s">
        <v>857</v>
      </c>
      <c r="B332" s="344">
        <f t="shared" ref="B332:I332" si="98">B325+B331</f>
        <v>249555</v>
      </c>
      <c r="C332" s="344">
        <f t="shared" si="98"/>
        <v>0</v>
      </c>
      <c r="D332" s="344">
        <f t="shared" si="98"/>
        <v>0</v>
      </c>
      <c r="E332" s="344">
        <f t="shared" si="98"/>
        <v>0</v>
      </c>
      <c r="F332" s="344">
        <f t="shared" si="98"/>
        <v>249555</v>
      </c>
      <c r="G332" s="344">
        <f t="shared" si="98"/>
        <v>0</v>
      </c>
      <c r="H332" s="344">
        <f t="shared" si="98"/>
        <v>0</v>
      </c>
      <c r="I332" s="344">
        <f t="shared" si="98"/>
        <v>0</v>
      </c>
    </row>
    <row r="333" spans="1:9" ht="14.1" customHeight="1">
      <c r="A333" s="355" t="s">
        <v>951</v>
      </c>
      <c r="B333" s="354">
        <f t="shared" ref="B333:I333" si="99">B112+B121+B310+B332</f>
        <v>132431760.45332001</v>
      </c>
      <c r="C333" s="354">
        <f t="shared" si="99"/>
        <v>0</v>
      </c>
      <c r="D333" s="354">
        <f t="shared" si="99"/>
        <v>29142700</v>
      </c>
      <c r="E333" s="354">
        <f t="shared" si="99"/>
        <v>0</v>
      </c>
      <c r="F333" s="354">
        <f t="shared" si="99"/>
        <v>99352060.453319997</v>
      </c>
      <c r="G333" s="354">
        <f t="shared" si="99"/>
        <v>0</v>
      </c>
      <c r="H333" s="354">
        <f t="shared" si="99"/>
        <v>3937000</v>
      </c>
      <c r="I333" s="354">
        <f t="shared" si="99"/>
        <v>0</v>
      </c>
    </row>
    <row r="335" spans="1:9" ht="14.1" customHeight="1">
      <c r="A335" s="699" t="s">
        <v>971</v>
      </c>
      <c r="B335" s="699"/>
      <c r="C335" s="699"/>
      <c r="D335" s="699"/>
      <c r="E335" s="699"/>
      <c r="F335" s="699"/>
      <c r="G335" s="699"/>
      <c r="H335" s="699"/>
      <c r="I335" s="699"/>
    </row>
    <row r="336" spans="1:9" ht="14.1" customHeight="1">
      <c r="A336" s="699" t="s">
        <v>889</v>
      </c>
      <c r="B336" s="695" t="s">
        <v>891</v>
      </c>
      <c r="C336" s="695" t="s">
        <v>892</v>
      </c>
      <c r="D336" s="695" t="s">
        <v>894</v>
      </c>
      <c r="E336" s="695"/>
      <c r="F336" s="695" t="s">
        <v>895</v>
      </c>
      <c r="G336" s="695"/>
      <c r="H336" s="695" t="s">
        <v>896</v>
      </c>
      <c r="I336" s="695"/>
    </row>
    <row r="337" spans="1:9" ht="14.1" customHeight="1">
      <c r="A337" s="699"/>
      <c r="B337" s="695"/>
      <c r="C337" s="695"/>
      <c r="D337" s="316" t="s">
        <v>897</v>
      </c>
      <c r="E337" s="316" t="s">
        <v>898</v>
      </c>
      <c r="F337" s="316" t="s">
        <v>897</v>
      </c>
      <c r="G337" s="316" t="s">
        <v>898</v>
      </c>
      <c r="H337" s="316" t="s">
        <v>897</v>
      </c>
      <c r="I337" s="316" t="s">
        <v>898</v>
      </c>
    </row>
    <row r="338" spans="1:9" ht="5.65" customHeight="1"/>
    <row r="339" spans="1:9" ht="14.1" customHeight="1">
      <c r="A339" s="700" t="s">
        <v>952</v>
      </c>
      <c r="B339" s="700"/>
      <c r="C339" s="700"/>
      <c r="D339" s="700"/>
      <c r="E339" s="700"/>
      <c r="F339" s="700"/>
      <c r="G339" s="700"/>
      <c r="H339" s="700"/>
      <c r="I339" s="700"/>
    </row>
    <row r="340" spans="1:9" ht="14.1" customHeight="1">
      <c r="A340" s="341" t="s">
        <v>954</v>
      </c>
      <c r="B340" s="344">
        <f t="shared" ref="B340:I340" si="100">B341+B342+B360+B364+B369+B370+B371</f>
        <v>34001800</v>
      </c>
      <c r="C340" s="344">
        <f t="shared" si="100"/>
        <v>0</v>
      </c>
      <c r="D340" s="344">
        <f t="shared" si="100"/>
        <v>14990700</v>
      </c>
      <c r="E340" s="344">
        <f t="shared" si="100"/>
        <v>0</v>
      </c>
      <c r="F340" s="344">
        <f t="shared" si="100"/>
        <v>19011100</v>
      </c>
      <c r="G340" s="344">
        <f t="shared" si="100"/>
        <v>0</v>
      </c>
      <c r="H340" s="344">
        <f t="shared" si="100"/>
        <v>0</v>
      </c>
      <c r="I340" s="344">
        <f t="shared" si="100"/>
        <v>0</v>
      </c>
    </row>
    <row r="341" spans="1:9" ht="14.1" customHeight="1">
      <c r="A341" s="323" t="s">
        <v>956</v>
      </c>
      <c r="B341" s="326">
        <f>D341+F341+H341</f>
        <v>0</v>
      </c>
      <c r="C341" s="326">
        <f>E341+G341+I341</f>
        <v>0</v>
      </c>
      <c r="D341" s="326">
        <v>0</v>
      </c>
      <c r="E341" s="326">
        <f>'MMMH bevetel'!E3</f>
        <v>0</v>
      </c>
      <c r="F341" s="326">
        <v>0</v>
      </c>
      <c r="G341" s="326">
        <f>'MMMH bevetel'!F3</f>
        <v>0</v>
      </c>
      <c r="H341" s="326">
        <v>0</v>
      </c>
      <c r="I341" s="326">
        <f>'MMMH bevetel'!G3</f>
        <v>0</v>
      </c>
    </row>
    <row r="342" spans="1:9" ht="14.1" customHeight="1">
      <c r="A342" s="323" t="s">
        <v>958</v>
      </c>
      <c r="B342" s="326">
        <f t="shared" ref="B342:I342" si="101">SUM(B343:B359)</f>
        <v>11410000</v>
      </c>
      <c r="C342" s="326">
        <f t="shared" si="101"/>
        <v>0</v>
      </c>
      <c r="D342" s="326">
        <f t="shared" si="101"/>
        <v>11410000</v>
      </c>
      <c r="E342" s="326">
        <f t="shared" si="101"/>
        <v>0</v>
      </c>
      <c r="F342" s="326">
        <f t="shared" si="101"/>
        <v>0</v>
      </c>
      <c r="G342" s="326">
        <f t="shared" si="101"/>
        <v>0</v>
      </c>
      <c r="H342" s="326">
        <f t="shared" si="101"/>
        <v>0</v>
      </c>
      <c r="I342" s="326">
        <f t="shared" si="101"/>
        <v>0</v>
      </c>
    </row>
    <row r="343" spans="1:9" s="362" customFormat="1" ht="14.1" customHeight="1">
      <c r="A343" s="361" t="s">
        <v>1120</v>
      </c>
      <c r="B343" s="332">
        <f t="shared" ref="B343:C359" si="102">D343+F343+H343</f>
        <v>6200000</v>
      </c>
      <c r="C343" s="332">
        <f t="shared" si="102"/>
        <v>0</v>
      </c>
      <c r="D343" s="332">
        <v>6200000</v>
      </c>
      <c r="E343" s="333">
        <f>'MMMH bevetel'!E7+'MMMH bevetel'!E11+'MMMH bevetel'!E15+'MMMH bevetel'!E19+'MMMH bevetel'!E23+'MMMH bevetel'!E27+'MMMH bevetel'!E31+'MMMH bevetel'!E35+'MMMH bevetel'!E39+'MMMH bevetel'!E43+'MMMH bevetel'!E47+'MMMH bevetel'!E51+'MMMH bevetel'!E55+'MMMH bevetel'!E59+'MMMH bevetel'!E63+'MMMH bevetel'!E67-'MMMH bevetel'!E213-'MMMH bevetel'!E214-'MMMH bevetel'!E215-'MMMH bevetel'!E216-'MMMH bevetel'!E217-'MMMH bevetel'!E218-'MMMH bevetel'!E219-'MMMH bevetel'!E220-'MMMH bevetel'!E221-'MMMH bevetel'!E222-'MMMH bevetel'!E223-'MMMH bevetel'!E224-'MMMH bevetel'!E225-'MMMH bevetel'!E226-'MMMH bevetel'!E227-'MMMH bevetel'!E228</f>
        <v>0</v>
      </c>
      <c r="F343" s="332">
        <v>0</v>
      </c>
      <c r="G343" s="333">
        <f>'MMMH bevetel'!F7+'MMMH bevetel'!F11+'MMMH bevetel'!F15+'MMMH bevetel'!F19+'MMMH bevetel'!F23+'MMMH bevetel'!F27+'MMMH bevetel'!F31+'MMMH bevetel'!F35+'MMMH bevetel'!F39+'MMMH bevetel'!F43+'MMMH bevetel'!F47+'MMMH bevetel'!F51+'MMMH bevetel'!F55+'MMMH bevetel'!F59+'MMMH bevetel'!F63+'MMMH bevetel'!F67</f>
        <v>0</v>
      </c>
      <c r="H343" s="332">
        <v>0</v>
      </c>
      <c r="I343" s="333">
        <f>'MMMH bevetel'!G7+'MMMH bevetel'!G11+'MMMH bevetel'!G15+'MMMH bevetel'!G19+'MMMH bevetel'!G23+'MMMH bevetel'!G27+'MMMH bevetel'!G31+'MMMH bevetel'!G35+'MMMH bevetel'!G39+'MMMH bevetel'!G43+'MMMH bevetel'!G47+'MMMH bevetel'!G51+'MMMH bevetel'!G55+'MMMH bevetel'!G59+'MMMH bevetel'!G63+'MMMH bevetel'!G67</f>
        <v>0</v>
      </c>
    </row>
    <row r="344" spans="1:9" s="362" customFormat="1" ht="14.1" customHeight="1">
      <c r="A344" s="361" t="s">
        <v>1086</v>
      </c>
      <c r="B344" s="332">
        <f t="shared" si="102"/>
        <v>700000</v>
      </c>
      <c r="C344" s="332">
        <f t="shared" si="102"/>
        <v>0</v>
      </c>
      <c r="D344" s="332">
        <v>700000</v>
      </c>
      <c r="E344" s="333">
        <f>'MMMH bevetel'!E71-'MMMH bevetel'!E229</f>
        <v>0</v>
      </c>
      <c r="F344" s="332">
        <v>0</v>
      </c>
      <c r="G344" s="333">
        <f>'MMMH bevetel'!F71</f>
        <v>0</v>
      </c>
      <c r="H344" s="332">
        <v>0</v>
      </c>
      <c r="I344" s="333">
        <f>'MMMH bevetel'!G71</f>
        <v>0</v>
      </c>
    </row>
    <row r="345" spans="1:9" s="362" customFormat="1" ht="14.1" customHeight="1">
      <c r="A345" s="361" t="s">
        <v>1121</v>
      </c>
      <c r="B345" s="332">
        <f t="shared" si="102"/>
        <v>0</v>
      </c>
      <c r="C345" s="332">
        <f t="shared" si="102"/>
        <v>0</v>
      </c>
      <c r="D345" s="332">
        <v>0</v>
      </c>
      <c r="E345" s="333">
        <f>'MMMH bevetel'!E75-'MMMH bevetel'!E230</f>
        <v>0</v>
      </c>
      <c r="F345" s="332">
        <v>0</v>
      </c>
      <c r="G345" s="333">
        <f>'MMMH bevetel'!F75</f>
        <v>0</v>
      </c>
      <c r="H345" s="332">
        <v>0</v>
      </c>
      <c r="I345" s="333">
        <f>'MMMH bevetel'!G75-'MMMH bevetel'!G230</f>
        <v>0</v>
      </c>
    </row>
    <row r="346" spans="1:9" s="362" customFormat="1" ht="14.1" customHeight="1">
      <c r="A346" s="361" t="s">
        <v>1075</v>
      </c>
      <c r="B346" s="332">
        <f t="shared" si="102"/>
        <v>400000</v>
      </c>
      <c r="C346" s="332">
        <f t="shared" si="102"/>
        <v>0</v>
      </c>
      <c r="D346" s="332">
        <v>400000</v>
      </c>
      <c r="E346" s="333">
        <f>'MMMH bevetel'!E79+'MMMH bevetel'!E83+'MMMH bevetel'!E87+'MMMH bevetel'!E91+'MMMH bevetel'!E95-'MMMH bevetel'!E231-'MMMH bevetel'!E232-'MMMH bevetel'!E233-'MMMH bevetel'!E234-'MMMH bevetel'!E235</f>
        <v>0</v>
      </c>
      <c r="F346" s="332">
        <v>0</v>
      </c>
      <c r="G346" s="333">
        <f>'MMMH bevetel'!F79+'MMMH bevetel'!F83+'MMMH bevetel'!F87+'MMMH bevetel'!F91+'MMMH bevetel'!F95</f>
        <v>0</v>
      </c>
      <c r="H346" s="332">
        <v>0</v>
      </c>
      <c r="I346" s="333">
        <f>'MMMH bevetel'!G79+'MMMH bevetel'!G83+'MMMH bevetel'!G87+'MMMH bevetel'!G91+'MMMH bevetel'!G95</f>
        <v>0</v>
      </c>
    </row>
    <row r="347" spans="1:9" s="362" customFormat="1" ht="14.1" customHeight="1">
      <c r="A347" s="361" t="s">
        <v>1076</v>
      </c>
      <c r="B347" s="332">
        <f t="shared" si="102"/>
        <v>0</v>
      </c>
      <c r="C347" s="332">
        <f t="shared" si="102"/>
        <v>0</v>
      </c>
      <c r="D347" s="332">
        <v>0</v>
      </c>
      <c r="E347" s="333">
        <f>'MMMH bevetel'!E99-'MMMH bevetel'!E236</f>
        <v>0</v>
      </c>
      <c r="F347" s="332">
        <v>0</v>
      </c>
      <c r="G347" s="333">
        <f>'MMMH bevetel'!F99</f>
        <v>0</v>
      </c>
      <c r="H347" s="332">
        <v>0</v>
      </c>
      <c r="I347" s="333">
        <f>'MMMH bevetel'!G99</f>
        <v>0</v>
      </c>
    </row>
    <row r="348" spans="1:9" s="362" customFormat="1" ht="14.1" customHeight="1">
      <c r="A348" s="361" t="s">
        <v>1077</v>
      </c>
      <c r="B348" s="332">
        <f t="shared" si="102"/>
        <v>60000</v>
      </c>
      <c r="C348" s="332">
        <f t="shared" si="102"/>
        <v>0</v>
      </c>
      <c r="D348" s="332">
        <v>60000</v>
      </c>
      <c r="E348" s="333">
        <f>'MMMH bevetel'!E103+'MMMH bevetel'!E107+'MMMH bevetel'!E111-'MMMH bevetel'!E237-'MMMH bevetel'!E238-'MMMH bevetel'!E239</f>
        <v>0</v>
      </c>
      <c r="F348" s="332">
        <v>0</v>
      </c>
      <c r="G348" s="333">
        <f>'MMMH bevetel'!F103+'MMMH bevetel'!F107+'MMMH bevetel'!F111</f>
        <v>0</v>
      </c>
      <c r="H348" s="332">
        <v>0</v>
      </c>
      <c r="I348" s="333">
        <f>'MMMH bevetel'!G103+'MMMH bevetel'!G107+'MMMH bevetel'!G111</f>
        <v>0</v>
      </c>
    </row>
    <row r="349" spans="1:9" s="362" customFormat="1" ht="14.1" customHeight="1">
      <c r="A349" s="361" t="s">
        <v>1078</v>
      </c>
      <c r="B349" s="332">
        <f t="shared" si="102"/>
        <v>0</v>
      </c>
      <c r="C349" s="332">
        <f t="shared" si="102"/>
        <v>0</v>
      </c>
      <c r="D349" s="332">
        <v>0</v>
      </c>
      <c r="E349" s="333">
        <f>'MMMH bevetel'!E115-'MMMH bevetel'!E240</f>
        <v>0</v>
      </c>
      <c r="F349" s="332">
        <v>0</v>
      </c>
      <c r="G349" s="333">
        <f>'MMMH bevetel'!F115</f>
        <v>0</v>
      </c>
      <c r="H349" s="332">
        <v>0</v>
      </c>
      <c r="I349" s="333">
        <f>'MMMH bevetel'!G115</f>
        <v>0</v>
      </c>
    </row>
    <row r="350" spans="1:9" s="362" customFormat="1" ht="14.1" customHeight="1">
      <c r="A350" s="361" t="s">
        <v>1079</v>
      </c>
      <c r="B350" s="332">
        <f t="shared" si="102"/>
        <v>400000</v>
      </c>
      <c r="C350" s="332">
        <f t="shared" si="102"/>
        <v>0</v>
      </c>
      <c r="D350" s="332">
        <v>400000</v>
      </c>
      <c r="E350" s="333">
        <f>'MMMH bevetel'!E119-'MMMH bevetel'!E241</f>
        <v>0</v>
      </c>
      <c r="F350" s="332">
        <v>0</v>
      </c>
      <c r="G350" s="333">
        <f>'MMMH bevetel'!F119</f>
        <v>0</v>
      </c>
      <c r="H350" s="332">
        <v>0</v>
      </c>
      <c r="I350" s="333">
        <f>'MMMH bevetel'!G119</f>
        <v>0</v>
      </c>
    </row>
    <row r="351" spans="1:9" s="362" customFormat="1" ht="14.1" customHeight="1">
      <c r="A351" s="361" t="s">
        <v>1080</v>
      </c>
      <c r="B351" s="332">
        <f t="shared" si="102"/>
        <v>0</v>
      </c>
      <c r="C351" s="332">
        <f t="shared" si="102"/>
        <v>0</v>
      </c>
      <c r="D351" s="332">
        <v>0</v>
      </c>
      <c r="E351" s="333">
        <f>'MMMH bevetel'!E123-'MMMH bevetel'!E242</f>
        <v>0</v>
      </c>
      <c r="F351" s="332">
        <v>0</v>
      </c>
      <c r="G351" s="333">
        <f>'MMMH bevetel'!F123</f>
        <v>0</v>
      </c>
      <c r="H351" s="332">
        <v>0</v>
      </c>
      <c r="I351" s="333">
        <f>'MMMH bevetel'!G123</f>
        <v>0</v>
      </c>
    </row>
    <row r="352" spans="1:9" s="362" customFormat="1" ht="14.1" customHeight="1">
      <c r="A352" s="361" t="s">
        <v>1081</v>
      </c>
      <c r="B352" s="332">
        <f t="shared" si="102"/>
        <v>900000</v>
      </c>
      <c r="C352" s="332">
        <f t="shared" si="102"/>
        <v>0</v>
      </c>
      <c r="D352" s="332">
        <v>900000</v>
      </c>
      <c r="E352" s="333">
        <f>'MMMH bevetel'!E127-'MMMH bevetel'!E243</f>
        <v>0</v>
      </c>
      <c r="F352" s="332">
        <v>0</v>
      </c>
      <c r="G352" s="333">
        <f>'MMMH bevetel'!F127</f>
        <v>0</v>
      </c>
      <c r="H352" s="332">
        <v>0</v>
      </c>
      <c r="I352" s="333">
        <f>'MMMH bevetel'!G127</f>
        <v>0</v>
      </c>
    </row>
    <row r="353" spans="1:9" s="362" customFormat="1" ht="14.1" customHeight="1">
      <c r="A353" s="361" t="s">
        <v>1082</v>
      </c>
      <c r="B353" s="332">
        <f t="shared" si="102"/>
        <v>900000</v>
      </c>
      <c r="C353" s="332">
        <f t="shared" si="102"/>
        <v>0</v>
      </c>
      <c r="D353" s="332">
        <v>900000</v>
      </c>
      <c r="E353" s="333">
        <f>'MMMH bevetel'!E131-'MMMH bevetel'!E244</f>
        <v>0</v>
      </c>
      <c r="F353" s="332">
        <v>0</v>
      </c>
      <c r="G353" s="333">
        <f>'MMMH bevetel'!F131</f>
        <v>0</v>
      </c>
      <c r="H353" s="332">
        <v>0</v>
      </c>
      <c r="I353" s="333">
        <f>'MMMH bevetel'!G131</f>
        <v>0</v>
      </c>
    </row>
    <row r="354" spans="1:9" s="362" customFormat="1" ht="14.1" customHeight="1">
      <c r="A354" s="361" t="s">
        <v>1083</v>
      </c>
      <c r="B354" s="332">
        <f t="shared" si="102"/>
        <v>1300000</v>
      </c>
      <c r="C354" s="332">
        <f t="shared" si="102"/>
        <v>0</v>
      </c>
      <c r="D354" s="332">
        <v>1300000</v>
      </c>
      <c r="E354" s="333">
        <f>'MMMH bevetel'!E135-'MMMH bevetel'!E245</f>
        <v>0</v>
      </c>
      <c r="F354" s="332">
        <v>0</v>
      </c>
      <c r="G354" s="333">
        <f>'MMMH bevetel'!F135</f>
        <v>0</v>
      </c>
      <c r="H354" s="332">
        <v>0</v>
      </c>
      <c r="I354" s="333">
        <f>'MMMH bevetel'!G135</f>
        <v>0</v>
      </c>
    </row>
    <row r="355" spans="1:9" s="362" customFormat="1" ht="14.1" customHeight="1">
      <c r="A355" s="361" t="s">
        <v>1084</v>
      </c>
      <c r="B355" s="332">
        <f t="shared" si="102"/>
        <v>200000</v>
      </c>
      <c r="C355" s="332">
        <f t="shared" si="102"/>
        <v>0</v>
      </c>
      <c r="D355" s="332">
        <v>200000</v>
      </c>
      <c r="E355" s="333">
        <f>'MMMH bevetel'!E139-'MMMH bevetel'!E246</f>
        <v>0</v>
      </c>
      <c r="F355" s="332">
        <v>0</v>
      </c>
      <c r="G355" s="333">
        <f>'MMMH bevetel'!F139</f>
        <v>0</v>
      </c>
      <c r="H355" s="332">
        <v>0</v>
      </c>
      <c r="I355" s="333">
        <f>'MMMH bevetel'!G139</f>
        <v>0</v>
      </c>
    </row>
    <row r="356" spans="1:9" s="362" customFormat="1" ht="14.1" customHeight="1">
      <c r="A356" s="361" t="s">
        <v>1122</v>
      </c>
      <c r="B356" s="332">
        <f t="shared" si="102"/>
        <v>50000</v>
      </c>
      <c r="C356" s="332">
        <f t="shared" si="102"/>
        <v>0</v>
      </c>
      <c r="D356" s="332">
        <v>50000</v>
      </c>
      <c r="E356" s="333">
        <f>'MMMH bevetel'!E143-'MMMH bevetel'!E247</f>
        <v>0</v>
      </c>
      <c r="F356" s="332">
        <v>0</v>
      </c>
      <c r="G356" s="333">
        <f>'MMMH bevetel'!F143</f>
        <v>0</v>
      </c>
      <c r="H356" s="332">
        <v>0</v>
      </c>
      <c r="I356" s="333">
        <f>'MMMH bevetel'!G143</f>
        <v>0</v>
      </c>
    </row>
    <row r="357" spans="1:9" s="362" customFormat="1" ht="14.1" customHeight="1">
      <c r="A357" s="361" t="s">
        <v>1123</v>
      </c>
      <c r="B357" s="332">
        <f t="shared" si="102"/>
        <v>150000</v>
      </c>
      <c r="C357" s="332">
        <f t="shared" si="102"/>
        <v>0</v>
      </c>
      <c r="D357" s="332">
        <v>150000</v>
      </c>
      <c r="E357" s="333">
        <f>'MMMH bevetel'!E147-'MMMH bevetel'!E248</f>
        <v>0</v>
      </c>
      <c r="F357" s="332">
        <v>0</v>
      </c>
      <c r="G357" s="333">
        <f>'MMMH bevetel'!F147</f>
        <v>0</v>
      </c>
      <c r="H357" s="332">
        <v>0</v>
      </c>
      <c r="I357" s="333">
        <f>'MMMH bevetel'!G147</f>
        <v>0</v>
      </c>
    </row>
    <row r="358" spans="1:9" s="362" customFormat="1" ht="14.1" customHeight="1">
      <c r="A358" s="361" t="s">
        <v>1022</v>
      </c>
      <c r="B358" s="332">
        <f t="shared" si="102"/>
        <v>150000</v>
      </c>
      <c r="C358" s="332">
        <f t="shared" si="102"/>
        <v>0</v>
      </c>
      <c r="D358" s="332">
        <v>150000</v>
      </c>
      <c r="E358" s="333">
        <f>'MMMH bevetel'!E151-'MMMH bevetel'!E249</f>
        <v>0</v>
      </c>
      <c r="F358" s="332">
        <v>0</v>
      </c>
      <c r="G358" s="333">
        <f>'MMMH bevetel'!F151</f>
        <v>0</v>
      </c>
      <c r="H358" s="332">
        <v>0</v>
      </c>
      <c r="I358" s="333">
        <f>'MMMH bevetel'!G151</f>
        <v>0</v>
      </c>
    </row>
    <row r="359" spans="1:9" s="362" customFormat="1" ht="14.1" customHeight="1">
      <c r="A359" s="361" t="s">
        <v>1124</v>
      </c>
      <c r="B359" s="332">
        <f t="shared" si="102"/>
        <v>0</v>
      </c>
      <c r="C359" s="332">
        <f t="shared" si="102"/>
        <v>0</v>
      </c>
      <c r="D359" s="332">
        <v>0</v>
      </c>
      <c r="E359" s="333">
        <f>'MMMH bevetel'!E155-'MMMH bevetel'!E250</f>
        <v>0</v>
      </c>
      <c r="F359" s="332">
        <v>0</v>
      </c>
      <c r="G359" s="333">
        <f>'MMMH bevetel'!F155</f>
        <v>0</v>
      </c>
      <c r="H359" s="332">
        <v>0</v>
      </c>
      <c r="I359" s="333">
        <f>'MMMH bevetel'!G155</f>
        <v>0</v>
      </c>
    </row>
    <row r="360" spans="1:9" s="360" customFormat="1" ht="14.1" customHeight="1">
      <c r="A360" s="323" t="s">
        <v>960</v>
      </c>
      <c r="B360" s="326">
        <f t="shared" ref="B360:I360" si="103">SUM(B361:B363)</f>
        <v>4000000</v>
      </c>
      <c r="C360" s="326">
        <f t="shared" si="103"/>
        <v>0</v>
      </c>
      <c r="D360" s="326">
        <f t="shared" si="103"/>
        <v>0</v>
      </c>
      <c r="E360" s="326">
        <f t="shared" si="103"/>
        <v>0</v>
      </c>
      <c r="F360" s="326">
        <f t="shared" si="103"/>
        <v>4000000</v>
      </c>
      <c r="G360" s="326">
        <f t="shared" si="103"/>
        <v>0</v>
      </c>
      <c r="H360" s="326">
        <f t="shared" si="103"/>
        <v>0</v>
      </c>
      <c r="I360" s="326">
        <f t="shared" si="103"/>
        <v>0</v>
      </c>
    </row>
    <row r="361" spans="1:9" s="362" customFormat="1" ht="14.1" customHeight="1">
      <c r="A361" s="361" t="s">
        <v>1069</v>
      </c>
      <c r="B361" s="332">
        <f t="shared" ref="B361:C363" si="104">D361+F361+H361</f>
        <v>600000</v>
      </c>
      <c r="C361" s="332">
        <f t="shared" si="104"/>
        <v>0</v>
      </c>
      <c r="D361" s="332">
        <v>0</v>
      </c>
      <c r="E361" s="333">
        <f>'MMMH bevetel'!E159</f>
        <v>0</v>
      </c>
      <c r="F361" s="332">
        <v>600000</v>
      </c>
      <c r="G361" s="333">
        <f>'MMMH bevetel'!F159-'MMMH bevetel'!F251</f>
        <v>0</v>
      </c>
      <c r="H361" s="332">
        <v>0</v>
      </c>
      <c r="I361" s="333">
        <f>'MMMH bevetel'!G159</f>
        <v>0</v>
      </c>
    </row>
    <row r="362" spans="1:9" s="362" customFormat="1" ht="14.1" customHeight="1">
      <c r="A362" s="361" t="s">
        <v>1068</v>
      </c>
      <c r="B362" s="332">
        <f t="shared" si="104"/>
        <v>2400000</v>
      </c>
      <c r="C362" s="332">
        <f t="shared" si="104"/>
        <v>0</v>
      </c>
      <c r="D362" s="332">
        <v>0</v>
      </c>
      <c r="E362" s="333">
        <f>'MMMH bevetel'!E163</f>
        <v>0</v>
      </c>
      <c r="F362" s="332">
        <v>2400000</v>
      </c>
      <c r="G362" s="333">
        <f>'MMMH bevetel'!F163-'MMMH bevetel'!F252</f>
        <v>0</v>
      </c>
      <c r="H362" s="332">
        <v>0</v>
      </c>
      <c r="I362" s="333">
        <f>'MMMH bevetel'!G163</f>
        <v>0</v>
      </c>
    </row>
    <row r="363" spans="1:9" s="362" customFormat="1" ht="14.1" customHeight="1">
      <c r="A363" s="361" t="s">
        <v>1125</v>
      </c>
      <c r="B363" s="332">
        <f t="shared" si="104"/>
        <v>1000000</v>
      </c>
      <c r="C363" s="332">
        <f t="shared" si="104"/>
        <v>0</v>
      </c>
      <c r="D363" s="332">
        <v>0</v>
      </c>
      <c r="E363" s="333">
        <f>'MMMH bevetel'!E167</f>
        <v>0</v>
      </c>
      <c r="F363" s="332">
        <v>1000000</v>
      </c>
      <c r="G363" s="333">
        <f>'MMMH bevetel'!F167-'MMMH bevetel'!F253</f>
        <v>0</v>
      </c>
      <c r="H363" s="332">
        <v>0</v>
      </c>
      <c r="I363" s="333">
        <f>'MMMH bevetel'!G167</f>
        <v>0</v>
      </c>
    </row>
    <row r="364" spans="1:9" s="360" customFormat="1" ht="14.1" customHeight="1">
      <c r="A364" s="323" t="s">
        <v>962</v>
      </c>
      <c r="B364" s="326">
        <f t="shared" ref="B364:I364" si="105">SUM(B365:B368)</f>
        <v>10930000</v>
      </c>
      <c r="C364" s="326">
        <f t="shared" si="105"/>
        <v>0</v>
      </c>
      <c r="D364" s="326">
        <f t="shared" si="105"/>
        <v>0</v>
      </c>
      <c r="E364" s="326">
        <f t="shared" si="105"/>
        <v>0</v>
      </c>
      <c r="F364" s="326">
        <f t="shared" si="105"/>
        <v>10930000</v>
      </c>
      <c r="G364" s="326">
        <f t="shared" si="105"/>
        <v>0</v>
      </c>
      <c r="H364" s="326">
        <f t="shared" si="105"/>
        <v>0</v>
      </c>
      <c r="I364" s="326">
        <f t="shared" si="105"/>
        <v>0</v>
      </c>
    </row>
    <row r="365" spans="1:9" s="362" customFormat="1" ht="14.1" customHeight="1">
      <c r="A365" s="361" t="s">
        <v>1126</v>
      </c>
      <c r="B365" s="332">
        <f t="shared" ref="B365:C368" si="106">D365+F365+H365</f>
        <v>7100000</v>
      </c>
      <c r="C365" s="332">
        <f t="shared" si="106"/>
        <v>0</v>
      </c>
      <c r="D365" s="332">
        <v>0</v>
      </c>
      <c r="E365" s="333">
        <f>'MMMH bevetel'!E171+'MMMH bevetel'!E175+'MMMH bevetel'!E179+'MMMH bevetel'!E183+'MMMH bevetel'!E187+'MMMH bevetel'!E191+'MMMH bevetel'!E195</f>
        <v>0</v>
      </c>
      <c r="F365" s="332">
        <v>7100000</v>
      </c>
      <c r="G365" s="333">
        <f>'MMMH bevetel'!F171+'MMMH bevetel'!F175+'MMMH bevetel'!F179+'MMMH bevetel'!F183+'MMMH bevetel'!F187+'MMMH bevetel'!F191+'MMMH bevetel'!F195-'MMMH bevetel'!F254-'MMMH bevetel'!F255-'MMMH bevetel'!F256-'MMMH bevetel'!F257-'MMMH bevetel'!F258-'MMMH bevetel'!F259-'MMMH bevetel'!F260</f>
        <v>0</v>
      </c>
      <c r="H365" s="332">
        <v>0</v>
      </c>
      <c r="I365" s="333">
        <f>'MMMH bevetel'!G171+'MMMH bevetel'!G175+'MMMH bevetel'!G179+'MMMH bevetel'!G183+'MMMH bevetel'!G187+'MMMH bevetel'!G191+'MMMH bevetel'!G195</f>
        <v>0</v>
      </c>
    </row>
    <row r="366" spans="1:9" s="362" customFormat="1" ht="14.1" customHeight="1">
      <c r="A366" s="361" t="s">
        <v>1127</v>
      </c>
      <c r="B366" s="332">
        <f t="shared" si="106"/>
        <v>200000</v>
      </c>
      <c r="C366" s="332">
        <f t="shared" si="106"/>
        <v>0</v>
      </c>
      <c r="D366" s="332">
        <v>0</v>
      </c>
      <c r="E366" s="333">
        <f>'MMMH bevetel'!E199</f>
        <v>0</v>
      </c>
      <c r="F366" s="332">
        <v>200000</v>
      </c>
      <c r="G366" s="333">
        <f>'MMMH bevetel'!F199-'MMMH bevetel'!F261</f>
        <v>0</v>
      </c>
      <c r="H366" s="332">
        <v>0</v>
      </c>
      <c r="I366" s="333">
        <f>'MMMH bevetel'!G199</f>
        <v>0</v>
      </c>
    </row>
    <row r="367" spans="1:9" s="362" customFormat="1" ht="14.1" customHeight="1">
      <c r="A367" s="361" t="s">
        <v>1128</v>
      </c>
      <c r="B367" s="332">
        <f t="shared" si="106"/>
        <v>3600000</v>
      </c>
      <c r="C367" s="332">
        <f t="shared" si="106"/>
        <v>0</v>
      </c>
      <c r="D367" s="332">
        <v>0</v>
      </c>
      <c r="E367" s="333">
        <f>'MMMH bevetel'!E203</f>
        <v>0</v>
      </c>
      <c r="F367" s="332">
        <v>3600000</v>
      </c>
      <c r="G367" s="333">
        <f>'MMMH bevetel'!F203-'MMMH bevetel'!F262</f>
        <v>0</v>
      </c>
      <c r="H367" s="332">
        <v>0</v>
      </c>
      <c r="I367" s="333">
        <f>'MMMH bevetel'!G203</f>
        <v>0</v>
      </c>
    </row>
    <row r="368" spans="1:9" s="362" customFormat="1" ht="14.1" customHeight="1">
      <c r="A368" s="361" t="s">
        <v>1129</v>
      </c>
      <c r="B368" s="332">
        <f t="shared" si="106"/>
        <v>30000</v>
      </c>
      <c r="C368" s="332">
        <f t="shared" si="106"/>
        <v>0</v>
      </c>
      <c r="D368" s="332">
        <v>0</v>
      </c>
      <c r="E368" s="333">
        <f>'MMMH bevetel'!E207</f>
        <v>0</v>
      </c>
      <c r="F368" s="332">
        <v>30000</v>
      </c>
      <c r="G368" s="333">
        <f>'MMMH bevetel'!F207-'MMMH bevetel'!F263</f>
        <v>0</v>
      </c>
      <c r="H368" s="332">
        <v>0</v>
      </c>
      <c r="I368" s="333">
        <f>'MMMH bevetel'!G207</f>
        <v>0</v>
      </c>
    </row>
    <row r="369" spans="1:9" s="360" customFormat="1" ht="14.1" customHeight="1">
      <c r="A369" s="323" t="s">
        <v>964</v>
      </c>
      <c r="B369" s="326">
        <f>(B341+B342+B360+B364)*0.27</f>
        <v>7111800.0000000009</v>
      </c>
      <c r="C369" s="326">
        <f>(C341+C342+C360+C364)*0.27</f>
        <v>0</v>
      </c>
      <c r="D369" s="326">
        <f>(D341+D342+D360+D364)*0.27</f>
        <v>3080700</v>
      </c>
      <c r="E369" s="326">
        <f>'MMMH bevetel'!E211</f>
        <v>0</v>
      </c>
      <c r="F369" s="326">
        <f>(F341+F342+F360+F364)*0.27</f>
        <v>4031100.0000000005</v>
      </c>
      <c r="G369" s="326">
        <f>'MMMH bevetel'!F211</f>
        <v>0</v>
      </c>
      <c r="H369" s="326">
        <f>(H341+H342+H360+H364)*0.27</f>
        <v>0</v>
      </c>
      <c r="I369" s="326">
        <f>'MMMH bevetel'!G211</f>
        <v>0</v>
      </c>
    </row>
    <row r="370" spans="1:9" s="360" customFormat="1" ht="14.1" customHeight="1">
      <c r="A370" s="323" t="s">
        <v>966</v>
      </c>
      <c r="B370" s="326">
        <f>D370+F370+H370</f>
        <v>50000</v>
      </c>
      <c r="C370" s="326">
        <f>E370+G370+I370</f>
        <v>0</v>
      </c>
      <c r="D370" s="326">
        <v>0</v>
      </c>
      <c r="E370" s="326">
        <f>'MMMH bevetel'!E264</f>
        <v>0</v>
      </c>
      <c r="F370" s="326">
        <v>50000</v>
      </c>
      <c r="G370" s="326">
        <f>'MMMH bevetel'!F264</f>
        <v>0</v>
      </c>
      <c r="H370" s="326">
        <v>0</v>
      </c>
      <c r="I370" s="326">
        <f>'MMMH bevetel'!G264</f>
        <v>0</v>
      </c>
    </row>
    <row r="371" spans="1:9" s="360" customFormat="1" ht="14.1" customHeight="1">
      <c r="A371" s="323" t="s">
        <v>968</v>
      </c>
      <c r="B371" s="326">
        <f t="shared" ref="B371:I371" si="107">SUM(B372:B373)</f>
        <v>500000</v>
      </c>
      <c r="C371" s="326">
        <f t="shared" si="107"/>
        <v>0</v>
      </c>
      <c r="D371" s="326">
        <f t="shared" si="107"/>
        <v>500000</v>
      </c>
      <c r="E371" s="326">
        <f t="shared" si="107"/>
        <v>0</v>
      </c>
      <c r="F371" s="326">
        <f t="shared" si="107"/>
        <v>0</v>
      </c>
      <c r="G371" s="326">
        <f t="shared" si="107"/>
        <v>0</v>
      </c>
      <c r="H371" s="326">
        <f t="shared" si="107"/>
        <v>0</v>
      </c>
      <c r="I371" s="326">
        <f t="shared" si="107"/>
        <v>0</v>
      </c>
    </row>
    <row r="372" spans="1:9" s="362" customFormat="1" ht="14.1" customHeight="1">
      <c r="A372" s="361" t="s">
        <v>1130</v>
      </c>
      <c r="B372" s="332">
        <f>D372+F372+H372</f>
        <v>500000</v>
      </c>
      <c r="C372" s="332">
        <f>E372+G372+I372</f>
        <v>0</v>
      </c>
      <c r="D372" s="332">
        <v>500000</v>
      </c>
      <c r="E372" s="333">
        <f>'MMMH bevetel'!E268</f>
        <v>0</v>
      </c>
      <c r="F372" s="332">
        <v>0</v>
      </c>
      <c r="G372" s="333">
        <f>'MMMH bevetel'!F268</f>
        <v>0</v>
      </c>
      <c r="H372" s="332">
        <v>0</v>
      </c>
      <c r="I372" s="333">
        <f>'MMMH bevetel'!G268</f>
        <v>0</v>
      </c>
    </row>
    <row r="373" spans="1:9" s="362" customFormat="1" ht="14.1" customHeight="1">
      <c r="A373" s="361" t="s">
        <v>1131</v>
      </c>
      <c r="B373" s="332">
        <f>D373+F373+H373</f>
        <v>0</v>
      </c>
      <c r="C373" s="332">
        <f>E373+G373+I373</f>
        <v>0</v>
      </c>
      <c r="D373" s="332">
        <v>0</v>
      </c>
      <c r="E373" s="333">
        <f>'MMMH bevetel'!E272</f>
        <v>0</v>
      </c>
      <c r="F373" s="332">
        <v>0</v>
      </c>
      <c r="G373" s="333">
        <f>'MMMH bevetel'!F272</f>
        <v>0</v>
      </c>
      <c r="H373" s="332">
        <v>0</v>
      </c>
      <c r="I373" s="333">
        <f>'MMMH bevetel'!G272</f>
        <v>0</v>
      </c>
    </row>
    <row r="374" spans="1:9" ht="14.1" customHeight="1">
      <c r="A374" s="341" t="s">
        <v>40</v>
      </c>
      <c r="B374" s="344">
        <f t="shared" ref="B374:I374" si="108">SUM(B375:B376)</f>
        <v>0</v>
      </c>
      <c r="C374" s="344">
        <f t="shared" si="108"/>
        <v>0</v>
      </c>
      <c r="D374" s="344">
        <f t="shared" si="108"/>
        <v>0</v>
      </c>
      <c r="E374" s="344">
        <f t="shared" si="108"/>
        <v>0</v>
      </c>
      <c r="F374" s="344">
        <f t="shared" si="108"/>
        <v>0</v>
      </c>
      <c r="G374" s="344">
        <f t="shared" si="108"/>
        <v>0</v>
      </c>
      <c r="H374" s="344">
        <f t="shared" si="108"/>
        <v>0</v>
      </c>
      <c r="I374" s="344">
        <f t="shared" si="108"/>
        <v>0</v>
      </c>
    </row>
    <row r="375" spans="1:9" s="365" customFormat="1" ht="14.1" customHeight="1">
      <c r="A375" s="363" t="s">
        <v>1132</v>
      </c>
      <c r="B375" s="364">
        <f>D375+F375+H375</f>
        <v>0</v>
      </c>
      <c r="C375" s="364">
        <f>E375+G375+I375</f>
        <v>0</v>
      </c>
      <c r="D375" s="364">
        <v>0</v>
      </c>
      <c r="E375" s="333">
        <f>'MMMH bevetel'!E276</f>
        <v>0</v>
      </c>
      <c r="F375" s="364">
        <v>0</v>
      </c>
      <c r="G375" s="333">
        <f>'MMMH bevetel'!F276</f>
        <v>0</v>
      </c>
      <c r="H375" s="364">
        <v>0</v>
      </c>
      <c r="I375" s="333">
        <f>'MMMH bevetel'!G276</f>
        <v>0</v>
      </c>
    </row>
    <row r="376" spans="1:9" s="365" customFormat="1" ht="14.1" customHeight="1">
      <c r="A376" s="363" t="s">
        <v>1133</v>
      </c>
      <c r="B376" s="364">
        <f>D376+F376+H376</f>
        <v>0</v>
      </c>
      <c r="C376" s="364">
        <f>E376+G376+I376</f>
        <v>0</v>
      </c>
      <c r="D376" s="364">
        <v>0</v>
      </c>
      <c r="E376" s="333">
        <f>'MMMH bevetel'!E280</f>
        <v>0</v>
      </c>
      <c r="F376" s="364">
        <v>0</v>
      </c>
      <c r="G376" s="333">
        <f>'MMMH bevetel'!F280</f>
        <v>0</v>
      </c>
      <c r="H376" s="364">
        <v>0</v>
      </c>
      <c r="I376" s="333">
        <f>'MMMH bevetel'!G280</f>
        <v>0</v>
      </c>
    </row>
    <row r="377" spans="1:9" ht="14.1" customHeight="1">
      <c r="A377" s="356" t="s">
        <v>970</v>
      </c>
      <c r="B377" s="354">
        <f t="shared" ref="B377:I377" si="109">B340+B374</f>
        <v>34001800</v>
      </c>
      <c r="C377" s="354">
        <f t="shared" si="109"/>
        <v>0</v>
      </c>
      <c r="D377" s="354">
        <f t="shared" si="109"/>
        <v>14990700</v>
      </c>
      <c r="E377" s="354">
        <f t="shared" si="109"/>
        <v>0</v>
      </c>
      <c r="F377" s="354">
        <f t="shared" si="109"/>
        <v>19011100</v>
      </c>
      <c r="G377" s="354">
        <f t="shared" si="109"/>
        <v>0</v>
      </c>
      <c r="H377" s="354">
        <f t="shared" si="109"/>
        <v>0</v>
      </c>
      <c r="I377" s="354">
        <f t="shared" si="109"/>
        <v>0</v>
      </c>
    </row>
  </sheetData>
  <sheetProtection selectLockedCells="1" selectUnlockedCells="1"/>
  <mergeCells count="32">
    <mergeCell ref="A1:I1"/>
    <mergeCell ref="A2:A3"/>
    <mergeCell ref="B2:B3"/>
    <mergeCell ref="C2:C3"/>
    <mergeCell ref="D2:E2"/>
    <mergeCell ref="F2:G2"/>
    <mergeCell ref="H2:I2"/>
    <mergeCell ref="A5:I5"/>
    <mergeCell ref="A124:I124"/>
    <mergeCell ref="A125:A126"/>
    <mergeCell ref="B125:B126"/>
    <mergeCell ref="C125:C126"/>
    <mergeCell ref="D125:E125"/>
    <mergeCell ref="F125:G125"/>
    <mergeCell ref="H125:I125"/>
    <mergeCell ref="A128:I128"/>
    <mergeCell ref="A312:I312"/>
    <mergeCell ref="A313:A314"/>
    <mergeCell ref="B313:B314"/>
    <mergeCell ref="C313:C314"/>
    <mergeCell ref="D313:E313"/>
    <mergeCell ref="F313:G313"/>
    <mergeCell ref="H313:I313"/>
    <mergeCell ref="A339:I339"/>
    <mergeCell ref="A316:I316"/>
    <mergeCell ref="A335:I335"/>
    <mergeCell ref="A336:A337"/>
    <mergeCell ref="B336:B337"/>
    <mergeCell ref="C336:C337"/>
    <mergeCell ref="D336:E336"/>
    <mergeCell ref="F336:G336"/>
    <mergeCell ref="H336:I336"/>
  </mergeCells>
  <pageMargins left="0.19652777777777777" right="0.19652777777777777" top="0.31527777777777777" bottom="0.19652777777777777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G299"/>
  <sheetViews>
    <sheetView topLeftCell="A189" zoomScale="140" zoomScaleNormal="140" workbookViewId="0">
      <selection activeCell="E178" sqref="E178"/>
    </sheetView>
  </sheetViews>
  <sheetFormatPr defaultColWidth="11.5703125" defaultRowHeight="17.100000000000001" customHeight="1"/>
  <cols>
    <col min="1" max="1" width="8.7109375" style="382" customWidth="1"/>
    <col min="2" max="2" width="9.7109375" style="382" customWidth="1"/>
    <col min="3" max="3" width="15.28515625" style="382" customWidth="1"/>
    <col min="4" max="4" width="37.85546875" style="383" customWidth="1"/>
    <col min="5" max="7" width="10.140625" style="384" customWidth="1"/>
    <col min="8" max="16384" width="11.5703125" style="381"/>
  </cols>
  <sheetData>
    <row r="1" spans="1:7" s="372" customFormat="1" ht="17.100000000000001" customHeight="1">
      <c r="A1" s="370" t="s">
        <v>1134</v>
      </c>
      <c r="B1" s="370" t="s">
        <v>1135</v>
      </c>
      <c r="C1" s="370" t="s">
        <v>1136</v>
      </c>
      <c r="D1" s="370" t="s">
        <v>889</v>
      </c>
      <c r="E1" s="371" t="s">
        <v>1137</v>
      </c>
      <c r="F1" s="371" t="s">
        <v>1138</v>
      </c>
      <c r="G1" s="371" t="s">
        <v>1139</v>
      </c>
    </row>
    <row r="2" spans="1:7" s="376" customFormat="1" ht="5.65" customHeight="1">
      <c r="A2" s="373"/>
      <c r="B2" s="373"/>
      <c r="C2" s="373"/>
      <c r="D2" s="374"/>
      <c r="E2" s="375"/>
      <c r="F2" s="375"/>
      <c r="G2" s="375"/>
    </row>
    <row r="3" spans="1:7" s="379" customFormat="1" ht="17.100000000000001" customHeight="1">
      <c r="A3" s="370" t="s">
        <v>681</v>
      </c>
      <c r="B3" s="370"/>
      <c r="C3" s="370"/>
      <c r="D3" s="377" t="s">
        <v>1140</v>
      </c>
      <c r="E3" s="378">
        <f>SUM(E4:E6)</f>
        <v>0</v>
      </c>
      <c r="F3" s="378">
        <f>SUM(F4:F6)</f>
        <v>0</v>
      </c>
      <c r="G3" s="378">
        <f>SUM(G4:G6)</f>
        <v>0</v>
      </c>
    </row>
    <row r="7" spans="1:7" ht="17.100000000000001" customHeight="1">
      <c r="A7" s="370" t="s">
        <v>683</v>
      </c>
      <c r="B7" s="370"/>
      <c r="C7" s="370"/>
      <c r="D7" s="377" t="s">
        <v>1141</v>
      </c>
      <c r="E7" s="380">
        <f>SUM(E8:E10)</f>
        <v>0</v>
      </c>
      <c r="F7" s="380">
        <f>SUM(F8:F10)</f>
        <v>0</v>
      </c>
      <c r="G7" s="380">
        <f>SUM(G8:G10)</f>
        <v>0</v>
      </c>
    </row>
    <row r="11" spans="1:7" ht="17.100000000000001" customHeight="1">
      <c r="A11" s="370" t="s">
        <v>685</v>
      </c>
      <c r="B11" s="370"/>
      <c r="C11" s="370"/>
      <c r="D11" s="377" t="s">
        <v>1142</v>
      </c>
      <c r="E11" s="380">
        <f>SUM(E12:E14)</f>
        <v>0</v>
      </c>
      <c r="F11" s="380">
        <f>SUM(F12:F14)</f>
        <v>0</v>
      </c>
      <c r="G11" s="380">
        <f>SUM(G12:G14)</f>
        <v>0</v>
      </c>
    </row>
    <row r="15" spans="1:7" ht="17.100000000000001" customHeight="1">
      <c r="A15" s="370" t="s">
        <v>688</v>
      </c>
      <c r="B15" s="370"/>
      <c r="C15" s="370"/>
      <c r="D15" s="377" t="s">
        <v>1143</v>
      </c>
      <c r="E15" s="380">
        <f>SUM(E16:E18)</f>
        <v>0</v>
      </c>
      <c r="F15" s="380">
        <f>SUM(F16:F18)</f>
        <v>0</v>
      </c>
      <c r="G15" s="380">
        <f>SUM(G16:G18)</f>
        <v>0</v>
      </c>
    </row>
    <row r="19" spans="1:7" ht="17.100000000000001" customHeight="1">
      <c r="A19" s="370" t="s">
        <v>690</v>
      </c>
      <c r="B19" s="370"/>
      <c r="C19" s="370"/>
      <c r="D19" s="377" t="s">
        <v>1144</v>
      </c>
      <c r="E19" s="380">
        <f>SUM(E20:E22)</f>
        <v>0</v>
      </c>
      <c r="F19" s="380">
        <f>SUM(F20:F22)</f>
        <v>0</v>
      </c>
      <c r="G19" s="380">
        <f>SUM(G20:G22)</f>
        <v>0</v>
      </c>
    </row>
    <row r="23" spans="1:7" ht="17.100000000000001" customHeight="1">
      <c r="A23" s="370" t="s">
        <v>1145</v>
      </c>
      <c r="B23" s="370"/>
      <c r="C23" s="370"/>
      <c r="D23" s="377" t="s">
        <v>1146</v>
      </c>
      <c r="E23" s="380">
        <f>SUM(E24:E26)</f>
        <v>0</v>
      </c>
      <c r="F23" s="380">
        <f>SUM(F24:F26)</f>
        <v>0</v>
      </c>
      <c r="G23" s="380">
        <f>SUM(G24:G26)</f>
        <v>0</v>
      </c>
    </row>
    <row r="27" spans="1:7" ht="17.100000000000001" customHeight="1">
      <c r="A27" s="370" t="s">
        <v>1147</v>
      </c>
      <c r="B27" s="370"/>
      <c r="C27" s="370"/>
      <c r="D27" s="377" t="s">
        <v>1148</v>
      </c>
      <c r="E27" s="380">
        <f>SUM(E28:E30)</f>
        <v>0</v>
      </c>
      <c r="F27" s="380">
        <f>SUM(F28:F30)</f>
        <v>0</v>
      </c>
      <c r="G27" s="380">
        <f>SUM(G28:G30)</f>
        <v>0</v>
      </c>
    </row>
    <row r="31" spans="1:7" ht="17.100000000000001" customHeight="1">
      <c r="A31" s="370" t="s">
        <v>1149</v>
      </c>
      <c r="B31" s="370"/>
      <c r="C31" s="370"/>
      <c r="D31" s="377" t="s">
        <v>1150</v>
      </c>
      <c r="E31" s="380">
        <f>SUM(E32:E34)</f>
        <v>0</v>
      </c>
      <c r="F31" s="380">
        <f>SUM(F32:F34)</f>
        <v>0</v>
      </c>
      <c r="G31" s="380">
        <f>SUM(G32:G34)</f>
        <v>0</v>
      </c>
    </row>
    <row r="35" spans="1:7" ht="17.100000000000001" customHeight="1">
      <c r="A35" s="370" t="s">
        <v>1151</v>
      </c>
      <c r="B35" s="370"/>
      <c r="C35" s="370"/>
      <c r="D35" s="377" t="s">
        <v>1152</v>
      </c>
      <c r="E35" s="380">
        <f>SUM(E36:E38)</f>
        <v>0</v>
      </c>
      <c r="F35" s="380">
        <f>SUM(F36:F38)</f>
        <v>0</v>
      </c>
      <c r="G35" s="380">
        <f>SUM(G36:G38)</f>
        <v>0</v>
      </c>
    </row>
    <row r="39" spans="1:7" ht="17.100000000000001" customHeight="1">
      <c r="A39" s="370" t="s">
        <v>1153</v>
      </c>
      <c r="B39" s="370"/>
      <c r="C39" s="370"/>
      <c r="D39" s="377" t="s">
        <v>1154</v>
      </c>
      <c r="E39" s="380">
        <f>SUM(E40:E42)</f>
        <v>0</v>
      </c>
      <c r="F39" s="380">
        <f>SUM(F40:F42)</f>
        <v>0</v>
      </c>
      <c r="G39" s="380">
        <f>SUM(G40:G42)</f>
        <v>0</v>
      </c>
    </row>
    <row r="43" spans="1:7" ht="17.100000000000001" customHeight="1">
      <c r="A43" s="370" t="s">
        <v>1155</v>
      </c>
      <c r="B43" s="370"/>
      <c r="C43" s="370"/>
      <c r="D43" s="377" t="s">
        <v>1156</v>
      </c>
      <c r="E43" s="380">
        <f>SUM(E44:E46)</f>
        <v>0</v>
      </c>
      <c r="F43" s="380">
        <f>SUM(F44:F46)</f>
        <v>0</v>
      </c>
      <c r="G43" s="380">
        <f>SUM(G44:G46)</f>
        <v>0</v>
      </c>
    </row>
    <row r="47" spans="1:7" ht="17.100000000000001" customHeight="1">
      <c r="A47" s="370" t="s">
        <v>1157</v>
      </c>
      <c r="B47" s="370"/>
      <c r="C47" s="370"/>
      <c r="D47" s="377" t="s">
        <v>1158</v>
      </c>
      <c r="E47" s="380">
        <f>SUM(E48:E50)</f>
        <v>0</v>
      </c>
      <c r="F47" s="380">
        <f>SUM(F48:F50)</f>
        <v>0</v>
      </c>
      <c r="G47" s="380">
        <f>SUM(G48:G50)</f>
        <v>0</v>
      </c>
    </row>
    <row r="51" spans="1:7" ht="17.100000000000001" customHeight="1">
      <c r="A51" s="370" t="s">
        <v>1159</v>
      </c>
      <c r="B51" s="370"/>
      <c r="C51" s="370"/>
      <c r="D51" s="377" t="s">
        <v>1160</v>
      </c>
      <c r="E51" s="380">
        <f>SUM(E52:E54)</f>
        <v>0</v>
      </c>
      <c r="F51" s="380">
        <f>SUM(F52:F54)</f>
        <v>0</v>
      </c>
      <c r="G51" s="380">
        <f>SUM(G52:G54)</f>
        <v>0</v>
      </c>
    </row>
    <row r="55" spans="1:7" ht="17.100000000000001" customHeight="1">
      <c r="A55" s="370" t="s">
        <v>1161</v>
      </c>
      <c r="B55" s="370"/>
      <c r="C55" s="370"/>
      <c r="D55" s="377" t="s">
        <v>1162</v>
      </c>
      <c r="E55" s="380">
        <f>SUM(E56:E58)</f>
        <v>0</v>
      </c>
      <c r="F55" s="380">
        <f>SUM(F56:F58)</f>
        <v>0</v>
      </c>
      <c r="G55" s="380">
        <f>SUM(G56:G58)</f>
        <v>0</v>
      </c>
    </row>
    <row r="59" spans="1:7" ht="17.100000000000001" customHeight="1">
      <c r="A59" s="370" t="s">
        <v>1163</v>
      </c>
      <c r="B59" s="370"/>
      <c r="C59" s="370"/>
      <c r="D59" s="377" t="s">
        <v>1164</v>
      </c>
      <c r="E59" s="380">
        <f>SUM(E60:E62)</f>
        <v>0</v>
      </c>
      <c r="F59" s="380">
        <f>SUM(F60:F62)</f>
        <v>0</v>
      </c>
      <c r="G59" s="380">
        <f>SUM(G60:G62)</f>
        <v>0</v>
      </c>
    </row>
    <row r="63" spans="1:7" ht="17.100000000000001" customHeight="1">
      <c r="A63" s="370" t="s">
        <v>1165</v>
      </c>
      <c r="B63" s="370"/>
      <c r="C63" s="370"/>
      <c r="D63" s="377" t="s">
        <v>1166</v>
      </c>
      <c r="E63" s="380">
        <f>SUM(E64:E66)</f>
        <v>0</v>
      </c>
      <c r="F63" s="380">
        <f>SUM(F64:F66)</f>
        <v>0</v>
      </c>
      <c r="G63" s="380">
        <f>SUM(G64:G66)</f>
        <v>0</v>
      </c>
    </row>
    <row r="67" spans="1:7" ht="17.100000000000001" customHeight="1">
      <c r="A67" s="370" t="s">
        <v>1167</v>
      </c>
      <c r="B67" s="370"/>
      <c r="C67" s="370"/>
      <c r="D67" s="377" t="s">
        <v>1168</v>
      </c>
      <c r="E67" s="380">
        <f>SUM(E68:E70)</f>
        <v>0</v>
      </c>
      <c r="F67" s="380">
        <f>SUM(F68:F70)</f>
        <v>0</v>
      </c>
      <c r="G67" s="380">
        <f>SUM(G68:G70)</f>
        <v>0</v>
      </c>
    </row>
    <row r="71" spans="1:7" ht="17.100000000000001" customHeight="1">
      <c r="A71" s="370" t="s">
        <v>1169</v>
      </c>
      <c r="B71" s="370"/>
      <c r="C71" s="370"/>
      <c r="D71" s="377" t="s">
        <v>1170</v>
      </c>
      <c r="E71" s="380">
        <f>SUM(E72:E74)</f>
        <v>0</v>
      </c>
      <c r="F71" s="380">
        <f>SUM(F72:F74)</f>
        <v>0</v>
      </c>
      <c r="G71" s="380">
        <f>SUM(G72:G74)</f>
        <v>0</v>
      </c>
    </row>
    <row r="75" spans="1:7" ht="17.100000000000001" customHeight="1">
      <c r="A75" s="370" t="s">
        <v>1171</v>
      </c>
      <c r="B75" s="370"/>
      <c r="C75" s="370"/>
      <c r="D75" s="377" t="s">
        <v>1027</v>
      </c>
      <c r="E75" s="380">
        <f>SUM(E76:E78)</f>
        <v>0</v>
      </c>
      <c r="F75" s="380">
        <f>SUM(F76:F78)</f>
        <v>0</v>
      </c>
      <c r="G75" s="380">
        <f>SUM(G76:G78)</f>
        <v>0</v>
      </c>
    </row>
    <row r="79" spans="1:7" ht="17.100000000000001" customHeight="1">
      <c r="A79" s="370" t="s">
        <v>1172</v>
      </c>
      <c r="B79" s="370"/>
      <c r="C79" s="370"/>
      <c r="D79" s="377" t="s">
        <v>1173</v>
      </c>
      <c r="E79" s="380">
        <f>SUM(E80:E82)</f>
        <v>0</v>
      </c>
      <c r="F79" s="380">
        <f>SUM(F80:F82)</f>
        <v>0</v>
      </c>
      <c r="G79" s="380">
        <f>SUM(G80:G82)</f>
        <v>0</v>
      </c>
    </row>
    <row r="83" spans="1:7" ht="17.100000000000001" customHeight="1">
      <c r="A83" s="370" t="s">
        <v>1174</v>
      </c>
      <c r="B83" s="370"/>
      <c r="C83" s="370"/>
      <c r="D83" s="377" t="s">
        <v>1175</v>
      </c>
      <c r="E83" s="380">
        <f>SUM(E84:E86)</f>
        <v>0</v>
      </c>
      <c r="F83" s="380">
        <f>SUM(F84:F86)</f>
        <v>0</v>
      </c>
      <c r="G83" s="380">
        <f>SUM(G84:G86)</f>
        <v>0</v>
      </c>
    </row>
    <row r="87" spans="1:7" ht="17.100000000000001" customHeight="1">
      <c r="A87" s="370" t="s">
        <v>1176</v>
      </c>
      <c r="B87" s="370"/>
      <c r="C87" s="370"/>
      <c r="D87" s="377" t="s">
        <v>1030</v>
      </c>
      <c r="E87" s="380">
        <f>SUM(E88:E90)</f>
        <v>0</v>
      </c>
      <c r="F87" s="380">
        <f>SUM(F88:F90)</f>
        <v>0</v>
      </c>
      <c r="G87" s="380">
        <f>SUM(G88:G90)</f>
        <v>0</v>
      </c>
    </row>
    <row r="91" spans="1:7" ht="17.100000000000001" customHeight="1">
      <c r="A91" s="370" t="s">
        <v>1177</v>
      </c>
      <c r="B91" s="370"/>
      <c r="C91" s="370"/>
      <c r="D91" s="377" t="s">
        <v>1031</v>
      </c>
      <c r="E91" s="380">
        <f>SUM(E92:E94)</f>
        <v>0</v>
      </c>
      <c r="F91" s="380">
        <f>SUM(F92:F94)</f>
        <v>0</v>
      </c>
      <c r="G91" s="380">
        <f>SUM(G92:G94)</f>
        <v>0</v>
      </c>
    </row>
    <row r="95" spans="1:7" ht="17.100000000000001" customHeight="1">
      <c r="A95" s="370" t="s">
        <v>1178</v>
      </c>
      <c r="B95" s="370"/>
      <c r="C95" s="370"/>
      <c r="D95" s="377" t="s">
        <v>1032</v>
      </c>
      <c r="E95" s="380">
        <f>SUM(E96:E98)</f>
        <v>0</v>
      </c>
      <c r="F95" s="380">
        <f>SUM(F96:F98)</f>
        <v>0</v>
      </c>
      <c r="G95" s="380">
        <f>SUM(G96:G98)</f>
        <v>0</v>
      </c>
    </row>
    <row r="99" spans="1:7" ht="17.100000000000001" customHeight="1">
      <c r="A99" s="370" t="s">
        <v>701</v>
      </c>
      <c r="B99" s="370"/>
      <c r="C99" s="370"/>
      <c r="D99" s="377" t="s">
        <v>1179</v>
      </c>
      <c r="E99" s="380">
        <f>SUM(E100:E102)</f>
        <v>0</v>
      </c>
      <c r="F99" s="380">
        <f>SUM(F100:F102)</f>
        <v>0</v>
      </c>
      <c r="G99" s="380">
        <f>SUM(G100:G102)</f>
        <v>0</v>
      </c>
    </row>
    <row r="103" spans="1:7" ht="17.100000000000001" customHeight="1">
      <c r="A103" s="370" t="s">
        <v>703</v>
      </c>
      <c r="B103" s="370"/>
      <c r="C103" s="370"/>
      <c r="D103" s="377" t="s">
        <v>1180</v>
      </c>
      <c r="E103" s="380">
        <f>SUM(E104:E106)</f>
        <v>0</v>
      </c>
      <c r="F103" s="380">
        <f>SUM(F104:F106)</f>
        <v>0</v>
      </c>
      <c r="G103" s="380">
        <f>SUM(G104:G106)</f>
        <v>0</v>
      </c>
    </row>
    <row r="107" spans="1:7" ht="17.100000000000001" customHeight="1">
      <c r="A107" s="370" t="s">
        <v>705</v>
      </c>
      <c r="B107" s="370"/>
      <c r="C107" s="370"/>
      <c r="D107" s="377" t="s">
        <v>1181</v>
      </c>
      <c r="E107" s="380">
        <f>SUM(E108:E110)</f>
        <v>0</v>
      </c>
      <c r="F107" s="380">
        <f>SUM(F108:F110)</f>
        <v>0</v>
      </c>
      <c r="G107" s="380">
        <f>SUM(G108:G110)</f>
        <v>0</v>
      </c>
    </row>
    <row r="111" spans="1:7" ht="17.100000000000001" customHeight="1">
      <c r="A111" s="370" t="s">
        <v>1182</v>
      </c>
      <c r="B111" s="370"/>
      <c r="C111" s="370"/>
      <c r="D111" s="377" t="s">
        <v>1033</v>
      </c>
      <c r="E111" s="380">
        <f>SUM(E112:E114)</f>
        <v>0</v>
      </c>
      <c r="F111" s="380">
        <f>SUM(F112:F114)</f>
        <v>0</v>
      </c>
      <c r="G111" s="380">
        <f>SUM(G112:G114)</f>
        <v>0</v>
      </c>
    </row>
    <row r="115" spans="1:7" ht="17.100000000000001" customHeight="1">
      <c r="A115" s="370" t="s">
        <v>1183</v>
      </c>
      <c r="B115" s="370"/>
      <c r="C115" s="370"/>
      <c r="D115" s="377" t="s">
        <v>1184</v>
      </c>
      <c r="E115" s="380">
        <f>SUM(E116:E118)</f>
        <v>0</v>
      </c>
      <c r="F115" s="380">
        <f>SUM(F116:F118)</f>
        <v>0</v>
      </c>
      <c r="G115" s="380">
        <f>SUM(G116:G118)</f>
        <v>0</v>
      </c>
    </row>
    <row r="119" spans="1:7" ht="17.100000000000001" customHeight="1">
      <c r="A119" s="370" t="s">
        <v>1185</v>
      </c>
      <c r="B119" s="370"/>
      <c r="C119" s="370"/>
      <c r="D119" s="377" t="s">
        <v>1035</v>
      </c>
      <c r="E119" s="380">
        <f>SUM(E120:E122)</f>
        <v>0</v>
      </c>
      <c r="F119" s="380">
        <f>SUM(F120:F122)</f>
        <v>0</v>
      </c>
      <c r="G119" s="380">
        <f>SUM(G120:G122)</f>
        <v>0</v>
      </c>
    </row>
    <row r="123" spans="1:7" ht="17.100000000000001" customHeight="1">
      <c r="A123" s="370" t="s">
        <v>1186</v>
      </c>
      <c r="B123" s="370"/>
      <c r="C123" s="370"/>
      <c r="D123" s="377" t="s">
        <v>1036</v>
      </c>
      <c r="E123" s="380">
        <f>SUM(E124:E126)</f>
        <v>0</v>
      </c>
      <c r="F123" s="380">
        <f>SUM(F124:F126)</f>
        <v>0</v>
      </c>
      <c r="G123" s="380">
        <f>SUM(G124:G126)</f>
        <v>0</v>
      </c>
    </row>
    <row r="127" spans="1:7" ht="17.100000000000001" customHeight="1">
      <c r="A127" s="370" t="s">
        <v>713</v>
      </c>
      <c r="B127" s="370"/>
      <c r="C127" s="370"/>
      <c r="D127" s="377" t="s">
        <v>1187</v>
      </c>
      <c r="E127" s="380">
        <f>SUM(E128:E130)</f>
        <v>0</v>
      </c>
      <c r="F127" s="380">
        <f>SUM(F128:F130)</f>
        <v>0</v>
      </c>
      <c r="G127" s="380">
        <f>SUM(G128:G130)</f>
        <v>0</v>
      </c>
    </row>
    <row r="131" spans="1:7" ht="17.100000000000001" customHeight="1">
      <c r="A131" s="370" t="s">
        <v>714</v>
      </c>
      <c r="B131" s="370"/>
      <c r="C131" s="370"/>
      <c r="D131" s="377" t="s">
        <v>1188</v>
      </c>
      <c r="E131" s="380">
        <f>SUM(E132:E134)</f>
        <v>0</v>
      </c>
      <c r="F131" s="380">
        <f>SUM(F132:F134)</f>
        <v>0</v>
      </c>
      <c r="G131" s="380">
        <f>SUM(G132:G134)</f>
        <v>0</v>
      </c>
    </row>
    <row r="135" spans="1:7" ht="17.100000000000001" customHeight="1">
      <c r="A135" s="370" t="s">
        <v>720</v>
      </c>
      <c r="B135" s="370"/>
      <c r="C135" s="370"/>
      <c r="D135" s="377" t="s">
        <v>1189</v>
      </c>
      <c r="E135" s="380">
        <f>SUM(E136:E138)</f>
        <v>0</v>
      </c>
      <c r="F135" s="380">
        <f>SUM(F136:F138)</f>
        <v>0</v>
      </c>
      <c r="G135" s="380">
        <f>SUM(G136:G138)</f>
        <v>0</v>
      </c>
    </row>
    <row r="139" spans="1:7" ht="17.100000000000001" customHeight="1">
      <c r="A139" s="370" t="s">
        <v>1190</v>
      </c>
      <c r="B139" s="370"/>
      <c r="C139" s="370"/>
      <c r="D139" s="377" t="s">
        <v>1191</v>
      </c>
      <c r="E139" s="380">
        <f>SUM(E140:E142)</f>
        <v>0</v>
      </c>
      <c r="F139" s="380">
        <f>SUM(F140:F142)</f>
        <v>0</v>
      </c>
      <c r="G139" s="380">
        <f>SUM(G140:G142)</f>
        <v>0</v>
      </c>
    </row>
    <row r="143" spans="1:7" ht="17.100000000000001" customHeight="1">
      <c r="A143" s="370" t="s">
        <v>1192</v>
      </c>
      <c r="B143" s="370"/>
      <c r="C143" s="370"/>
      <c r="D143" s="377" t="s">
        <v>1038</v>
      </c>
      <c r="E143" s="380">
        <f>SUM(E144:E146)</f>
        <v>0</v>
      </c>
      <c r="F143" s="380">
        <f>SUM(F144:F146)</f>
        <v>0</v>
      </c>
      <c r="G143" s="380">
        <f>SUM(G144:G146)</f>
        <v>0</v>
      </c>
    </row>
    <row r="147" spans="1:7" ht="17.100000000000001" customHeight="1">
      <c r="A147" s="370" t="s">
        <v>725</v>
      </c>
      <c r="B147" s="370"/>
      <c r="C147" s="370"/>
      <c r="D147" s="377" t="s">
        <v>1193</v>
      </c>
      <c r="E147" s="380">
        <f>SUM(E148:E150)</f>
        <v>0</v>
      </c>
      <c r="F147" s="380">
        <f>SUM(F148:F150)</f>
        <v>0</v>
      </c>
      <c r="G147" s="380">
        <f>SUM(G148:G150)</f>
        <v>0</v>
      </c>
    </row>
    <row r="151" spans="1:7" ht="17.100000000000001" customHeight="1">
      <c r="A151" s="370" t="s">
        <v>727</v>
      </c>
      <c r="B151" s="370"/>
      <c r="C151" s="370"/>
      <c r="D151" s="377" t="s">
        <v>1194</v>
      </c>
      <c r="E151" s="380">
        <f>SUM(E152:E154)</f>
        <v>0</v>
      </c>
      <c r="F151" s="380">
        <f>SUM(F152:F154)</f>
        <v>0</v>
      </c>
      <c r="G151" s="380">
        <f>SUM(G152:G154)</f>
        <v>0</v>
      </c>
    </row>
    <row r="155" spans="1:7" ht="17.100000000000001" customHeight="1">
      <c r="A155" s="370" t="s">
        <v>729</v>
      </c>
      <c r="B155" s="370"/>
      <c r="C155" s="370"/>
      <c r="D155" s="377" t="s">
        <v>1195</v>
      </c>
      <c r="E155" s="380">
        <f>SUM(E156:E158)</f>
        <v>0</v>
      </c>
      <c r="F155" s="380">
        <f>SUM(F156:F158)</f>
        <v>0</v>
      </c>
      <c r="G155" s="380">
        <f>SUM(G156:G158)</f>
        <v>0</v>
      </c>
    </row>
    <row r="159" spans="1:7" ht="17.100000000000001" customHeight="1">
      <c r="A159" s="370" t="s">
        <v>1196</v>
      </c>
      <c r="B159" s="370"/>
      <c r="C159" s="370"/>
      <c r="D159" s="377" t="s">
        <v>1039</v>
      </c>
      <c r="E159" s="380">
        <f>SUM(E160:E162)</f>
        <v>0</v>
      </c>
      <c r="F159" s="380">
        <f>SUM(F160:F162)</f>
        <v>0</v>
      </c>
      <c r="G159" s="380">
        <f>SUM(G160:G162)</f>
        <v>0</v>
      </c>
    </row>
    <row r="163" spans="1:7" ht="17.100000000000001" customHeight="1">
      <c r="A163" s="370" t="s">
        <v>1197</v>
      </c>
      <c r="B163" s="370"/>
      <c r="C163" s="370"/>
      <c r="D163" s="377" t="s">
        <v>1040</v>
      </c>
      <c r="E163" s="380">
        <f>SUM(E164:E166)</f>
        <v>0</v>
      </c>
      <c r="F163" s="380">
        <f>SUM(F164:F166)</f>
        <v>0</v>
      </c>
      <c r="G163" s="380">
        <f>SUM(G164:G166)</f>
        <v>0</v>
      </c>
    </row>
    <row r="167" spans="1:7" ht="17.100000000000001" customHeight="1">
      <c r="A167" s="370" t="s">
        <v>1198</v>
      </c>
      <c r="B167" s="370"/>
      <c r="C167" s="370"/>
      <c r="D167" s="377" t="s">
        <v>1199</v>
      </c>
      <c r="E167" s="380">
        <f>SUM(E168:E170)</f>
        <v>0</v>
      </c>
      <c r="F167" s="380">
        <f>SUM(F168:F170)</f>
        <v>0</v>
      </c>
      <c r="G167" s="380">
        <f>SUM(G168:G170)</f>
        <v>0</v>
      </c>
    </row>
    <row r="171" spans="1:7" ht="17.100000000000001" customHeight="1">
      <c r="A171" s="370" t="s">
        <v>1200</v>
      </c>
      <c r="B171" s="370"/>
      <c r="C171" s="370"/>
      <c r="D171" s="377" t="s">
        <v>1201</v>
      </c>
      <c r="E171" s="380">
        <f>SUM(E172:E174)</f>
        <v>0</v>
      </c>
      <c r="F171" s="380">
        <f>SUM(F172:F174)</f>
        <v>0</v>
      </c>
      <c r="G171" s="380">
        <f>SUM(G172:G174)</f>
        <v>0</v>
      </c>
    </row>
    <row r="175" spans="1:7" ht="17.100000000000001" customHeight="1">
      <c r="A175" s="370" t="s">
        <v>1202</v>
      </c>
      <c r="B175" s="370"/>
      <c r="C175" s="370"/>
      <c r="D175" s="377" t="s">
        <v>1203</v>
      </c>
      <c r="E175" s="380">
        <f>SUM(E176:E178)</f>
        <v>0</v>
      </c>
      <c r="F175" s="380">
        <f>SUM(F176:F178)</f>
        <v>0</v>
      </c>
      <c r="G175" s="380">
        <f>SUM(G176:G178)</f>
        <v>0</v>
      </c>
    </row>
    <row r="179" spans="1:7" ht="17.100000000000001" customHeight="1">
      <c r="A179" s="370" t="s">
        <v>1204</v>
      </c>
      <c r="B179" s="370"/>
      <c r="C179" s="370"/>
      <c r="D179" s="377" t="s">
        <v>1205</v>
      </c>
      <c r="E179" s="380">
        <f>SUM(E180:E182)</f>
        <v>0</v>
      </c>
      <c r="F179" s="380">
        <f>SUM(F180:F182)</f>
        <v>0</v>
      </c>
      <c r="G179" s="380">
        <f>SUM(G180:G182)</f>
        <v>0</v>
      </c>
    </row>
    <row r="183" spans="1:7" ht="17.100000000000001" customHeight="1">
      <c r="A183" s="370" t="s">
        <v>919</v>
      </c>
      <c r="B183" s="370"/>
      <c r="C183" s="370"/>
      <c r="D183" s="377" t="s">
        <v>1206</v>
      </c>
      <c r="E183" s="380">
        <f>SUM(E184:E186)</f>
        <v>0</v>
      </c>
      <c r="F183" s="380">
        <f>SUM(F184:F186)</f>
        <v>0</v>
      </c>
      <c r="G183" s="380">
        <f>SUM(G184:G186)</f>
        <v>0</v>
      </c>
    </row>
    <row r="187" spans="1:7" ht="17.100000000000001" customHeight="1">
      <c r="A187" s="370" t="s">
        <v>742</v>
      </c>
      <c r="B187" s="370"/>
      <c r="C187" s="370"/>
      <c r="D187" s="377" t="s">
        <v>1207</v>
      </c>
      <c r="E187" s="380">
        <f>SUM(E188:E190)</f>
        <v>0</v>
      </c>
      <c r="F187" s="380">
        <f>SUM(F188:F190)</f>
        <v>0</v>
      </c>
      <c r="G187" s="380">
        <f>SUM(G188:G190)</f>
        <v>0</v>
      </c>
    </row>
    <row r="191" spans="1:7" ht="17.100000000000001" customHeight="1">
      <c r="A191" s="370" t="s">
        <v>745</v>
      </c>
      <c r="B191" s="370"/>
      <c r="C191" s="370"/>
      <c r="D191" s="377" t="s">
        <v>1208</v>
      </c>
      <c r="E191" s="380">
        <f>SUM(E192:E194)</f>
        <v>0</v>
      </c>
      <c r="F191" s="380">
        <f>SUM(F192:F194)</f>
        <v>0</v>
      </c>
      <c r="G191" s="380">
        <f>SUM(G192:G194)</f>
        <v>0</v>
      </c>
    </row>
    <row r="195" spans="1:7" ht="17.100000000000001" customHeight="1">
      <c r="A195" s="370" t="s">
        <v>748</v>
      </c>
      <c r="B195" s="370"/>
      <c r="C195" s="370"/>
      <c r="D195" s="377" t="s">
        <v>1209</v>
      </c>
      <c r="E195" s="380">
        <f>SUM(E196:E198)</f>
        <v>0</v>
      </c>
      <c r="F195" s="380">
        <f>SUM(F196:F198)</f>
        <v>0</v>
      </c>
      <c r="G195" s="380">
        <f>SUM(G196:G198)</f>
        <v>0</v>
      </c>
    </row>
    <row r="199" spans="1:7" ht="17.100000000000001" customHeight="1">
      <c r="A199" s="370" t="s">
        <v>750</v>
      </c>
      <c r="B199" s="370"/>
      <c r="C199" s="370"/>
      <c r="D199" s="377" t="s">
        <v>1210</v>
      </c>
      <c r="E199" s="380">
        <f>SUM(E200:E202)</f>
        <v>0</v>
      </c>
      <c r="F199" s="380">
        <f>SUM(F200:F202)</f>
        <v>0</v>
      </c>
      <c r="G199" s="380">
        <f>SUM(G200:G202)</f>
        <v>0</v>
      </c>
    </row>
    <row r="203" spans="1:7" ht="17.100000000000001" customHeight="1">
      <c r="A203" s="370" t="s">
        <v>754</v>
      </c>
      <c r="B203" s="370"/>
      <c r="C203" s="370"/>
      <c r="D203" s="377" t="s">
        <v>1211</v>
      </c>
      <c r="E203" s="380">
        <f>SUM(E204:E206)</f>
        <v>0</v>
      </c>
      <c r="F203" s="380">
        <f>SUM(F204:F206)</f>
        <v>0</v>
      </c>
      <c r="G203" s="380">
        <f>SUM(G204:G206)</f>
        <v>0</v>
      </c>
    </row>
    <row r="207" spans="1:7" ht="17.100000000000001" customHeight="1">
      <c r="A207" s="370" t="s">
        <v>755</v>
      </c>
      <c r="B207" s="370"/>
      <c r="C207" s="370"/>
      <c r="D207" s="377" t="s">
        <v>1212</v>
      </c>
      <c r="E207" s="380">
        <f>SUM(E208:E210)</f>
        <v>0</v>
      </c>
      <c r="F207" s="380">
        <f>SUM(F208:F210)</f>
        <v>0</v>
      </c>
      <c r="G207" s="380">
        <f>SUM(G208:G210)</f>
        <v>0</v>
      </c>
    </row>
    <row r="211" spans="1:7" ht="17.100000000000001" customHeight="1">
      <c r="A211" s="370" t="s">
        <v>1213</v>
      </c>
      <c r="B211" s="370"/>
      <c r="C211" s="370"/>
      <c r="D211" s="377" t="s">
        <v>1045</v>
      </c>
      <c r="E211" s="380">
        <f>SUM(E212:E214)</f>
        <v>0</v>
      </c>
      <c r="F211" s="380">
        <f>SUM(F212:F214)</f>
        <v>0</v>
      </c>
      <c r="G211" s="380">
        <f>SUM(G212:G214)</f>
        <v>0</v>
      </c>
    </row>
    <row r="215" spans="1:7" ht="17.100000000000001" customHeight="1">
      <c r="A215" s="370" t="s">
        <v>1214</v>
      </c>
      <c r="B215" s="370"/>
      <c r="C215" s="370"/>
      <c r="D215" s="377" t="s">
        <v>1046</v>
      </c>
      <c r="E215" s="380">
        <f>SUM(E216:E218)</f>
        <v>0</v>
      </c>
      <c r="F215" s="380">
        <f>SUM(F216:F218)</f>
        <v>0</v>
      </c>
      <c r="G215" s="380">
        <f>SUM(G216:G218)</f>
        <v>0</v>
      </c>
    </row>
    <row r="219" spans="1:7" ht="17.100000000000001" customHeight="1">
      <c r="A219" s="370" t="s">
        <v>1215</v>
      </c>
      <c r="B219" s="370"/>
      <c r="C219" s="370"/>
      <c r="D219" s="377" t="s">
        <v>1216</v>
      </c>
      <c r="E219" s="380">
        <f>SUM(E220:E222)</f>
        <v>0</v>
      </c>
      <c r="F219" s="380">
        <f>SUM(F220:F222)</f>
        <v>0</v>
      </c>
      <c r="G219" s="380">
        <f>SUM(G220:G222)</f>
        <v>0</v>
      </c>
    </row>
    <row r="223" spans="1:7" ht="17.100000000000001" customHeight="1">
      <c r="A223" s="370" t="s">
        <v>1217</v>
      </c>
      <c r="B223" s="370"/>
      <c r="C223" s="370"/>
      <c r="D223" s="377" t="s">
        <v>1048</v>
      </c>
      <c r="E223" s="380">
        <f>SUM(E224:E226)</f>
        <v>0</v>
      </c>
      <c r="F223" s="380">
        <f>SUM(F224:F226)</f>
        <v>0</v>
      </c>
      <c r="G223" s="380">
        <f>SUM(G224:G226)</f>
        <v>0</v>
      </c>
    </row>
    <row r="227" spans="1:7" ht="17.100000000000001" customHeight="1">
      <c r="A227" s="370" t="s">
        <v>1218</v>
      </c>
      <c r="B227" s="370"/>
      <c r="C227" s="370"/>
      <c r="D227" s="377" t="s">
        <v>1219</v>
      </c>
      <c r="E227" s="380">
        <f>SUM(E228:E230)</f>
        <v>0</v>
      </c>
      <c r="F227" s="380">
        <f>SUM(F228:F230)</f>
        <v>0</v>
      </c>
      <c r="G227" s="380">
        <f>SUM(G228:G230)</f>
        <v>0</v>
      </c>
    </row>
    <row r="231" spans="1:7" ht="17.100000000000001" customHeight="1">
      <c r="A231" s="370" t="s">
        <v>1220</v>
      </c>
      <c r="B231" s="370"/>
      <c r="C231" s="370"/>
      <c r="D231" s="377" t="s">
        <v>1221</v>
      </c>
      <c r="E231" s="380">
        <f>SUM(E232:E234)</f>
        <v>0</v>
      </c>
      <c r="F231" s="380">
        <f>SUM(F232:F234)</f>
        <v>0</v>
      </c>
      <c r="G231" s="380">
        <f>SUM(G232:G234)</f>
        <v>0</v>
      </c>
    </row>
    <row r="235" spans="1:7" ht="17.100000000000001" customHeight="1">
      <c r="A235" s="370" t="s">
        <v>1222</v>
      </c>
      <c r="B235" s="370"/>
      <c r="C235" s="370"/>
      <c r="D235" s="377" t="s">
        <v>1223</v>
      </c>
      <c r="E235" s="380">
        <f>SUM(E236:E238)</f>
        <v>0</v>
      </c>
      <c r="F235" s="380">
        <f>SUM(F236:F238)</f>
        <v>0</v>
      </c>
      <c r="G235" s="380">
        <f>SUM(G236:G238)</f>
        <v>0</v>
      </c>
    </row>
    <row r="239" spans="1:7" ht="17.100000000000001" customHeight="1">
      <c r="A239" s="370" t="s">
        <v>1224</v>
      </c>
      <c r="B239" s="370"/>
      <c r="C239" s="370"/>
      <c r="D239" s="377" t="s">
        <v>1052</v>
      </c>
      <c r="E239" s="380">
        <f>SUM(E240:E242)</f>
        <v>0</v>
      </c>
      <c r="F239" s="380">
        <f>SUM(F240:F242)</f>
        <v>0</v>
      </c>
      <c r="G239" s="380">
        <f>SUM(G240:G242)</f>
        <v>0</v>
      </c>
    </row>
    <row r="243" spans="1:7" ht="17.100000000000001" customHeight="1">
      <c r="A243" s="370" t="s">
        <v>1225</v>
      </c>
      <c r="B243" s="370"/>
      <c r="C243" s="370"/>
      <c r="D243" s="377" t="s">
        <v>1053</v>
      </c>
      <c r="E243" s="380">
        <f>SUM(E244:E246)</f>
        <v>0</v>
      </c>
      <c r="F243" s="380">
        <f>SUM(F244:F246)</f>
        <v>0</v>
      </c>
      <c r="G243" s="380">
        <f>SUM(G244:G246)</f>
        <v>0</v>
      </c>
    </row>
    <row r="247" spans="1:7" ht="17.100000000000001" customHeight="1">
      <c r="A247" s="370" t="s">
        <v>1226</v>
      </c>
      <c r="B247" s="370"/>
      <c r="C247" s="370"/>
      <c r="D247" s="377" t="s">
        <v>1054</v>
      </c>
      <c r="E247" s="380">
        <f>SUM(E248:E250)</f>
        <v>0</v>
      </c>
      <c r="F247" s="380">
        <f>SUM(F248:F250)</f>
        <v>0</v>
      </c>
      <c r="G247" s="380">
        <f>SUM(G248:G250)</f>
        <v>0</v>
      </c>
    </row>
    <row r="251" spans="1:7" ht="17.100000000000001" customHeight="1">
      <c r="A251" s="370" t="s">
        <v>1227</v>
      </c>
      <c r="B251" s="370"/>
      <c r="C251" s="370"/>
      <c r="D251" s="377" t="s">
        <v>1055</v>
      </c>
      <c r="E251" s="380">
        <f>SUM(E252:E254)</f>
        <v>0</v>
      </c>
      <c r="F251" s="380">
        <f>SUM(F252:F254)</f>
        <v>0</v>
      </c>
      <c r="G251" s="380">
        <f>SUM(G252:G254)</f>
        <v>0</v>
      </c>
    </row>
    <row r="255" spans="1:7" ht="17.100000000000001" customHeight="1">
      <c r="A255" s="370" t="s">
        <v>1228</v>
      </c>
      <c r="B255" s="370"/>
      <c r="C255" s="370"/>
      <c r="D255" s="377" t="s">
        <v>1229</v>
      </c>
      <c r="E255" s="380">
        <f>SUM(E256:E258)</f>
        <v>0</v>
      </c>
      <c r="F255" s="380">
        <f>SUM(F256:F258)</f>
        <v>0</v>
      </c>
      <c r="G255" s="380">
        <f>SUM(G256:G258)</f>
        <v>0</v>
      </c>
    </row>
    <row r="259" spans="1:7" ht="17.100000000000001" customHeight="1">
      <c r="A259" s="370" t="s">
        <v>1230</v>
      </c>
      <c r="B259" s="370"/>
      <c r="C259" s="370"/>
      <c r="D259" s="377" t="s">
        <v>1231</v>
      </c>
      <c r="E259" s="380">
        <f>SUM(E260:E262)</f>
        <v>0</v>
      </c>
      <c r="F259" s="380">
        <f>SUM(F260:F262)</f>
        <v>0</v>
      </c>
      <c r="G259" s="380">
        <f>SUM(G260:G262)</f>
        <v>0</v>
      </c>
    </row>
    <row r="263" spans="1:7" ht="17.100000000000001" customHeight="1">
      <c r="A263" s="370" t="s">
        <v>1232</v>
      </c>
      <c r="B263" s="370"/>
      <c r="C263" s="370"/>
      <c r="D263" s="377" t="s">
        <v>1058</v>
      </c>
      <c r="E263" s="380">
        <f>SUM(E264:E266)</f>
        <v>0</v>
      </c>
      <c r="F263" s="380">
        <f>SUM(F264:F266)</f>
        <v>0</v>
      </c>
      <c r="G263" s="380">
        <f>SUM(G264:G266)</f>
        <v>0</v>
      </c>
    </row>
    <row r="267" spans="1:7" ht="17.100000000000001" customHeight="1">
      <c r="A267" s="370" t="s">
        <v>1233</v>
      </c>
      <c r="B267" s="370"/>
      <c r="C267" s="370"/>
      <c r="D267" s="377" t="s">
        <v>1059</v>
      </c>
      <c r="E267" s="380">
        <f>SUM(E268:E270)</f>
        <v>0</v>
      </c>
      <c r="F267" s="380">
        <f>SUM(F268:F270)</f>
        <v>0</v>
      </c>
      <c r="G267" s="380">
        <f>SUM(G268:G270)</f>
        <v>0</v>
      </c>
    </row>
    <row r="271" spans="1:7" ht="17.100000000000001" customHeight="1">
      <c r="A271" s="370" t="s">
        <v>1234</v>
      </c>
      <c r="B271" s="370"/>
      <c r="C271" s="370"/>
      <c r="D271" s="377" t="s">
        <v>1235</v>
      </c>
      <c r="E271" s="380">
        <f>SUM(E272:E274)</f>
        <v>0</v>
      </c>
      <c r="F271" s="380">
        <f>SUM(F272:F274)</f>
        <v>0</v>
      </c>
      <c r="G271" s="380">
        <f>SUM(G272:G274)</f>
        <v>0</v>
      </c>
    </row>
    <row r="275" spans="1:7" ht="17.100000000000001" customHeight="1">
      <c r="A275" s="370" t="s">
        <v>1236</v>
      </c>
      <c r="B275" s="370"/>
      <c r="C275" s="370"/>
      <c r="D275" s="377" t="s">
        <v>1237</v>
      </c>
      <c r="E275" s="380">
        <f>SUM(E276:E278)</f>
        <v>0</v>
      </c>
      <c r="F275" s="380">
        <f>SUM(F276:F278)</f>
        <v>0</v>
      </c>
      <c r="G275" s="380">
        <f>SUM(G276:G278)</f>
        <v>0</v>
      </c>
    </row>
    <row r="279" spans="1:7" ht="17.100000000000001" customHeight="1">
      <c r="A279" s="370" t="s">
        <v>1238</v>
      </c>
      <c r="B279" s="370"/>
      <c r="C279" s="370"/>
      <c r="D279" s="377" t="s">
        <v>1239</v>
      </c>
      <c r="E279" s="380">
        <f>SUM(E280:E282)</f>
        <v>0</v>
      </c>
      <c r="F279" s="380">
        <f>SUM(F280:F282)</f>
        <v>0</v>
      </c>
      <c r="G279" s="380">
        <f>SUM(G280:G282)</f>
        <v>0</v>
      </c>
    </row>
    <row r="283" spans="1:7" ht="17.100000000000001" customHeight="1">
      <c r="A283" s="370" t="s">
        <v>1240</v>
      </c>
      <c r="B283" s="370"/>
      <c r="C283" s="370"/>
      <c r="D283" s="377" t="s">
        <v>1241</v>
      </c>
      <c r="E283" s="380">
        <f>SUM(E284:E286)</f>
        <v>0</v>
      </c>
      <c r="F283" s="380">
        <f>SUM(F284:F286)</f>
        <v>0</v>
      </c>
      <c r="G283" s="380">
        <f>SUM(G284:G286)</f>
        <v>0</v>
      </c>
    </row>
    <row r="287" spans="1:7" ht="17.100000000000001" customHeight="1">
      <c r="A287" s="370" t="s">
        <v>1242</v>
      </c>
      <c r="B287" s="370"/>
      <c r="C287" s="370"/>
      <c r="D287" s="377" t="s">
        <v>1064</v>
      </c>
      <c r="E287" s="380">
        <f>SUM(E288:E290)</f>
        <v>0</v>
      </c>
      <c r="F287" s="380">
        <f>SUM(F288:F290)</f>
        <v>0</v>
      </c>
      <c r="G287" s="380">
        <f>SUM(G288:G290)</f>
        <v>0</v>
      </c>
    </row>
    <row r="291" spans="1:7" ht="17.100000000000001" customHeight="1">
      <c r="A291" s="370" t="s">
        <v>1243</v>
      </c>
      <c r="B291" s="370"/>
      <c r="C291" s="370"/>
      <c r="D291" s="377" t="s">
        <v>1065</v>
      </c>
      <c r="E291" s="380">
        <f>SUM(E292:E294)</f>
        <v>0</v>
      </c>
      <c r="F291" s="380">
        <f>SUM(F292:F294)</f>
        <v>0</v>
      </c>
      <c r="G291" s="380">
        <f>SUM(G292:G294)</f>
        <v>0</v>
      </c>
    </row>
    <row r="295" spans="1:7" ht="17.100000000000001" customHeight="1">
      <c r="A295" s="370" t="s">
        <v>1244</v>
      </c>
      <c r="B295" s="370"/>
      <c r="C295" s="370"/>
      <c r="D295" s="377" t="s">
        <v>1066</v>
      </c>
      <c r="E295" s="380"/>
      <c r="F295" s="380"/>
      <c r="G295" s="380"/>
    </row>
    <row r="299" spans="1:7" ht="17.100000000000001" customHeight="1">
      <c r="A299" s="370"/>
      <c r="B299" s="370"/>
      <c r="C299" s="370"/>
      <c r="D299" s="377"/>
      <c r="E299" s="380"/>
      <c r="F299" s="380"/>
      <c r="G299" s="380"/>
    </row>
  </sheetData>
  <sheetProtection selectLockedCells="1" selectUnlockedCells="1"/>
  <pageMargins left="0.19652777777777777" right="0.19652777777777777" top="0.31527777777777777" bottom="0.19652777777777777" header="0.51180555555555551" footer="0.51180555555555551"/>
  <pageSetup paperSize="9" firstPageNumber="0" orientation="portrait" horizontalDpi="300" verticalDpi="300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dimension ref="A1:G284"/>
  <sheetViews>
    <sheetView topLeftCell="A274" zoomScale="140" zoomScaleNormal="140" workbookViewId="0">
      <selection activeCell="E178" sqref="E178"/>
    </sheetView>
  </sheetViews>
  <sheetFormatPr defaultColWidth="11.5703125" defaultRowHeight="17.100000000000001" customHeight="1"/>
  <cols>
    <col min="1" max="1" width="8.7109375" style="373" customWidth="1"/>
    <col min="2" max="2" width="9.7109375" style="373" customWidth="1"/>
    <col min="3" max="3" width="15.28515625" style="373" customWidth="1"/>
    <col min="4" max="4" width="37.85546875" style="374" customWidth="1"/>
    <col min="5" max="7" width="10.140625" style="375" customWidth="1"/>
    <col min="8" max="16384" width="11.5703125" style="386"/>
  </cols>
  <sheetData>
    <row r="1" spans="1:7" s="385" customFormat="1" ht="17.100000000000001" customHeight="1">
      <c r="A1" s="370" t="s">
        <v>1134</v>
      </c>
      <c r="B1" s="370" t="s">
        <v>1135</v>
      </c>
      <c r="C1" s="370" t="s">
        <v>1136</v>
      </c>
      <c r="D1" s="370" t="s">
        <v>889</v>
      </c>
      <c r="E1" s="371" t="s">
        <v>1137</v>
      </c>
      <c r="F1" s="371" t="s">
        <v>1138</v>
      </c>
      <c r="G1" s="371" t="s">
        <v>1139</v>
      </c>
    </row>
    <row r="2" spans="1:7" ht="5.65" customHeight="1"/>
    <row r="3" spans="1:7" s="387" customFormat="1" ht="17.100000000000001" customHeight="1">
      <c r="A3" s="370" t="s">
        <v>955</v>
      </c>
      <c r="B3" s="370"/>
      <c r="C3" s="370"/>
      <c r="D3" s="377" t="s">
        <v>1245</v>
      </c>
      <c r="E3" s="378">
        <f>SUM(E4:E6)</f>
        <v>0</v>
      </c>
      <c r="F3" s="378">
        <f>SUM(F4:F6)</f>
        <v>0</v>
      </c>
      <c r="G3" s="378">
        <f>SUM(G4:G6)</f>
        <v>0</v>
      </c>
    </row>
    <row r="7" spans="1:7" s="387" customFormat="1" ht="17.100000000000001" customHeight="1">
      <c r="A7" s="370" t="s">
        <v>1246</v>
      </c>
      <c r="B7" s="370"/>
      <c r="C7" s="370"/>
      <c r="D7" s="388" t="s">
        <v>1247</v>
      </c>
      <c r="E7" s="378">
        <f>SUM(E8:E10)</f>
        <v>0</v>
      </c>
      <c r="F7" s="378">
        <f>SUM(F8:F10)</f>
        <v>0</v>
      </c>
      <c r="G7" s="378">
        <f>SUM(G8:G10)</f>
        <v>0</v>
      </c>
    </row>
    <row r="11" spans="1:7" s="387" customFormat="1" ht="17.100000000000001" customHeight="1">
      <c r="A11" s="370" t="s">
        <v>1248</v>
      </c>
      <c r="B11" s="370"/>
      <c r="C11" s="370"/>
      <c r="D11" s="388" t="s">
        <v>1249</v>
      </c>
      <c r="E11" s="378">
        <f>SUM(E12:E14)</f>
        <v>0</v>
      </c>
      <c r="F11" s="378">
        <f>SUM(F12:F14)</f>
        <v>0</v>
      </c>
      <c r="G11" s="378">
        <f>SUM(G12:G14)</f>
        <v>0</v>
      </c>
    </row>
    <row r="15" spans="1:7" s="387" customFormat="1" ht="17.100000000000001" customHeight="1">
      <c r="A15" s="370" t="s">
        <v>1250</v>
      </c>
      <c r="B15" s="370"/>
      <c r="C15" s="370"/>
      <c r="D15" s="388" t="s">
        <v>1251</v>
      </c>
      <c r="E15" s="378">
        <f>SUM(E16:E18)</f>
        <v>0</v>
      </c>
      <c r="F15" s="378">
        <f>SUM(F16:F18)</f>
        <v>0</v>
      </c>
      <c r="G15" s="378">
        <f>SUM(G16:G18)</f>
        <v>0</v>
      </c>
    </row>
    <row r="19" spans="1:7" s="387" customFormat="1" ht="17.100000000000001" customHeight="1">
      <c r="A19" s="370" t="s">
        <v>1252</v>
      </c>
      <c r="B19" s="370"/>
      <c r="C19" s="370"/>
      <c r="D19" s="388" t="s">
        <v>1253</v>
      </c>
      <c r="E19" s="378">
        <f>SUM(E20:E22)</f>
        <v>0</v>
      </c>
      <c r="F19" s="378">
        <f>SUM(F20:F22)</f>
        <v>0</v>
      </c>
      <c r="G19" s="378">
        <f>SUM(G20:G22)</f>
        <v>0</v>
      </c>
    </row>
    <row r="23" spans="1:7" s="387" customFormat="1" ht="17.100000000000001" customHeight="1">
      <c r="A23" s="370" t="s">
        <v>1254</v>
      </c>
      <c r="B23" s="370"/>
      <c r="C23" s="370"/>
      <c r="D23" s="388" t="s">
        <v>1255</v>
      </c>
      <c r="E23" s="378">
        <f>SUM(E24:E26)</f>
        <v>0</v>
      </c>
      <c r="F23" s="378">
        <f>SUM(F24:F26)</f>
        <v>0</v>
      </c>
      <c r="G23" s="378">
        <f>SUM(G24:G26)</f>
        <v>0</v>
      </c>
    </row>
    <row r="27" spans="1:7" s="387" customFormat="1" ht="17.100000000000001" customHeight="1">
      <c r="A27" s="370" t="s">
        <v>1256</v>
      </c>
      <c r="B27" s="370"/>
      <c r="C27" s="370"/>
      <c r="D27" s="388" t="s">
        <v>1257</v>
      </c>
      <c r="E27" s="378">
        <f>SUM(E28:E30)</f>
        <v>0</v>
      </c>
      <c r="F27" s="378">
        <f>SUM(F28:F30)</f>
        <v>0</v>
      </c>
      <c r="G27" s="378">
        <f>SUM(G28:G30)</f>
        <v>0</v>
      </c>
    </row>
    <row r="31" spans="1:7" s="387" customFormat="1" ht="17.100000000000001" customHeight="1">
      <c r="A31" s="370" t="s">
        <v>1258</v>
      </c>
      <c r="B31" s="370"/>
      <c r="C31" s="370"/>
      <c r="D31" s="388" t="s">
        <v>1259</v>
      </c>
      <c r="E31" s="378">
        <f>SUM(E32:E34)</f>
        <v>0</v>
      </c>
      <c r="F31" s="378">
        <f>SUM(F32:F34)</f>
        <v>0</v>
      </c>
      <c r="G31" s="378">
        <f>SUM(G32:G34)</f>
        <v>0</v>
      </c>
    </row>
    <row r="35" spans="1:7" s="387" customFormat="1" ht="17.100000000000001" customHeight="1">
      <c r="A35" s="370" t="s">
        <v>1260</v>
      </c>
      <c r="B35" s="370"/>
      <c r="C35" s="370"/>
      <c r="D35" s="388" t="s">
        <v>1261</v>
      </c>
      <c r="E35" s="378">
        <f>SUM(E36:E38)</f>
        <v>0</v>
      </c>
      <c r="F35" s="378">
        <f>SUM(F36:F38)</f>
        <v>0</v>
      </c>
      <c r="G35" s="378">
        <f>SUM(G36:G38)</f>
        <v>0</v>
      </c>
    </row>
    <row r="39" spans="1:7" s="387" customFormat="1" ht="17.100000000000001" customHeight="1">
      <c r="A39" s="370" t="s">
        <v>1262</v>
      </c>
      <c r="B39" s="370"/>
      <c r="C39" s="370"/>
      <c r="D39" s="388" t="s">
        <v>1263</v>
      </c>
      <c r="E39" s="378">
        <f>SUM(E40:E42)</f>
        <v>0</v>
      </c>
      <c r="F39" s="378">
        <f>SUM(F40:F42)</f>
        <v>0</v>
      </c>
      <c r="G39" s="378">
        <f>SUM(G40:G42)</f>
        <v>0</v>
      </c>
    </row>
    <row r="43" spans="1:7" s="387" customFormat="1" ht="17.100000000000001" customHeight="1">
      <c r="A43" s="370" t="s">
        <v>1264</v>
      </c>
      <c r="B43" s="370"/>
      <c r="C43" s="370"/>
      <c r="D43" s="388" t="s">
        <v>1265</v>
      </c>
      <c r="E43" s="378">
        <f>SUM(E44:E46)</f>
        <v>0</v>
      </c>
      <c r="F43" s="378">
        <f>SUM(F44:F46)</f>
        <v>0</v>
      </c>
      <c r="G43" s="378">
        <f>SUM(G44:G46)</f>
        <v>0</v>
      </c>
    </row>
    <row r="47" spans="1:7" s="387" customFormat="1" ht="17.100000000000001" customHeight="1">
      <c r="A47" s="370" t="s">
        <v>1266</v>
      </c>
      <c r="B47" s="370"/>
      <c r="C47" s="370"/>
      <c r="D47" s="388" t="s">
        <v>1267</v>
      </c>
      <c r="E47" s="378">
        <f>SUM(E48:E50)</f>
        <v>0</v>
      </c>
      <c r="F47" s="378">
        <f>SUM(F48:F50)</f>
        <v>0</v>
      </c>
      <c r="G47" s="378">
        <f>SUM(G48:G50)</f>
        <v>0</v>
      </c>
    </row>
    <row r="51" spans="1:7" s="387" customFormat="1" ht="17.100000000000001" customHeight="1">
      <c r="A51" s="370" t="s">
        <v>1268</v>
      </c>
      <c r="B51" s="370"/>
      <c r="C51" s="370"/>
      <c r="D51" s="388" t="s">
        <v>1269</v>
      </c>
      <c r="E51" s="378">
        <f>SUM(E52:E54)</f>
        <v>0</v>
      </c>
      <c r="F51" s="378">
        <f>SUM(F52:F54)</f>
        <v>0</v>
      </c>
      <c r="G51" s="378">
        <f>SUM(G52:G54)</f>
        <v>0</v>
      </c>
    </row>
    <row r="55" spans="1:7" s="387" customFormat="1" ht="17.100000000000001" customHeight="1">
      <c r="A55" s="370" t="s">
        <v>1270</v>
      </c>
      <c r="B55" s="370"/>
      <c r="C55" s="370"/>
      <c r="D55" s="388" t="s">
        <v>1271</v>
      </c>
      <c r="E55" s="378">
        <f>SUM(E56:E58)</f>
        <v>0</v>
      </c>
      <c r="F55" s="378">
        <f>SUM(F56:F58)</f>
        <v>0</v>
      </c>
      <c r="G55" s="378">
        <f>SUM(G56:G58)</f>
        <v>0</v>
      </c>
    </row>
    <row r="59" spans="1:7" s="387" customFormat="1" ht="17.100000000000001" customHeight="1">
      <c r="A59" s="370" t="s">
        <v>1272</v>
      </c>
      <c r="B59" s="370"/>
      <c r="C59" s="370"/>
      <c r="D59" s="388"/>
      <c r="E59" s="378">
        <f>SUM(E60:E62)</f>
        <v>0</v>
      </c>
      <c r="F59" s="378">
        <f>SUM(F60:F62)</f>
        <v>0</v>
      </c>
      <c r="G59" s="378">
        <f>SUM(G60:G62)</f>
        <v>0</v>
      </c>
    </row>
    <row r="63" spans="1:7" ht="17.100000000000001" customHeight="1">
      <c r="A63" s="370" t="s">
        <v>1273</v>
      </c>
      <c r="B63" s="370"/>
      <c r="C63" s="370"/>
      <c r="D63" s="388"/>
      <c r="E63" s="378">
        <f>SUM(E64:E66)</f>
        <v>0</v>
      </c>
      <c r="F63" s="378">
        <f>SUM(F64:F66)</f>
        <v>0</v>
      </c>
      <c r="G63" s="378">
        <f>SUM(G64:G66)</f>
        <v>0</v>
      </c>
    </row>
    <row r="67" spans="1:7" s="387" customFormat="1" ht="17.100000000000001" customHeight="1">
      <c r="A67" s="370" t="s">
        <v>1274</v>
      </c>
      <c r="B67" s="370"/>
      <c r="C67" s="370"/>
      <c r="D67" s="388"/>
      <c r="E67" s="378">
        <f>SUM(E68:E70)</f>
        <v>0</v>
      </c>
      <c r="F67" s="378">
        <f>SUM(F68:F70)</f>
        <v>0</v>
      </c>
      <c r="G67" s="378">
        <f>SUM(G68:G70)</f>
        <v>0</v>
      </c>
    </row>
    <row r="71" spans="1:7" s="387" customFormat="1" ht="17.100000000000001" customHeight="1">
      <c r="A71" s="370" t="s">
        <v>1275</v>
      </c>
      <c r="B71" s="370"/>
      <c r="C71" s="370"/>
      <c r="D71" s="388" t="s">
        <v>1276</v>
      </c>
      <c r="E71" s="378">
        <f>SUM(E72:E74)</f>
        <v>0</v>
      </c>
      <c r="F71" s="378">
        <f>SUM(F72:F74)</f>
        <v>0</v>
      </c>
      <c r="G71" s="378">
        <f>SUM(G72:G74)</f>
        <v>0</v>
      </c>
    </row>
    <row r="75" spans="1:7" s="387" customFormat="1" ht="17.100000000000001" customHeight="1">
      <c r="A75" s="370" t="s">
        <v>1277</v>
      </c>
      <c r="B75" s="370"/>
      <c r="C75" s="370"/>
      <c r="D75" s="388" t="s">
        <v>1278</v>
      </c>
      <c r="E75" s="378">
        <f>SUM(E76:E78)</f>
        <v>0</v>
      </c>
      <c r="F75" s="378">
        <f>SUM(F76:F78)</f>
        <v>0</v>
      </c>
      <c r="G75" s="378">
        <f>SUM(G76:G78)</f>
        <v>0</v>
      </c>
    </row>
    <row r="79" spans="1:7" s="387" customFormat="1" ht="17.100000000000001" customHeight="1">
      <c r="A79" s="370" t="s">
        <v>1279</v>
      </c>
      <c r="B79" s="370"/>
      <c r="C79" s="370"/>
      <c r="D79" s="388" t="s">
        <v>1280</v>
      </c>
      <c r="E79" s="378">
        <f>SUM(E80:E82)</f>
        <v>0</v>
      </c>
      <c r="F79" s="378">
        <f>SUM(F80:F82)</f>
        <v>0</v>
      </c>
      <c r="G79" s="378">
        <f>SUM(G80:G82)</f>
        <v>0</v>
      </c>
    </row>
    <row r="83" spans="1:7" s="387" customFormat="1" ht="17.100000000000001" customHeight="1">
      <c r="A83" s="370" t="s">
        <v>1281</v>
      </c>
      <c r="B83" s="370"/>
      <c r="C83" s="370"/>
      <c r="D83" s="388" t="s">
        <v>1282</v>
      </c>
      <c r="E83" s="378">
        <f>SUM(E84:E86)</f>
        <v>0</v>
      </c>
      <c r="F83" s="378">
        <f>SUM(F84:F86)</f>
        <v>0</v>
      </c>
      <c r="G83" s="378">
        <f>SUM(G84:G86)</f>
        <v>0</v>
      </c>
    </row>
    <row r="87" spans="1:7" s="387" customFormat="1" ht="17.100000000000001" customHeight="1">
      <c r="A87" s="370" t="s">
        <v>1283</v>
      </c>
      <c r="B87" s="370"/>
      <c r="C87" s="370"/>
      <c r="D87" s="388" t="s">
        <v>1284</v>
      </c>
      <c r="E87" s="378">
        <f>SUM(E88:E90)</f>
        <v>0</v>
      </c>
      <c r="F87" s="378">
        <f>SUM(F88:F90)</f>
        <v>0</v>
      </c>
      <c r="G87" s="378">
        <f>SUM(G88:G90)</f>
        <v>0</v>
      </c>
    </row>
    <row r="91" spans="1:7" s="387" customFormat="1" ht="17.100000000000001" customHeight="1">
      <c r="A91" s="370" t="s">
        <v>1285</v>
      </c>
      <c r="B91" s="370"/>
      <c r="C91" s="370"/>
      <c r="D91" s="388"/>
      <c r="E91" s="378">
        <f>SUM(E92:E94)</f>
        <v>0</v>
      </c>
      <c r="F91" s="378">
        <f>SUM(F92:F94)</f>
        <v>0</v>
      </c>
      <c r="G91" s="378">
        <f>SUM(G92:G94)</f>
        <v>0</v>
      </c>
    </row>
    <row r="95" spans="1:7" s="387" customFormat="1" ht="17.100000000000001" customHeight="1">
      <c r="A95" s="370" t="s">
        <v>1286</v>
      </c>
      <c r="B95" s="370"/>
      <c r="C95" s="370"/>
      <c r="D95" s="388"/>
      <c r="E95" s="378">
        <f>SUM(E96:E98)</f>
        <v>0</v>
      </c>
      <c r="F95" s="378">
        <f>SUM(F96:F98)</f>
        <v>0</v>
      </c>
      <c r="G95" s="378">
        <f>SUM(G96:G98)</f>
        <v>0</v>
      </c>
    </row>
    <row r="99" spans="1:7" s="387" customFormat="1" ht="17.100000000000001" customHeight="1">
      <c r="A99" s="370" t="s">
        <v>1287</v>
      </c>
      <c r="B99" s="370"/>
      <c r="C99" s="370"/>
      <c r="D99" s="388" t="s">
        <v>1076</v>
      </c>
      <c r="E99" s="378">
        <f>SUM(E100:E102)</f>
        <v>0</v>
      </c>
      <c r="F99" s="378">
        <f>SUM(F100:F102)</f>
        <v>0</v>
      </c>
      <c r="G99" s="378">
        <f>SUM(G100:G102)</f>
        <v>0</v>
      </c>
    </row>
    <row r="103" spans="1:7" s="387" customFormat="1" ht="17.100000000000001" customHeight="1">
      <c r="A103" s="370" t="s">
        <v>1288</v>
      </c>
      <c r="B103" s="370"/>
      <c r="C103" s="370"/>
      <c r="D103" s="388" t="s">
        <v>1289</v>
      </c>
      <c r="E103" s="378">
        <f>SUM(E104:E106)</f>
        <v>0</v>
      </c>
      <c r="F103" s="378">
        <f>SUM(F104:F106)</f>
        <v>0</v>
      </c>
      <c r="G103" s="378">
        <f>SUM(G104:G106)</f>
        <v>0</v>
      </c>
    </row>
    <row r="107" spans="1:7" s="387" customFormat="1" ht="17.100000000000001" customHeight="1">
      <c r="A107" s="370" t="s">
        <v>1290</v>
      </c>
      <c r="B107" s="370"/>
      <c r="C107" s="370"/>
      <c r="D107" s="388" t="s">
        <v>1291</v>
      </c>
      <c r="E107" s="378">
        <f>SUM(E108:E110)</f>
        <v>0</v>
      </c>
      <c r="F107" s="378">
        <f>SUM(F108:F110)</f>
        <v>0</v>
      </c>
      <c r="G107" s="378">
        <f>SUM(G108:G110)</f>
        <v>0</v>
      </c>
    </row>
    <row r="111" spans="1:7" s="387" customFormat="1" ht="17.100000000000001" customHeight="1">
      <c r="A111" s="370" t="s">
        <v>1292</v>
      </c>
      <c r="B111" s="370"/>
      <c r="C111" s="370"/>
      <c r="D111" s="388" t="s">
        <v>1293</v>
      </c>
      <c r="E111" s="378">
        <f>SUM(E112:E114)</f>
        <v>0</v>
      </c>
      <c r="F111" s="378">
        <f>SUM(F112:F114)</f>
        <v>0</v>
      </c>
      <c r="G111" s="378">
        <f>SUM(G112:G114)</f>
        <v>0</v>
      </c>
    </row>
    <row r="115" spans="1:7" s="387" customFormat="1" ht="17.100000000000001" customHeight="1">
      <c r="A115" s="370" t="s">
        <v>1294</v>
      </c>
      <c r="B115" s="370"/>
      <c r="C115" s="370"/>
      <c r="D115" s="388" t="s">
        <v>1078</v>
      </c>
      <c r="E115" s="378">
        <f>SUM(E116:E118)</f>
        <v>0</v>
      </c>
      <c r="F115" s="378">
        <f>SUM(F116:F118)</f>
        <v>0</v>
      </c>
      <c r="G115" s="378">
        <f>SUM(G116:G118)</f>
        <v>0</v>
      </c>
    </row>
    <row r="119" spans="1:7" s="387" customFormat="1" ht="17.100000000000001" customHeight="1">
      <c r="A119" s="370" t="s">
        <v>1295</v>
      </c>
      <c r="B119" s="370"/>
      <c r="C119" s="370"/>
      <c r="D119" s="388" t="s">
        <v>1079</v>
      </c>
      <c r="E119" s="378">
        <f>SUM(E120:E122)</f>
        <v>0</v>
      </c>
      <c r="F119" s="378">
        <f>SUM(F120:F122)</f>
        <v>0</v>
      </c>
      <c r="G119" s="378">
        <f>SUM(G120:G122)</f>
        <v>0</v>
      </c>
    </row>
    <row r="123" spans="1:7" s="387" customFormat="1" ht="17.100000000000001" customHeight="1">
      <c r="A123" s="370" t="s">
        <v>1296</v>
      </c>
      <c r="B123" s="370"/>
      <c r="C123" s="370"/>
      <c r="D123" s="388" t="s">
        <v>1080</v>
      </c>
      <c r="E123" s="378">
        <f>SUM(E124:E126)</f>
        <v>0</v>
      </c>
      <c r="F123" s="378">
        <f>SUM(F124:F126)</f>
        <v>0</v>
      </c>
      <c r="G123" s="378">
        <f>SUM(G124:G126)</f>
        <v>0</v>
      </c>
    </row>
    <row r="127" spans="1:7" s="387" customFormat="1" ht="17.100000000000001" customHeight="1">
      <c r="A127" s="370" t="s">
        <v>1297</v>
      </c>
      <c r="B127" s="370"/>
      <c r="C127" s="370"/>
      <c r="D127" s="388" t="s">
        <v>1081</v>
      </c>
      <c r="E127" s="378">
        <f>SUM(E128:E130)</f>
        <v>0</v>
      </c>
      <c r="F127" s="378">
        <f>SUM(F128:F130)</f>
        <v>0</v>
      </c>
      <c r="G127" s="378">
        <f>SUM(G128:G130)</f>
        <v>0</v>
      </c>
    </row>
    <row r="131" spans="1:7" s="387" customFormat="1" ht="17.100000000000001" customHeight="1">
      <c r="A131" s="370" t="s">
        <v>1298</v>
      </c>
      <c r="B131" s="370"/>
      <c r="C131" s="370"/>
      <c r="D131" s="388" t="s">
        <v>1082</v>
      </c>
      <c r="E131" s="378">
        <f>SUM(E132:E134)</f>
        <v>0</v>
      </c>
      <c r="F131" s="378">
        <f>SUM(F132:F134)</f>
        <v>0</v>
      </c>
      <c r="G131" s="378">
        <f>SUM(G132:G134)</f>
        <v>0</v>
      </c>
    </row>
    <row r="135" spans="1:7" s="387" customFormat="1" ht="17.100000000000001" customHeight="1">
      <c r="A135" s="370" t="s">
        <v>1299</v>
      </c>
      <c r="B135" s="370"/>
      <c r="C135" s="370"/>
      <c r="D135" s="388" t="s">
        <v>1083</v>
      </c>
      <c r="E135" s="378">
        <f>SUM(E136:E138)</f>
        <v>0</v>
      </c>
      <c r="F135" s="378">
        <f>SUM(F136:F138)</f>
        <v>0</v>
      </c>
      <c r="G135" s="378">
        <f>SUM(G136:G138)</f>
        <v>0</v>
      </c>
    </row>
    <row r="139" spans="1:7" s="387" customFormat="1" ht="17.100000000000001" customHeight="1">
      <c r="A139" s="370" t="s">
        <v>1300</v>
      </c>
      <c r="B139" s="370"/>
      <c r="C139" s="370"/>
      <c r="D139" s="388" t="s">
        <v>1301</v>
      </c>
      <c r="E139" s="378">
        <f>SUM(E140:E142)</f>
        <v>0</v>
      </c>
      <c r="F139" s="378">
        <f>SUM(F140:F142)</f>
        <v>0</v>
      </c>
      <c r="G139" s="378">
        <f>SUM(G140:G142)</f>
        <v>0</v>
      </c>
    </row>
    <row r="143" spans="1:7" s="387" customFormat="1" ht="17.100000000000001" customHeight="1">
      <c r="A143" s="370" t="s">
        <v>1302</v>
      </c>
      <c r="B143" s="370"/>
      <c r="C143" s="370"/>
      <c r="D143" s="388" t="s">
        <v>1122</v>
      </c>
      <c r="E143" s="378">
        <f>SUM(E144:E146)</f>
        <v>0</v>
      </c>
      <c r="F143" s="378">
        <f>SUM(F144:F146)</f>
        <v>0</v>
      </c>
      <c r="G143" s="378">
        <f>SUM(G144:G146)</f>
        <v>0</v>
      </c>
    </row>
    <row r="147" spans="1:7" s="387" customFormat="1" ht="17.100000000000001" customHeight="1">
      <c r="A147" s="370" t="s">
        <v>1303</v>
      </c>
      <c r="B147" s="370"/>
      <c r="C147" s="370"/>
      <c r="D147" s="388" t="s">
        <v>1123</v>
      </c>
      <c r="E147" s="378">
        <f>SUM(E148:E150)</f>
        <v>0</v>
      </c>
      <c r="F147" s="378">
        <f>SUM(F148:F150)</f>
        <v>0</v>
      </c>
      <c r="G147" s="378">
        <f>SUM(G148:G150)</f>
        <v>0</v>
      </c>
    </row>
    <row r="151" spans="1:7" s="387" customFormat="1" ht="17.100000000000001" customHeight="1">
      <c r="A151" s="370" t="s">
        <v>1304</v>
      </c>
      <c r="B151" s="370"/>
      <c r="C151" s="370"/>
      <c r="D151" s="388" t="s">
        <v>1022</v>
      </c>
      <c r="E151" s="378">
        <f>SUM(E152:E154)</f>
        <v>0</v>
      </c>
      <c r="F151" s="378">
        <f>SUM(F152:F154)</f>
        <v>0</v>
      </c>
      <c r="G151" s="378">
        <f>SUM(G152:G154)</f>
        <v>0</v>
      </c>
    </row>
    <row r="155" spans="1:7" s="387" customFormat="1" ht="17.100000000000001" customHeight="1">
      <c r="A155" s="370" t="s">
        <v>1305</v>
      </c>
      <c r="B155" s="370"/>
      <c r="C155" s="370"/>
      <c r="D155" s="388" t="s">
        <v>1124</v>
      </c>
      <c r="E155" s="378">
        <f>SUM(E156:E158)</f>
        <v>0</v>
      </c>
      <c r="F155" s="378">
        <f>SUM(F156:F158)</f>
        <v>0</v>
      </c>
      <c r="G155" s="378">
        <f>SUM(G156:G158)</f>
        <v>0</v>
      </c>
    </row>
    <row r="159" spans="1:7" s="387" customFormat="1" ht="17.100000000000001" customHeight="1">
      <c r="A159" s="370" t="s">
        <v>1306</v>
      </c>
      <c r="B159" s="370"/>
      <c r="C159" s="370"/>
      <c r="D159" s="388" t="s">
        <v>1069</v>
      </c>
      <c r="E159" s="378">
        <f>SUM(E160:E162)</f>
        <v>0</v>
      </c>
      <c r="F159" s="378">
        <f>SUM(F160:F162)</f>
        <v>0</v>
      </c>
      <c r="G159" s="378">
        <f>SUM(G160:G162)</f>
        <v>0</v>
      </c>
    </row>
    <row r="163" spans="1:7" s="387" customFormat="1" ht="17.100000000000001" customHeight="1">
      <c r="A163" s="370" t="s">
        <v>1307</v>
      </c>
      <c r="B163" s="370"/>
      <c r="C163" s="370"/>
      <c r="D163" s="388" t="s">
        <v>1068</v>
      </c>
      <c r="E163" s="378">
        <f>SUM(E164:E166)</f>
        <v>0</v>
      </c>
      <c r="F163" s="378">
        <f>SUM(F164:F166)</f>
        <v>0</v>
      </c>
      <c r="G163" s="378">
        <f>SUM(G164:G166)</f>
        <v>0</v>
      </c>
    </row>
    <row r="167" spans="1:7" s="387" customFormat="1" ht="17.100000000000001" customHeight="1">
      <c r="A167" s="370" t="s">
        <v>1308</v>
      </c>
      <c r="B167" s="370"/>
      <c r="C167" s="370"/>
      <c r="D167" s="388" t="s">
        <v>1309</v>
      </c>
      <c r="E167" s="378">
        <f>SUM(E168:E170)</f>
        <v>0</v>
      </c>
      <c r="F167" s="378">
        <f>SUM(F168:F170)</f>
        <v>0</v>
      </c>
      <c r="G167" s="378">
        <f>SUM(G168:G170)</f>
        <v>0</v>
      </c>
    </row>
    <row r="171" spans="1:7" s="387" customFormat="1" ht="17.100000000000001" customHeight="1">
      <c r="A171" s="370" t="s">
        <v>1310</v>
      </c>
      <c r="B171" s="370"/>
      <c r="C171" s="370"/>
      <c r="D171" s="388" t="s">
        <v>1311</v>
      </c>
      <c r="E171" s="378">
        <f>SUM(E172:E174)</f>
        <v>0</v>
      </c>
      <c r="F171" s="378">
        <f>SUM(F172:F174)</f>
        <v>0</v>
      </c>
      <c r="G171" s="378">
        <f>SUM(G172:G174)</f>
        <v>0</v>
      </c>
    </row>
    <row r="175" spans="1:7" s="387" customFormat="1" ht="17.100000000000001" customHeight="1">
      <c r="A175" s="370" t="s">
        <v>1312</v>
      </c>
      <c r="B175" s="370"/>
      <c r="C175" s="370"/>
      <c r="D175" s="388" t="s">
        <v>1313</v>
      </c>
      <c r="E175" s="378">
        <f>SUM(E176:E178)</f>
        <v>0</v>
      </c>
      <c r="F175" s="378">
        <f>SUM(F176:F178)</f>
        <v>0</v>
      </c>
      <c r="G175" s="378">
        <f>SUM(G176:G178)</f>
        <v>0</v>
      </c>
    </row>
    <row r="179" spans="1:7" s="387" customFormat="1" ht="17.100000000000001" customHeight="1">
      <c r="A179" s="370" t="s">
        <v>1314</v>
      </c>
      <c r="B179" s="370"/>
      <c r="C179" s="370"/>
      <c r="D179" s="388" t="s">
        <v>1315</v>
      </c>
      <c r="E179" s="378">
        <f>SUM(E180:E182)</f>
        <v>0</v>
      </c>
      <c r="F179" s="378">
        <f>SUM(F180:F182)</f>
        <v>0</v>
      </c>
      <c r="G179" s="378">
        <f>SUM(G180:G182)</f>
        <v>0</v>
      </c>
    </row>
    <row r="183" spans="1:7" s="387" customFormat="1" ht="17.100000000000001" customHeight="1">
      <c r="A183" s="370" t="s">
        <v>1316</v>
      </c>
      <c r="B183" s="370"/>
      <c r="C183" s="370"/>
      <c r="D183" s="388" t="s">
        <v>1317</v>
      </c>
      <c r="E183" s="378">
        <f>SUM(E184:E186)</f>
        <v>0</v>
      </c>
      <c r="F183" s="378">
        <f>SUM(F184:F186)</f>
        <v>0</v>
      </c>
      <c r="G183" s="378">
        <f>SUM(G184:G186)</f>
        <v>0</v>
      </c>
    </row>
    <row r="187" spans="1:7" s="387" customFormat="1" ht="17.100000000000001" customHeight="1">
      <c r="A187" s="370" t="s">
        <v>1318</v>
      </c>
      <c r="B187" s="370"/>
      <c r="C187" s="370"/>
      <c r="D187" s="388" t="s">
        <v>1319</v>
      </c>
      <c r="E187" s="378">
        <f>SUM(E188:E190)</f>
        <v>0</v>
      </c>
      <c r="F187" s="378">
        <f>SUM(F188:F190)</f>
        <v>0</v>
      </c>
      <c r="G187" s="378">
        <f>SUM(G188:G190)</f>
        <v>0</v>
      </c>
    </row>
    <row r="191" spans="1:7" s="387" customFormat="1" ht="17.100000000000001" customHeight="1">
      <c r="A191" s="370" t="s">
        <v>1320</v>
      </c>
      <c r="B191" s="370"/>
      <c r="C191" s="370"/>
      <c r="D191" s="388" t="s">
        <v>1321</v>
      </c>
      <c r="E191" s="378">
        <f>SUM(E192:E194)</f>
        <v>0</v>
      </c>
      <c r="F191" s="378">
        <f>SUM(F192:F194)</f>
        <v>0</v>
      </c>
      <c r="G191" s="378">
        <f>SUM(G192:G194)</f>
        <v>0</v>
      </c>
    </row>
    <row r="195" spans="1:7" s="387" customFormat="1" ht="17.100000000000001" customHeight="1">
      <c r="A195" s="370" t="s">
        <v>1322</v>
      </c>
      <c r="B195" s="370"/>
      <c r="C195" s="370"/>
      <c r="D195" s="388" t="s">
        <v>1323</v>
      </c>
      <c r="E195" s="378">
        <f>SUM(E196:E198)</f>
        <v>0</v>
      </c>
      <c r="F195" s="378">
        <f>SUM(F196:F198)</f>
        <v>0</v>
      </c>
      <c r="G195" s="378">
        <f>SUM(G196:G198)</f>
        <v>0</v>
      </c>
    </row>
    <row r="199" spans="1:7" s="387" customFormat="1" ht="17.100000000000001" customHeight="1">
      <c r="A199" s="370" t="s">
        <v>1324</v>
      </c>
      <c r="B199" s="370"/>
      <c r="C199" s="370"/>
      <c r="D199" s="388" t="s">
        <v>1325</v>
      </c>
      <c r="E199" s="378">
        <f>SUM(E200:E202)</f>
        <v>0</v>
      </c>
      <c r="F199" s="378">
        <f>SUM(F200:F202)</f>
        <v>0</v>
      </c>
      <c r="G199" s="378">
        <f>SUM(G200:G202)</f>
        <v>0</v>
      </c>
    </row>
    <row r="203" spans="1:7" s="387" customFormat="1" ht="17.100000000000001" customHeight="1">
      <c r="A203" s="370" t="s">
        <v>1326</v>
      </c>
      <c r="B203" s="370"/>
      <c r="C203" s="370"/>
      <c r="D203" s="388" t="s">
        <v>1327</v>
      </c>
      <c r="E203" s="378">
        <f>SUM(E204:E206)</f>
        <v>0</v>
      </c>
      <c r="F203" s="378">
        <f>SUM(F204:F206)</f>
        <v>0</v>
      </c>
      <c r="G203" s="378">
        <f>SUM(G204:G206)</f>
        <v>0</v>
      </c>
    </row>
    <row r="207" spans="1:7" s="387" customFormat="1" ht="17.100000000000001" customHeight="1">
      <c r="A207" s="370" t="s">
        <v>1328</v>
      </c>
      <c r="B207" s="370"/>
      <c r="C207" s="370"/>
      <c r="D207" s="388" t="s">
        <v>1329</v>
      </c>
      <c r="E207" s="378">
        <f>SUM(E208:E210)</f>
        <v>0</v>
      </c>
      <c r="F207" s="378">
        <f>SUM(F208:F210)</f>
        <v>0</v>
      </c>
      <c r="G207" s="378">
        <f>SUM(G208:G210)</f>
        <v>0</v>
      </c>
    </row>
    <row r="211" spans="1:7" s="387" customFormat="1" ht="17.100000000000001" customHeight="1">
      <c r="A211" s="370" t="s">
        <v>963</v>
      </c>
      <c r="B211" s="370"/>
      <c r="C211" s="370"/>
      <c r="D211" s="388" t="s">
        <v>1330</v>
      </c>
      <c r="E211" s="378">
        <f>SUM(E212:E263)</f>
        <v>0</v>
      </c>
      <c r="F211" s="378">
        <f>SUM(F212:F263)</f>
        <v>0</v>
      </c>
      <c r="G211" s="378">
        <f>SUM(G212:G263)</f>
        <v>0</v>
      </c>
    </row>
    <row r="212" spans="1:7" ht="17.100000000000001" customHeight="1">
      <c r="D212" s="374" t="s">
        <v>1245</v>
      </c>
      <c r="E212" s="375">
        <f>E3*0.2126</f>
        <v>0</v>
      </c>
      <c r="F212" s="375">
        <f>F3*0.2126</f>
        <v>0</v>
      </c>
      <c r="G212" s="375">
        <f>G3*0.2126</f>
        <v>0</v>
      </c>
    </row>
    <row r="213" spans="1:7" ht="17.100000000000001" customHeight="1">
      <c r="D213" s="374" t="s">
        <v>1247</v>
      </c>
      <c r="E213" s="375">
        <f>E7*0.2126</f>
        <v>0</v>
      </c>
      <c r="F213" s="375">
        <f>F7*0.2126</f>
        <v>0</v>
      </c>
      <c r="G213" s="375">
        <f>G7*0.2126</f>
        <v>0</v>
      </c>
    </row>
    <row r="214" spans="1:7" ht="17.100000000000001" customHeight="1">
      <c r="D214" s="374" t="s">
        <v>1249</v>
      </c>
      <c r="E214" s="375">
        <f>E11*0.2126</f>
        <v>0</v>
      </c>
      <c r="F214" s="375">
        <f>F11*0.2126</f>
        <v>0</v>
      </c>
      <c r="G214" s="375">
        <f>G11*0.2126</f>
        <v>0</v>
      </c>
    </row>
    <row r="215" spans="1:7" ht="17.100000000000001" customHeight="1">
      <c r="D215" s="374" t="s">
        <v>1251</v>
      </c>
      <c r="E215" s="375">
        <f>E15*0.2126</f>
        <v>0</v>
      </c>
      <c r="F215" s="375">
        <f>F15*0.2126</f>
        <v>0</v>
      </c>
      <c r="G215" s="375">
        <f>G15*0.2126</f>
        <v>0</v>
      </c>
    </row>
    <row r="216" spans="1:7" ht="17.100000000000001" customHeight="1">
      <c r="D216" s="374" t="s">
        <v>1253</v>
      </c>
      <c r="E216" s="375">
        <f>E19*0.2126</f>
        <v>0</v>
      </c>
      <c r="F216" s="375">
        <f>F19*0.2126</f>
        <v>0</v>
      </c>
      <c r="G216" s="375">
        <f>G19*0.2126</f>
        <v>0</v>
      </c>
    </row>
    <row r="217" spans="1:7" ht="17.100000000000001" customHeight="1">
      <c r="D217" s="374" t="s">
        <v>1255</v>
      </c>
      <c r="E217" s="375">
        <f>E23*0.2126</f>
        <v>0</v>
      </c>
      <c r="F217" s="375">
        <f>F23*0.2126</f>
        <v>0</v>
      </c>
      <c r="G217" s="375">
        <f>G23*0.2126</f>
        <v>0</v>
      </c>
    </row>
    <row r="218" spans="1:7" ht="17.100000000000001" customHeight="1">
      <c r="D218" s="374" t="s">
        <v>1257</v>
      </c>
      <c r="E218" s="375">
        <f>E27*0.2126</f>
        <v>0</v>
      </c>
      <c r="F218" s="375">
        <f>F27*0.2126</f>
        <v>0</v>
      </c>
      <c r="G218" s="375">
        <f>G27*0.2126</f>
        <v>0</v>
      </c>
    </row>
    <row r="219" spans="1:7" ht="17.100000000000001" customHeight="1">
      <c r="D219" s="374" t="s">
        <v>1259</v>
      </c>
      <c r="E219" s="375">
        <f>E31*0</f>
        <v>0</v>
      </c>
      <c r="F219" s="375">
        <f>F31*0</f>
        <v>0</v>
      </c>
      <c r="G219" s="375">
        <f>G31*0</f>
        <v>0</v>
      </c>
    </row>
    <row r="220" spans="1:7" ht="17.100000000000001" customHeight="1">
      <c r="D220" s="374" t="s">
        <v>1261</v>
      </c>
      <c r="E220" s="375">
        <f>E35*0.2126</f>
        <v>0</v>
      </c>
      <c r="F220" s="375">
        <f>F35*0.2126</f>
        <v>0</v>
      </c>
      <c r="G220" s="375">
        <f>G35*0.2126</f>
        <v>0</v>
      </c>
    </row>
    <row r="221" spans="1:7" ht="17.100000000000001" customHeight="1">
      <c r="D221" s="374" t="s">
        <v>1263</v>
      </c>
      <c r="E221" s="375">
        <f>E39*0.2126</f>
        <v>0</v>
      </c>
      <c r="F221" s="375">
        <f>F39*0.2126</f>
        <v>0</v>
      </c>
      <c r="G221" s="375">
        <f>G39*0.2126</f>
        <v>0</v>
      </c>
    </row>
    <row r="222" spans="1:7" ht="17.100000000000001" customHeight="1">
      <c r="D222" s="374" t="s">
        <v>1265</v>
      </c>
      <c r="E222" s="375">
        <f>E43*0.2126</f>
        <v>0</v>
      </c>
      <c r="F222" s="375">
        <f>F43*0.2126</f>
        <v>0</v>
      </c>
      <c r="G222" s="375">
        <f>G43*0.2126</f>
        <v>0</v>
      </c>
    </row>
    <row r="223" spans="1:7" ht="17.100000000000001" customHeight="1">
      <c r="D223" s="374" t="s">
        <v>1267</v>
      </c>
      <c r="E223" s="375">
        <f>E47*0.2126</f>
        <v>0</v>
      </c>
      <c r="F223" s="375">
        <f>F47*0.2126</f>
        <v>0</v>
      </c>
      <c r="G223" s="375">
        <f>G47*0.2126</f>
        <v>0</v>
      </c>
    </row>
    <row r="224" spans="1:7" ht="17.100000000000001" customHeight="1">
      <c r="D224" s="374" t="s">
        <v>1269</v>
      </c>
      <c r="E224" s="375">
        <f>E51*0.2126</f>
        <v>0</v>
      </c>
      <c r="F224" s="375">
        <f>F51*0.2126</f>
        <v>0</v>
      </c>
      <c r="G224" s="375">
        <f>G51*0.2126</f>
        <v>0</v>
      </c>
    </row>
    <row r="225" spans="4:7" ht="17.100000000000001" customHeight="1">
      <c r="D225" s="374" t="s">
        <v>1271</v>
      </c>
      <c r="E225" s="375">
        <f>E55*0.2126</f>
        <v>0</v>
      </c>
      <c r="F225" s="375">
        <f>F55*0.2126</f>
        <v>0</v>
      </c>
      <c r="G225" s="375">
        <f>G55*0.2126</f>
        <v>0</v>
      </c>
    </row>
    <row r="226" spans="4:7" ht="17.100000000000001" customHeight="1">
      <c r="E226" s="375">
        <f>E59*0.2126</f>
        <v>0</v>
      </c>
      <c r="F226" s="375">
        <f>F59*0.2126</f>
        <v>0</v>
      </c>
      <c r="G226" s="375">
        <f>G59*0.2126</f>
        <v>0</v>
      </c>
    </row>
    <row r="227" spans="4:7" ht="17.100000000000001" customHeight="1">
      <c r="E227" s="375">
        <f>E63*0.2126</f>
        <v>0</v>
      </c>
      <c r="F227" s="375">
        <f>F63*0.2126</f>
        <v>0</v>
      </c>
      <c r="G227" s="375">
        <f>G63*0.2126</f>
        <v>0</v>
      </c>
    </row>
    <row r="228" spans="4:7" ht="17.100000000000001" customHeight="1">
      <c r="E228" s="375">
        <f>E67*0.2126</f>
        <v>0</v>
      </c>
      <c r="F228" s="375">
        <f>F67*0.2126</f>
        <v>0</v>
      </c>
      <c r="G228" s="375">
        <f>G67*0.2126</f>
        <v>0</v>
      </c>
    </row>
    <row r="229" spans="4:7" ht="17.100000000000001" customHeight="1">
      <c r="D229" s="374" t="s">
        <v>1276</v>
      </c>
      <c r="E229" s="375">
        <f>E71*0.2126</f>
        <v>0</v>
      </c>
      <c r="F229" s="375">
        <f>F71*0.2126</f>
        <v>0</v>
      </c>
      <c r="G229" s="375">
        <f>G71*0.2126</f>
        <v>0</v>
      </c>
    </row>
    <row r="230" spans="4:7" ht="17.100000000000001" customHeight="1">
      <c r="D230" s="374" t="s">
        <v>1278</v>
      </c>
      <c r="E230" s="375">
        <f>E75*0.2126</f>
        <v>0</v>
      </c>
      <c r="F230" s="375">
        <f>F75*0.2126</f>
        <v>0</v>
      </c>
      <c r="G230" s="375">
        <f>G75*0.2126</f>
        <v>0</v>
      </c>
    </row>
    <row r="231" spans="4:7" ht="17.100000000000001" customHeight="1">
      <c r="D231" s="374" t="s">
        <v>1280</v>
      </c>
      <c r="E231" s="375">
        <f>E79*0.2126</f>
        <v>0</v>
      </c>
      <c r="F231" s="375">
        <f>F79*0.2126</f>
        <v>0</v>
      </c>
      <c r="G231" s="375">
        <f>G79*0.2126</f>
        <v>0</v>
      </c>
    </row>
    <row r="232" spans="4:7" ht="17.100000000000001" customHeight="1">
      <c r="D232" s="374" t="s">
        <v>1282</v>
      </c>
      <c r="E232" s="375">
        <f>E83*0.2126</f>
        <v>0</v>
      </c>
      <c r="F232" s="375">
        <f>F83*0.2126</f>
        <v>0</v>
      </c>
      <c r="G232" s="375">
        <f>G83*0.2126</f>
        <v>0</v>
      </c>
    </row>
    <row r="233" spans="4:7" ht="17.100000000000001" customHeight="1">
      <c r="D233" s="374" t="s">
        <v>1284</v>
      </c>
      <c r="E233" s="375">
        <f>E87*0.2126</f>
        <v>0</v>
      </c>
      <c r="F233" s="375">
        <f>F87*0.2126</f>
        <v>0</v>
      </c>
      <c r="G233" s="375">
        <f>G87*0.2126</f>
        <v>0</v>
      </c>
    </row>
    <row r="234" spans="4:7" ht="17.100000000000001" customHeight="1">
      <c r="E234" s="375">
        <f>E91*0.2126</f>
        <v>0</v>
      </c>
      <c r="F234" s="375">
        <f>F91*0.2126</f>
        <v>0</v>
      </c>
      <c r="G234" s="375">
        <f>G91*0.2126</f>
        <v>0</v>
      </c>
    </row>
    <row r="235" spans="4:7" ht="17.100000000000001" customHeight="1">
      <c r="E235" s="375">
        <f>E95*0.2126</f>
        <v>0</v>
      </c>
      <c r="F235" s="375">
        <f>F95*0.2126</f>
        <v>0</v>
      </c>
      <c r="G235" s="375">
        <f>G95*0.2126</f>
        <v>0</v>
      </c>
    </row>
    <row r="236" spans="4:7" ht="17.100000000000001" customHeight="1">
      <c r="D236" s="374" t="s">
        <v>1076</v>
      </c>
      <c r="E236" s="375">
        <f>E99*0.2126</f>
        <v>0</v>
      </c>
      <c r="F236" s="375">
        <f>F99*0.2126</f>
        <v>0</v>
      </c>
      <c r="G236" s="375">
        <f>G99*0.2126</f>
        <v>0</v>
      </c>
    </row>
    <row r="237" spans="4:7" ht="17.100000000000001" customHeight="1">
      <c r="D237" s="374" t="s">
        <v>1289</v>
      </c>
      <c r="E237" s="375">
        <f>E103*0.2126</f>
        <v>0</v>
      </c>
      <c r="F237" s="375">
        <f>F103*0.2126</f>
        <v>0</v>
      </c>
      <c r="G237" s="375">
        <f>G103*0.2126</f>
        <v>0</v>
      </c>
    </row>
    <row r="238" spans="4:7" ht="17.100000000000001" customHeight="1">
      <c r="D238" s="374" t="s">
        <v>1291</v>
      </c>
      <c r="E238" s="375">
        <f>E107*0.2126</f>
        <v>0</v>
      </c>
      <c r="F238" s="375">
        <f>F107*0.2126</f>
        <v>0</v>
      </c>
      <c r="G238" s="375">
        <f>G107*0.2126</f>
        <v>0</v>
      </c>
    </row>
    <row r="239" spans="4:7" ht="17.100000000000001" customHeight="1">
      <c r="D239" s="374" t="s">
        <v>1293</v>
      </c>
      <c r="E239" s="375">
        <f>E111*0.2126</f>
        <v>0</v>
      </c>
      <c r="F239" s="375">
        <f>F111*0.2126</f>
        <v>0</v>
      </c>
      <c r="G239" s="375">
        <f>G111*0.2126</f>
        <v>0</v>
      </c>
    </row>
    <row r="240" spans="4:7" ht="17.100000000000001" customHeight="1">
      <c r="D240" s="374" t="s">
        <v>1078</v>
      </c>
      <c r="E240" s="375">
        <f>E115*0.2126</f>
        <v>0</v>
      </c>
      <c r="F240" s="375">
        <f>F115*0.2126</f>
        <v>0</v>
      </c>
      <c r="G240" s="375">
        <f>G115*0.2126</f>
        <v>0</v>
      </c>
    </row>
    <row r="241" spans="4:7" ht="17.100000000000001" customHeight="1">
      <c r="D241" s="374" t="s">
        <v>1079</v>
      </c>
      <c r="E241" s="375">
        <f>E119*0.2126</f>
        <v>0</v>
      </c>
      <c r="F241" s="375">
        <f>F119*0.2126</f>
        <v>0</v>
      </c>
      <c r="G241" s="375">
        <f>G119*0.2126</f>
        <v>0</v>
      </c>
    </row>
    <row r="242" spans="4:7" ht="17.100000000000001" customHeight="1">
      <c r="D242" s="374" t="s">
        <v>1080</v>
      </c>
      <c r="E242" s="375">
        <f>E123*0.2126</f>
        <v>0</v>
      </c>
      <c r="F242" s="375">
        <f>F123*0.2126</f>
        <v>0</v>
      </c>
      <c r="G242" s="375">
        <f>G123*0.2126</f>
        <v>0</v>
      </c>
    </row>
    <row r="243" spans="4:7" ht="17.100000000000001" customHeight="1">
      <c r="D243" s="374" t="s">
        <v>1081</v>
      </c>
      <c r="E243" s="375">
        <f>E127*0.2126</f>
        <v>0</v>
      </c>
      <c r="F243" s="375">
        <f>F127*0.2126</f>
        <v>0</v>
      </c>
      <c r="G243" s="375">
        <f>G127*0.2126</f>
        <v>0</v>
      </c>
    </row>
    <row r="244" spans="4:7" ht="17.100000000000001" customHeight="1">
      <c r="D244" s="374" t="s">
        <v>1082</v>
      </c>
      <c r="E244" s="375">
        <f>E131*0.2126</f>
        <v>0</v>
      </c>
      <c r="F244" s="375">
        <f>F131*0.2126</f>
        <v>0</v>
      </c>
      <c r="G244" s="375">
        <f>G131*0.2126</f>
        <v>0</v>
      </c>
    </row>
    <row r="245" spans="4:7" ht="17.100000000000001" customHeight="1">
      <c r="D245" s="374" t="s">
        <v>1083</v>
      </c>
      <c r="E245" s="375">
        <f>E135*0.2126</f>
        <v>0</v>
      </c>
      <c r="F245" s="375">
        <f>F135*0.2126</f>
        <v>0</v>
      </c>
      <c r="G245" s="375">
        <f>G135*0.2126</f>
        <v>0</v>
      </c>
    </row>
    <row r="246" spans="4:7" ht="17.100000000000001" customHeight="1">
      <c r="D246" s="374" t="s">
        <v>1301</v>
      </c>
      <c r="E246" s="375">
        <f>E139*0.2126</f>
        <v>0</v>
      </c>
      <c r="F246" s="375">
        <f>F139*0.2126</f>
        <v>0</v>
      </c>
      <c r="G246" s="375">
        <f>G139*0.2126</f>
        <v>0</v>
      </c>
    </row>
    <row r="247" spans="4:7" ht="17.100000000000001" customHeight="1">
      <c r="D247" s="374" t="s">
        <v>1122</v>
      </c>
      <c r="E247" s="375">
        <f>E143*0.2126</f>
        <v>0</v>
      </c>
      <c r="F247" s="375">
        <f>F143*0.2126</f>
        <v>0</v>
      </c>
      <c r="G247" s="375">
        <f>G143*0.2126</f>
        <v>0</v>
      </c>
    </row>
    <row r="248" spans="4:7" ht="17.100000000000001" customHeight="1">
      <c r="D248" s="374" t="s">
        <v>1123</v>
      </c>
      <c r="E248" s="375">
        <f>E147*0.2126</f>
        <v>0</v>
      </c>
      <c r="F248" s="375">
        <f>F147*0.2126</f>
        <v>0</v>
      </c>
      <c r="G248" s="375">
        <f>G147*0.2126</f>
        <v>0</v>
      </c>
    </row>
    <row r="249" spans="4:7" ht="17.100000000000001" customHeight="1">
      <c r="D249" s="374" t="s">
        <v>1022</v>
      </c>
      <c r="E249" s="375">
        <f>E151*0.2126</f>
        <v>0</v>
      </c>
      <c r="F249" s="375">
        <f>F151*0.2126</f>
        <v>0</v>
      </c>
      <c r="G249" s="375">
        <f>G151*0.2126</f>
        <v>0</v>
      </c>
    </row>
    <row r="250" spans="4:7" ht="17.100000000000001" customHeight="1">
      <c r="D250" s="374" t="s">
        <v>1124</v>
      </c>
      <c r="E250" s="375">
        <f>E155*0.2126</f>
        <v>0</v>
      </c>
      <c r="F250" s="375">
        <f>F155*0.2126</f>
        <v>0</v>
      </c>
      <c r="G250" s="375">
        <f>G155*0.2126</f>
        <v>0</v>
      </c>
    </row>
    <row r="251" spans="4:7" ht="17.100000000000001" customHeight="1">
      <c r="D251" s="374" t="s">
        <v>1069</v>
      </c>
      <c r="E251" s="375">
        <f>E159*0.2126</f>
        <v>0</v>
      </c>
      <c r="F251" s="375">
        <f>F159*0.2126</f>
        <v>0</v>
      </c>
      <c r="G251" s="375">
        <f>G159*0.2126</f>
        <v>0</v>
      </c>
    </row>
    <row r="252" spans="4:7" ht="17.100000000000001" customHeight="1">
      <c r="D252" s="374" t="s">
        <v>1068</v>
      </c>
      <c r="E252" s="375">
        <f>E163*0.2126</f>
        <v>0</v>
      </c>
      <c r="F252" s="375">
        <f>F163*0.2126</f>
        <v>0</v>
      </c>
      <c r="G252" s="375">
        <f>G163*0.2126</f>
        <v>0</v>
      </c>
    </row>
    <row r="253" spans="4:7" ht="17.100000000000001" customHeight="1">
      <c r="D253" s="374" t="s">
        <v>1309</v>
      </c>
      <c r="E253" s="375">
        <f>E167*0.2126</f>
        <v>0</v>
      </c>
      <c r="F253" s="375">
        <f>F167*0.2126</f>
        <v>0</v>
      </c>
      <c r="G253" s="375">
        <f>G167*0.2126</f>
        <v>0</v>
      </c>
    </row>
    <row r="254" spans="4:7" ht="17.100000000000001" customHeight="1">
      <c r="D254" s="374" t="s">
        <v>1311</v>
      </c>
      <c r="E254" s="375">
        <f>E171*0.2126</f>
        <v>0</v>
      </c>
      <c r="F254" s="375">
        <f>F171*0.2126</f>
        <v>0</v>
      </c>
      <c r="G254" s="375">
        <f>G171*0.2126</f>
        <v>0</v>
      </c>
    </row>
    <row r="255" spans="4:7" ht="17.100000000000001" customHeight="1">
      <c r="D255" s="374" t="s">
        <v>1313</v>
      </c>
      <c r="E255" s="375">
        <f>E175*0.2126</f>
        <v>0</v>
      </c>
      <c r="F255" s="375">
        <f>F175*0.2126</f>
        <v>0</v>
      </c>
      <c r="G255" s="375">
        <f>G175*0.2126</f>
        <v>0</v>
      </c>
    </row>
    <row r="256" spans="4:7" ht="17.100000000000001" customHeight="1">
      <c r="D256" s="374" t="s">
        <v>1315</v>
      </c>
      <c r="E256" s="375">
        <f>E179*0.2126</f>
        <v>0</v>
      </c>
      <c r="F256" s="375">
        <f>F179*0.2126</f>
        <v>0</v>
      </c>
      <c r="G256" s="375">
        <f>G179*0.2126</f>
        <v>0</v>
      </c>
    </row>
    <row r="257" spans="1:7" ht="17.100000000000001" customHeight="1">
      <c r="D257" s="374" t="s">
        <v>1317</v>
      </c>
      <c r="E257" s="375">
        <f>E183*0.2126</f>
        <v>0</v>
      </c>
      <c r="F257" s="375">
        <f>F183*0.2126</f>
        <v>0</v>
      </c>
      <c r="G257" s="375">
        <f>G183*0.2126</f>
        <v>0</v>
      </c>
    </row>
    <row r="258" spans="1:7" ht="17.100000000000001" customHeight="1">
      <c r="D258" s="374" t="s">
        <v>1319</v>
      </c>
      <c r="E258" s="375">
        <f>E187*0.2126</f>
        <v>0</v>
      </c>
      <c r="F258" s="375">
        <f>F187*0.2126</f>
        <v>0</v>
      </c>
      <c r="G258" s="375">
        <f>G187*0.2126</f>
        <v>0</v>
      </c>
    </row>
    <row r="259" spans="1:7" ht="17.100000000000001" customHeight="1">
      <c r="D259" s="374" t="s">
        <v>1321</v>
      </c>
      <c r="E259" s="375">
        <f>E191*0.2126</f>
        <v>0</v>
      </c>
      <c r="F259" s="375">
        <f>F191*0.2126</f>
        <v>0</v>
      </c>
      <c r="G259" s="375">
        <f>G191*0.2126</f>
        <v>0</v>
      </c>
    </row>
    <row r="260" spans="1:7" ht="17.100000000000001" customHeight="1">
      <c r="D260" s="374" t="s">
        <v>1323</v>
      </c>
      <c r="E260" s="375">
        <f>E195*0.2126</f>
        <v>0</v>
      </c>
      <c r="F260" s="375">
        <f>F195*0.2126</f>
        <v>0</v>
      </c>
      <c r="G260" s="375">
        <f>G195*0.2126</f>
        <v>0</v>
      </c>
    </row>
    <row r="261" spans="1:7" ht="17.100000000000001" customHeight="1">
      <c r="D261" s="374" t="s">
        <v>1325</v>
      </c>
      <c r="E261" s="375">
        <f>E199*0.2126</f>
        <v>0</v>
      </c>
      <c r="F261" s="375">
        <f>F199*0.2126</f>
        <v>0</v>
      </c>
      <c r="G261" s="375">
        <f>G199*0.2126</f>
        <v>0</v>
      </c>
    </row>
    <row r="262" spans="1:7" ht="17.100000000000001" customHeight="1">
      <c r="D262" s="374" t="s">
        <v>1327</v>
      </c>
      <c r="E262" s="375">
        <f>E203*0.2126</f>
        <v>0</v>
      </c>
      <c r="F262" s="375">
        <f>F203*0.2126</f>
        <v>0</v>
      </c>
      <c r="G262" s="375">
        <f>G203*0.2126</f>
        <v>0</v>
      </c>
    </row>
    <row r="263" spans="1:7" ht="17.100000000000001" customHeight="1">
      <c r="D263" s="374" t="s">
        <v>1329</v>
      </c>
      <c r="E263" s="375">
        <f>E207*0.2126</f>
        <v>0</v>
      </c>
      <c r="F263" s="375">
        <f>F207*0.2126</f>
        <v>0</v>
      </c>
      <c r="G263" s="375">
        <f>G207*0.2126</f>
        <v>0</v>
      </c>
    </row>
    <row r="264" spans="1:7" s="387" customFormat="1" ht="17.100000000000001" customHeight="1">
      <c r="A264" s="370" t="s">
        <v>965</v>
      </c>
      <c r="B264" s="370"/>
      <c r="C264" s="370"/>
      <c r="D264" s="388" t="s">
        <v>1331</v>
      </c>
      <c r="E264" s="378">
        <f>SUM(E265:E267)</f>
        <v>0</v>
      </c>
      <c r="F264" s="378">
        <f>SUM(F265:F267)</f>
        <v>0</v>
      </c>
      <c r="G264" s="378">
        <f>SUM(G265:G267)</f>
        <v>0</v>
      </c>
    </row>
    <row r="268" spans="1:7" s="387" customFormat="1" ht="17.100000000000001" customHeight="1">
      <c r="A268" s="370" t="s">
        <v>1332</v>
      </c>
      <c r="B268" s="370"/>
      <c r="C268" s="370"/>
      <c r="D268" s="388" t="s">
        <v>1130</v>
      </c>
      <c r="E268" s="378">
        <f>SUM(E269:E271)</f>
        <v>0</v>
      </c>
      <c r="F268" s="378">
        <f>SUM(F269:F271)</f>
        <v>0</v>
      </c>
      <c r="G268" s="378">
        <f>SUM(G269:G271)</f>
        <v>0</v>
      </c>
    </row>
    <row r="272" spans="1:7" s="387" customFormat="1" ht="17.100000000000001" customHeight="1">
      <c r="A272" s="370" t="s">
        <v>1333</v>
      </c>
      <c r="B272" s="370"/>
      <c r="C272" s="370"/>
      <c r="D272" s="388" t="s">
        <v>1131</v>
      </c>
      <c r="E272" s="378">
        <f>SUM(E273:E275)</f>
        <v>0</v>
      </c>
      <c r="F272" s="378">
        <f>SUM(F273:F275)</f>
        <v>0</v>
      </c>
      <c r="G272" s="378">
        <f>SUM(G273:G275)</f>
        <v>0</v>
      </c>
    </row>
    <row r="276" spans="1:7" s="387" customFormat="1" ht="17.100000000000001" customHeight="1">
      <c r="A276" s="370" t="s">
        <v>1334</v>
      </c>
      <c r="B276" s="370"/>
      <c r="C276" s="370"/>
      <c r="D276" s="388" t="s">
        <v>1132</v>
      </c>
      <c r="E276" s="378">
        <f>SUM(E277:E279)</f>
        <v>0</v>
      </c>
      <c r="F276" s="378">
        <f>SUM(F277:F279)</f>
        <v>0</v>
      </c>
      <c r="G276" s="378">
        <f>SUM(G277:G279)</f>
        <v>0</v>
      </c>
    </row>
    <row r="280" spans="1:7" s="387" customFormat="1" ht="17.100000000000001" customHeight="1">
      <c r="A280" s="370" t="s">
        <v>1335</v>
      </c>
      <c r="B280" s="370"/>
      <c r="C280" s="370"/>
      <c r="D280" s="388" t="s">
        <v>1133</v>
      </c>
      <c r="E280" s="378">
        <f>SUM(E281:E283)</f>
        <v>0</v>
      </c>
      <c r="F280" s="378">
        <f>SUM(F281:F283)</f>
        <v>0</v>
      </c>
      <c r="G280" s="378">
        <f>SUM(G281:G283)</f>
        <v>0</v>
      </c>
    </row>
    <row r="284" spans="1:7" ht="17.100000000000001" customHeight="1">
      <c r="A284" s="389"/>
      <c r="B284" s="389"/>
      <c r="C284" s="389"/>
      <c r="D284" s="390"/>
      <c r="E284" s="391"/>
      <c r="F284" s="391"/>
      <c r="G284" s="391"/>
    </row>
  </sheetData>
  <sheetProtection selectLockedCells="1" selectUnlockedCells="1"/>
  <pageMargins left="0.19652777777777777" right="0.19652777777777777" top="0.31527777777777777" bottom="0.19652777777777777" header="0.51180555555555551" footer="0.51180555555555551"/>
  <pageSetup paperSize="9" firstPageNumber="0" orientation="portrait" horizontalDpi="300" verticalDpi="300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55"/>
  <sheetViews>
    <sheetView topLeftCell="A40" zoomScaleNormal="100" zoomScalePageLayoutView="60" workbookViewId="0">
      <selection activeCell="D158" sqref="D158"/>
    </sheetView>
  </sheetViews>
  <sheetFormatPr defaultRowHeight="15"/>
  <cols>
    <col min="1" max="1" width="9.140625" style="314"/>
    <col min="2" max="2" width="46" style="295" bestFit="1" customWidth="1"/>
    <col min="3" max="3" width="8.85546875" style="295" bestFit="1" customWidth="1"/>
    <col min="4" max="4" width="8.140625" style="295" bestFit="1" customWidth="1"/>
    <col min="5" max="5" width="8" style="295" bestFit="1" customWidth="1"/>
    <col min="6" max="6" width="9" style="295" bestFit="1" customWidth="1"/>
    <col min="7" max="257" width="9.140625" style="295"/>
    <col min="258" max="16384" width="9.140625" style="265"/>
  </cols>
  <sheetData>
    <row r="1" spans="1:6" s="291" customFormat="1" ht="51">
      <c r="A1" s="290" t="s">
        <v>549</v>
      </c>
      <c r="B1" s="290" t="s">
        <v>58</v>
      </c>
      <c r="C1" s="290" t="s">
        <v>216</v>
      </c>
      <c r="D1" s="290" t="s">
        <v>550</v>
      </c>
      <c r="E1" s="290" t="s">
        <v>551</v>
      </c>
      <c r="F1" s="290" t="s">
        <v>552</v>
      </c>
    </row>
    <row r="2" spans="1:6">
      <c r="A2" s="292" t="s">
        <v>553</v>
      </c>
      <c r="B2" s="293" t="s">
        <v>554</v>
      </c>
      <c r="C2" s="294">
        <f t="shared" ref="C2:C7" si="0">SUM(D2:F2)</f>
        <v>126034</v>
      </c>
      <c r="D2" s="294"/>
      <c r="E2" s="294">
        <v>126034</v>
      </c>
      <c r="F2" s="294"/>
    </row>
    <row r="3" spans="1:6">
      <c r="A3" s="292" t="s">
        <v>555</v>
      </c>
      <c r="B3" s="293" t="s">
        <v>556</v>
      </c>
      <c r="C3" s="294">
        <f t="shared" si="0"/>
        <v>0</v>
      </c>
      <c r="D3" s="294"/>
      <c r="E3" s="294"/>
      <c r="F3" s="294"/>
    </row>
    <row r="4" spans="1:6">
      <c r="A4" s="292" t="s">
        <v>557</v>
      </c>
      <c r="B4" s="293" t="s">
        <v>558</v>
      </c>
      <c r="C4" s="294">
        <f t="shared" si="0"/>
        <v>0</v>
      </c>
      <c r="D4" s="294"/>
      <c r="E4" s="294"/>
      <c r="F4" s="294"/>
    </row>
    <row r="5" spans="1:6">
      <c r="A5" s="292" t="s">
        <v>559</v>
      </c>
      <c r="B5" s="293" t="s">
        <v>560</v>
      </c>
      <c r="C5" s="294">
        <f t="shared" si="0"/>
        <v>2414</v>
      </c>
      <c r="D5" s="294"/>
      <c r="E5" s="294">
        <v>2414</v>
      </c>
      <c r="F5" s="294"/>
    </row>
    <row r="6" spans="1:6">
      <c r="A6" s="292" t="s">
        <v>561</v>
      </c>
      <c r="B6" s="293" t="s">
        <v>562</v>
      </c>
      <c r="C6" s="294">
        <f t="shared" si="0"/>
        <v>1948</v>
      </c>
      <c r="D6" s="294"/>
      <c r="E6" s="294">
        <v>1948</v>
      </c>
      <c r="F6" s="294"/>
    </row>
    <row r="7" spans="1:6">
      <c r="A7" s="292" t="s">
        <v>563</v>
      </c>
      <c r="B7" s="293" t="s">
        <v>564</v>
      </c>
      <c r="C7" s="294">
        <f t="shared" si="0"/>
        <v>0</v>
      </c>
      <c r="D7" s="294"/>
      <c r="E7" s="294"/>
      <c r="F7" s="294"/>
    </row>
    <row r="8" spans="1:6" ht="12.75">
      <c r="A8" s="296" t="s">
        <v>565</v>
      </c>
      <c r="B8" s="297" t="s">
        <v>566</v>
      </c>
      <c r="C8" s="298">
        <f>SUM(C2:C7)</f>
        <v>130396</v>
      </c>
      <c r="D8" s="298">
        <f>SUM(D2:D7)</f>
        <v>0</v>
      </c>
      <c r="E8" s="298">
        <f>SUM(E2:E7)</f>
        <v>130396</v>
      </c>
      <c r="F8" s="298">
        <f>SUM(F2:F7)</f>
        <v>0</v>
      </c>
    </row>
    <row r="9" spans="1:6" ht="12.75">
      <c r="A9" s="299" t="s">
        <v>567</v>
      </c>
      <c r="B9" s="297" t="s">
        <v>568</v>
      </c>
      <c r="C9" s="298">
        <f>SUM(D9:F9)</f>
        <v>0</v>
      </c>
      <c r="D9" s="298"/>
      <c r="E9" s="298"/>
      <c r="F9" s="298"/>
    </row>
    <row r="10" spans="1:6" ht="12.75">
      <c r="A10" s="299" t="s">
        <v>569</v>
      </c>
      <c r="B10" s="297" t="s">
        <v>570</v>
      </c>
      <c r="C10" s="298">
        <f>SUM(D10:F10)</f>
        <v>0</v>
      </c>
      <c r="D10" s="298"/>
      <c r="E10" s="298"/>
      <c r="F10" s="298"/>
    </row>
    <row r="11" spans="1:6">
      <c r="A11" s="292" t="s">
        <v>571</v>
      </c>
      <c r="B11" s="293" t="s">
        <v>572</v>
      </c>
      <c r="C11" s="294">
        <f>SUM(D11:F11)</f>
        <v>2554</v>
      </c>
      <c r="D11" s="294"/>
      <c r="E11" s="294">
        <v>2554</v>
      </c>
      <c r="F11" s="294"/>
    </row>
    <row r="12" spans="1:6">
      <c r="A12" s="292" t="s">
        <v>573</v>
      </c>
      <c r="B12" s="293" t="s">
        <v>574</v>
      </c>
      <c r="C12" s="294">
        <f>SUM(D12:F12)</f>
        <v>62</v>
      </c>
      <c r="D12" s="294"/>
      <c r="E12" s="294">
        <v>62</v>
      </c>
      <c r="F12" s="294"/>
    </row>
    <row r="13" spans="1:6" ht="12.75">
      <c r="A13" s="296" t="s">
        <v>575</v>
      </c>
      <c r="B13" s="297" t="s">
        <v>576</v>
      </c>
      <c r="C13" s="298">
        <f>SUM(C11:C12)</f>
        <v>2616</v>
      </c>
      <c r="D13" s="298">
        <f>SUM(D11:D12)</f>
        <v>0</v>
      </c>
      <c r="E13" s="298">
        <f>SUM(E11:E12)</f>
        <v>2616</v>
      </c>
      <c r="F13" s="298">
        <f>SUM(F11:F12)</f>
        <v>0</v>
      </c>
    </row>
    <row r="14" spans="1:6" ht="12.75">
      <c r="A14" s="299" t="s">
        <v>577</v>
      </c>
      <c r="B14" s="297" t="s">
        <v>578</v>
      </c>
      <c r="C14" s="298">
        <f t="shared" ref="C14:C22" si="1">SUM(D14:F14)</f>
        <v>0</v>
      </c>
      <c r="D14" s="298"/>
      <c r="E14" s="298"/>
      <c r="F14" s="298"/>
    </row>
    <row r="15" spans="1:6" ht="12.75">
      <c r="A15" s="299" t="s">
        <v>579</v>
      </c>
      <c r="B15" s="297" t="s">
        <v>580</v>
      </c>
      <c r="C15" s="298">
        <f t="shared" si="1"/>
        <v>2064</v>
      </c>
      <c r="D15" s="298"/>
      <c r="E15" s="298">
        <v>2064</v>
      </c>
      <c r="F15" s="298"/>
    </row>
    <row r="16" spans="1:6">
      <c r="A16" s="292" t="s">
        <v>582</v>
      </c>
      <c r="B16" s="293" t="s">
        <v>583</v>
      </c>
      <c r="C16" s="294">
        <f t="shared" si="1"/>
        <v>0</v>
      </c>
      <c r="D16" s="294"/>
      <c r="E16" s="294"/>
      <c r="F16" s="294"/>
    </row>
    <row r="17" spans="1:6">
      <c r="A17" s="292" t="s">
        <v>584</v>
      </c>
      <c r="B17" s="293" t="s">
        <v>585</v>
      </c>
      <c r="C17" s="294">
        <f t="shared" si="1"/>
        <v>0</v>
      </c>
      <c r="D17" s="294"/>
      <c r="E17" s="294"/>
      <c r="F17" s="294"/>
    </row>
    <row r="18" spans="1:6">
      <c r="A18" s="292" t="s">
        <v>586</v>
      </c>
      <c r="B18" s="293" t="s">
        <v>587</v>
      </c>
      <c r="C18" s="294">
        <f t="shared" si="1"/>
        <v>5376</v>
      </c>
      <c r="D18" s="294"/>
      <c r="E18" s="294">
        <v>5376</v>
      </c>
      <c r="F18" s="294"/>
    </row>
    <row r="19" spans="1:6">
      <c r="A19" s="292" t="s">
        <v>588</v>
      </c>
      <c r="B19" s="293" t="s">
        <v>589</v>
      </c>
      <c r="C19" s="294">
        <f t="shared" si="1"/>
        <v>0</v>
      </c>
      <c r="D19" s="294"/>
      <c r="E19" s="294"/>
      <c r="F19" s="294"/>
    </row>
    <row r="20" spans="1:6">
      <c r="A20" s="292" t="s">
        <v>590</v>
      </c>
      <c r="B20" s="293" t="s">
        <v>880</v>
      </c>
      <c r="C20" s="294">
        <f t="shared" si="1"/>
        <v>0</v>
      </c>
      <c r="D20" s="294"/>
      <c r="E20" s="294"/>
      <c r="F20" s="294"/>
    </row>
    <row r="21" spans="1:6">
      <c r="A21" s="292" t="s">
        <v>592</v>
      </c>
      <c r="B21" s="293" t="s">
        <v>593</v>
      </c>
      <c r="C21" s="294">
        <f t="shared" si="1"/>
        <v>0</v>
      </c>
      <c r="D21" s="294"/>
      <c r="E21" s="294"/>
      <c r="F21" s="294"/>
    </row>
    <row r="22" spans="1:6">
      <c r="A22" s="292" t="s">
        <v>594</v>
      </c>
      <c r="B22" s="293" t="s">
        <v>595</v>
      </c>
      <c r="C22" s="294">
        <f t="shared" si="1"/>
        <v>0</v>
      </c>
      <c r="D22" s="294"/>
      <c r="E22" s="294"/>
      <c r="F22" s="294"/>
    </row>
    <row r="23" spans="1:6" ht="12.75">
      <c r="A23" s="296" t="s">
        <v>596</v>
      </c>
      <c r="B23" s="297" t="s">
        <v>597</v>
      </c>
      <c r="C23" s="298">
        <f>SUM(C16:C22)</f>
        <v>5376</v>
      </c>
      <c r="D23" s="298">
        <f>SUM(D16:D22)</f>
        <v>0</v>
      </c>
      <c r="E23" s="298">
        <f>SUM(E16:E22)</f>
        <v>5376</v>
      </c>
      <c r="F23" s="298">
        <f>SUM(F16:F22)</f>
        <v>0</v>
      </c>
    </row>
    <row r="24" spans="1:6" ht="12.75">
      <c r="A24" s="299" t="s">
        <v>598</v>
      </c>
      <c r="B24" s="297" t="s">
        <v>599</v>
      </c>
      <c r="C24" s="298">
        <f>SUM(D24:F24)</f>
        <v>0</v>
      </c>
      <c r="D24" s="298"/>
      <c r="E24" s="298"/>
      <c r="F24" s="298"/>
    </row>
    <row r="25" spans="1:6" ht="12.75">
      <c r="A25" s="299" t="s">
        <v>600</v>
      </c>
      <c r="B25" s="297" t="s">
        <v>601</v>
      </c>
      <c r="C25" s="298">
        <f>SUM(D25:F25)</f>
        <v>1080</v>
      </c>
      <c r="D25" s="298"/>
      <c r="E25" s="298">
        <v>1080</v>
      </c>
      <c r="F25" s="298"/>
    </row>
    <row r="26" spans="1:6" ht="12.75">
      <c r="A26" s="299" t="s">
        <v>603</v>
      </c>
      <c r="B26" s="297" t="s">
        <v>604</v>
      </c>
      <c r="C26" s="298">
        <f>SUM(D26:F26)</f>
        <v>0</v>
      </c>
      <c r="D26" s="298"/>
      <c r="E26" s="298"/>
      <c r="F26" s="298"/>
    </row>
    <row r="27" spans="1:6">
      <c r="A27" s="292" t="s">
        <v>605</v>
      </c>
      <c r="B27" s="293" t="s">
        <v>606</v>
      </c>
      <c r="C27" s="294">
        <f>SUM(D27:F27)</f>
        <v>0</v>
      </c>
      <c r="D27" s="294"/>
      <c r="E27" s="294"/>
      <c r="F27" s="294"/>
    </row>
    <row r="28" spans="1:6">
      <c r="A28" s="292" t="s">
        <v>607</v>
      </c>
      <c r="B28" s="293" t="s">
        <v>608</v>
      </c>
      <c r="C28" s="294">
        <f>SUM(D28:F28)</f>
        <v>0</v>
      </c>
      <c r="D28" s="294"/>
      <c r="E28" s="294"/>
      <c r="F28" s="294"/>
    </row>
    <row r="29" spans="1:6" ht="12.75">
      <c r="A29" s="296" t="s">
        <v>609</v>
      </c>
      <c r="B29" s="297" t="s">
        <v>610</v>
      </c>
      <c r="C29" s="298">
        <f>SUM(C27:C28)</f>
        <v>0</v>
      </c>
      <c r="D29" s="298">
        <f>SUM(D27:D28)</f>
        <v>0</v>
      </c>
      <c r="E29" s="298">
        <f>SUM(E27:E28)</f>
        <v>0</v>
      </c>
      <c r="F29" s="298">
        <f>SUM(F27:F28)</f>
        <v>0</v>
      </c>
    </row>
    <row r="30" spans="1:6" ht="12.75">
      <c r="A30" s="299" t="s">
        <v>611</v>
      </c>
      <c r="B30" s="297" t="s">
        <v>612</v>
      </c>
      <c r="C30" s="298">
        <f t="shared" ref="C30:C36" si="2">SUM(D30:F30)</f>
        <v>650</v>
      </c>
      <c r="D30" s="298"/>
      <c r="E30" s="298">
        <v>650</v>
      </c>
      <c r="F30" s="298"/>
    </row>
    <row r="31" spans="1:6">
      <c r="A31" s="292" t="s">
        <v>613</v>
      </c>
      <c r="B31" s="293" t="s">
        <v>614</v>
      </c>
      <c r="C31" s="294">
        <f t="shared" si="2"/>
        <v>0</v>
      </c>
      <c r="D31" s="294"/>
      <c r="E31" s="294"/>
      <c r="F31" s="294"/>
    </row>
    <row r="32" spans="1:6">
      <c r="A32" s="292" t="s">
        <v>615</v>
      </c>
      <c r="B32" s="293" t="s">
        <v>616</v>
      </c>
      <c r="C32" s="294">
        <f t="shared" si="2"/>
        <v>0</v>
      </c>
      <c r="D32" s="294"/>
      <c r="E32" s="294"/>
      <c r="F32" s="294"/>
    </row>
    <row r="33" spans="1:6">
      <c r="A33" s="292" t="s">
        <v>617</v>
      </c>
      <c r="B33" s="293" t="s">
        <v>618</v>
      </c>
      <c r="C33" s="294">
        <f t="shared" si="2"/>
        <v>0</v>
      </c>
      <c r="D33" s="294"/>
      <c r="E33" s="294"/>
      <c r="F33" s="294"/>
    </row>
    <row r="34" spans="1:6">
      <c r="A34" s="292" t="s">
        <v>619</v>
      </c>
      <c r="B34" s="293" t="s">
        <v>620</v>
      </c>
      <c r="C34" s="294">
        <f t="shared" si="2"/>
        <v>0</v>
      </c>
      <c r="D34" s="294"/>
      <c r="E34" s="294"/>
      <c r="F34" s="294"/>
    </row>
    <row r="35" spans="1:6">
      <c r="A35" s="292" t="s">
        <v>621</v>
      </c>
      <c r="B35" s="293" t="s">
        <v>622</v>
      </c>
      <c r="C35" s="294">
        <f t="shared" si="2"/>
        <v>0</v>
      </c>
      <c r="D35" s="294"/>
      <c r="E35" s="294"/>
      <c r="F35" s="294"/>
    </row>
    <row r="36" spans="1:6">
      <c r="A36" s="292" t="s">
        <v>623</v>
      </c>
      <c r="B36" s="293" t="s">
        <v>624</v>
      </c>
      <c r="C36" s="294">
        <f t="shared" si="2"/>
        <v>3450</v>
      </c>
      <c r="D36" s="294"/>
      <c r="E36" s="294">
        <v>3450</v>
      </c>
      <c r="F36" s="294"/>
    </row>
    <row r="37" spans="1:6" ht="12.75">
      <c r="A37" s="296" t="s">
        <v>625</v>
      </c>
      <c r="B37" s="297" t="s">
        <v>626</v>
      </c>
      <c r="C37" s="298">
        <f>SUM(C31:C36)</f>
        <v>3450</v>
      </c>
      <c r="D37" s="298">
        <f>SUM(D31:D36)</f>
        <v>0</v>
      </c>
      <c r="E37" s="298">
        <f>SUM(E31:E36)</f>
        <v>3450</v>
      </c>
      <c r="F37" s="298">
        <f>SUM(F31:F36)</f>
        <v>0</v>
      </c>
    </row>
    <row r="38" spans="1:6" ht="12.75">
      <c r="A38" s="300" t="s">
        <v>627</v>
      </c>
      <c r="B38" s="301" t="s">
        <v>628</v>
      </c>
      <c r="C38" s="302">
        <f>C8+C9+C10+C13+C14+C15+C23+C24+C25+C26+C29+C30+C37</f>
        <v>145632</v>
      </c>
      <c r="D38" s="302">
        <f>D8+D9+D10+D13+D14+D15+D23+D24+D25+D26+D29+D30+D37</f>
        <v>0</v>
      </c>
      <c r="E38" s="302">
        <f>E8+E9+E10+E13+E14+E15+E23+E24+E25+E26+E29+E30+E37</f>
        <v>145632</v>
      </c>
      <c r="F38" s="302">
        <f>F8+F9+F10+F13+F14+F15+F23+F24+F25+F26+F29+F30+F37</f>
        <v>0</v>
      </c>
    </row>
    <row r="39" spans="1:6">
      <c r="A39" s="292" t="s">
        <v>629</v>
      </c>
      <c r="B39" s="293" t="s">
        <v>630</v>
      </c>
      <c r="C39" s="294">
        <f>SUM(D39:F39)</f>
        <v>0</v>
      </c>
      <c r="D39" s="294"/>
      <c r="E39" s="294"/>
      <c r="F39" s="294"/>
    </row>
    <row r="40" spans="1:6">
      <c r="A40" s="292" t="s">
        <v>631</v>
      </c>
      <c r="B40" s="293" t="s">
        <v>632</v>
      </c>
      <c r="C40" s="294">
        <f>SUM(D40:F40)</f>
        <v>0</v>
      </c>
      <c r="D40" s="294"/>
      <c r="E40" s="294"/>
      <c r="F40" s="294"/>
    </row>
    <row r="41" spans="1:6" ht="12.75">
      <c r="A41" s="296" t="s">
        <v>633</v>
      </c>
      <c r="B41" s="297" t="s">
        <v>634</v>
      </c>
      <c r="C41" s="298">
        <f>SUM(C39:C40)</f>
        <v>0</v>
      </c>
      <c r="D41" s="298">
        <f>SUM(D39:D40)</f>
        <v>0</v>
      </c>
      <c r="E41" s="298">
        <f>SUM(E39:E40)</f>
        <v>0</v>
      </c>
      <c r="F41" s="298">
        <f>SUM(F39:F40)</f>
        <v>0</v>
      </c>
    </row>
    <row r="42" spans="1:6">
      <c r="A42" s="292" t="s">
        <v>635</v>
      </c>
      <c r="B42" s="293" t="s">
        <v>636</v>
      </c>
      <c r="C42" s="294">
        <f>SUM(D42:F42)</f>
        <v>0</v>
      </c>
      <c r="D42" s="294"/>
      <c r="E42" s="294"/>
      <c r="F42" s="294"/>
    </row>
    <row r="43" spans="1:6">
      <c r="A43" s="292" t="s">
        <v>638</v>
      </c>
      <c r="B43" s="293" t="s">
        <v>639</v>
      </c>
      <c r="C43" s="294">
        <f>SUM(D43:F43)</f>
        <v>0</v>
      </c>
      <c r="D43" s="294"/>
      <c r="E43" s="294"/>
      <c r="F43" s="294"/>
    </row>
    <row r="44" spans="1:6" ht="12.75">
      <c r="A44" s="296" t="s">
        <v>640</v>
      </c>
      <c r="B44" s="297" t="s">
        <v>641</v>
      </c>
      <c r="C44" s="298">
        <f>SUM(C42:C43)</f>
        <v>0</v>
      </c>
      <c r="D44" s="298">
        <f>SUM(D42:D43)</f>
        <v>0</v>
      </c>
      <c r="E44" s="298">
        <f>SUM(E42:E43)</f>
        <v>0</v>
      </c>
      <c r="F44" s="298">
        <f>SUM(F42:F43)</f>
        <v>0</v>
      </c>
    </row>
    <row r="45" spans="1:6">
      <c r="A45" s="292" t="s">
        <v>642</v>
      </c>
      <c r="B45" s="293" t="s">
        <v>643</v>
      </c>
      <c r="C45" s="294">
        <f t="shared" ref="C45:C51" si="3">SUM(D45:F45)</f>
        <v>0</v>
      </c>
      <c r="D45" s="294"/>
      <c r="E45" s="294"/>
      <c r="F45" s="294"/>
    </row>
    <row r="46" spans="1:6">
      <c r="A46" s="292" t="s">
        <v>644</v>
      </c>
      <c r="B46" s="293" t="s">
        <v>645</v>
      </c>
      <c r="C46" s="294">
        <f t="shared" si="3"/>
        <v>0</v>
      </c>
      <c r="D46" s="294"/>
      <c r="E46" s="294"/>
      <c r="F46" s="294"/>
    </row>
    <row r="47" spans="1:6">
      <c r="A47" s="292" t="s">
        <v>646</v>
      </c>
      <c r="B47" s="293" t="s">
        <v>647</v>
      </c>
      <c r="C47" s="294">
        <f t="shared" si="3"/>
        <v>0</v>
      </c>
      <c r="D47" s="294"/>
      <c r="E47" s="294"/>
      <c r="F47" s="294"/>
    </row>
    <row r="48" spans="1:6">
      <c r="A48" s="292" t="s">
        <v>648</v>
      </c>
      <c r="B48" s="293" t="s">
        <v>649</v>
      </c>
      <c r="C48" s="294">
        <f t="shared" si="3"/>
        <v>0</v>
      </c>
      <c r="D48" s="294"/>
      <c r="E48" s="294"/>
      <c r="F48" s="294"/>
    </row>
    <row r="49" spans="1:6">
      <c r="A49" s="292" t="s">
        <v>650</v>
      </c>
      <c r="B49" s="293" t="s">
        <v>651</v>
      </c>
      <c r="C49" s="294">
        <f t="shared" si="3"/>
        <v>0</v>
      </c>
      <c r="D49" s="294"/>
      <c r="E49" s="294"/>
      <c r="F49" s="294"/>
    </row>
    <row r="50" spans="1:6">
      <c r="A50" s="292" t="s">
        <v>652</v>
      </c>
      <c r="B50" s="293" t="s">
        <v>653</v>
      </c>
      <c r="C50" s="294">
        <f t="shared" si="3"/>
        <v>100</v>
      </c>
      <c r="D50" s="294"/>
      <c r="E50" s="294">
        <v>100</v>
      </c>
      <c r="F50" s="294"/>
    </row>
    <row r="51" spans="1:6">
      <c r="A51" s="292" t="s">
        <v>655</v>
      </c>
      <c r="B51" s="293" t="s">
        <v>656</v>
      </c>
      <c r="C51" s="294">
        <f t="shared" si="3"/>
        <v>298</v>
      </c>
      <c r="D51" s="294"/>
      <c r="E51" s="294">
        <v>298</v>
      </c>
      <c r="F51" s="294"/>
    </row>
    <row r="52" spans="1:6" ht="12.75">
      <c r="A52" s="296" t="s">
        <v>657</v>
      </c>
      <c r="B52" s="297" t="s">
        <v>658</v>
      </c>
      <c r="C52" s="298">
        <f>SUM(C45:C51)</f>
        <v>398</v>
      </c>
      <c r="D52" s="298">
        <f>SUM(D45:D51)</f>
        <v>0</v>
      </c>
      <c r="E52" s="298">
        <f>SUM(E45:E51)</f>
        <v>398</v>
      </c>
      <c r="F52" s="298">
        <f>SUM(F45:F51)</f>
        <v>0</v>
      </c>
    </row>
    <row r="53" spans="1:6" s="303" customFormat="1" ht="12.75">
      <c r="A53" s="300" t="s">
        <v>659</v>
      </c>
      <c r="B53" s="301" t="s">
        <v>660</v>
      </c>
      <c r="C53" s="302">
        <f>C41+C44+C52</f>
        <v>398</v>
      </c>
      <c r="D53" s="302">
        <f>D41+D44+D52</f>
        <v>0</v>
      </c>
      <c r="E53" s="302">
        <f>E41+E44+E52</f>
        <v>398</v>
      </c>
      <c r="F53" s="302">
        <f>F41+F44+F52</f>
        <v>0</v>
      </c>
    </row>
    <row r="54" spans="1:6" s="303" customFormat="1" ht="12.75">
      <c r="A54" s="304" t="s">
        <v>661</v>
      </c>
      <c r="B54" s="305" t="s">
        <v>662</v>
      </c>
      <c r="C54" s="306">
        <f>C38+C53</f>
        <v>146030</v>
      </c>
      <c r="D54" s="306">
        <f>D38+D53</f>
        <v>0</v>
      </c>
      <c r="E54" s="306">
        <f>E38+E53</f>
        <v>146030</v>
      </c>
      <c r="F54" s="306">
        <f>F38+F53</f>
        <v>0</v>
      </c>
    </row>
    <row r="55" spans="1:6">
      <c r="A55" s="292" t="s">
        <v>663</v>
      </c>
      <c r="B55" s="293" t="s">
        <v>664</v>
      </c>
      <c r="C55" s="294">
        <f t="shared" ref="C55:C62" si="4">SUM(D55:F55)</f>
        <v>36551</v>
      </c>
      <c r="D55" s="294"/>
      <c r="E55" s="253">
        <f>ROUND((E8+E13+E15+E44+E51)*0.27,0)</f>
        <v>36551</v>
      </c>
      <c r="F55" s="294"/>
    </row>
    <row r="56" spans="1:6">
      <c r="A56" s="292" t="s">
        <v>665</v>
      </c>
      <c r="B56" s="293" t="s">
        <v>666</v>
      </c>
      <c r="C56" s="294">
        <f t="shared" si="4"/>
        <v>0</v>
      </c>
      <c r="D56" s="294"/>
      <c r="E56" s="133"/>
      <c r="F56" s="294"/>
    </row>
    <row r="57" spans="1:6">
      <c r="A57" s="292" t="s">
        <v>667</v>
      </c>
      <c r="B57" s="293" t="s">
        <v>668</v>
      </c>
      <c r="C57" s="294">
        <f t="shared" si="4"/>
        <v>928</v>
      </c>
      <c r="D57" s="294"/>
      <c r="E57" s="253">
        <f>ROUND(E50*1.19*0.27+E23*1.19*0.14,0)</f>
        <v>928</v>
      </c>
      <c r="F57" s="294"/>
    </row>
    <row r="58" spans="1:6">
      <c r="A58" s="292" t="s">
        <v>669</v>
      </c>
      <c r="B58" s="293" t="s">
        <v>670</v>
      </c>
      <c r="C58" s="294">
        <f t="shared" si="4"/>
        <v>0</v>
      </c>
      <c r="D58" s="294"/>
      <c r="E58" s="253"/>
      <c r="F58" s="294"/>
    </row>
    <row r="59" spans="1:6">
      <c r="A59" s="292" t="s">
        <v>671</v>
      </c>
      <c r="B59" s="293" t="s">
        <v>672</v>
      </c>
      <c r="C59" s="294">
        <f t="shared" si="4"/>
        <v>0</v>
      </c>
      <c r="D59" s="294"/>
      <c r="E59" s="253"/>
      <c r="F59" s="294"/>
    </row>
    <row r="60" spans="1:6">
      <c r="A60" s="292" t="s">
        <v>673</v>
      </c>
      <c r="B60" s="293" t="s">
        <v>674</v>
      </c>
      <c r="C60" s="294">
        <f t="shared" si="4"/>
        <v>0</v>
      </c>
      <c r="D60" s="294"/>
      <c r="E60" s="253"/>
      <c r="F60" s="294"/>
    </row>
    <row r="61" spans="1:6">
      <c r="A61" s="292" t="s">
        <v>675</v>
      </c>
      <c r="B61" s="293" t="s">
        <v>676</v>
      </c>
      <c r="C61" s="294">
        <f t="shared" si="4"/>
        <v>1043</v>
      </c>
      <c r="D61" s="294"/>
      <c r="E61" s="253">
        <f>ROUND((E50+E23)*1.19*0.16,0)</f>
        <v>1043</v>
      </c>
      <c r="F61" s="294"/>
    </row>
    <row r="62" spans="1:6">
      <c r="A62" s="292" t="s">
        <v>677</v>
      </c>
      <c r="B62" s="293" t="s">
        <v>678</v>
      </c>
      <c r="C62" s="294">
        <f t="shared" si="4"/>
        <v>0</v>
      </c>
      <c r="D62" s="294"/>
      <c r="E62" s="253"/>
      <c r="F62" s="294"/>
    </row>
    <row r="63" spans="1:6" ht="12.75">
      <c r="A63" s="304" t="s">
        <v>679</v>
      </c>
      <c r="B63" s="305" t="s">
        <v>680</v>
      </c>
      <c r="C63" s="306">
        <f>SUM(C55:C62)</f>
        <v>38522</v>
      </c>
      <c r="D63" s="306">
        <f>SUM(D55:D62)</f>
        <v>0</v>
      </c>
      <c r="E63" s="306">
        <f>SUM(E55:E62)</f>
        <v>38522</v>
      </c>
      <c r="F63" s="306">
        <f>SUM(F55:F62)</f>
        <v>0</v>
      </c>
    </row>
    <row r="64" spans="1:6">
      <c r="A64" s="292" t="s">
        <v>681</v>
      </c>
      <c r="B64" s="293" t="s">
        <v>682</v>
      </c>
      <c r="C64" s="294">
        <f t="shared" ref="C64:C69" si="5">SUM(D64:F64)</f>
        <v>100</v>
      </c>
      <c r="D64" s="294"/>
      <c r="E64" s="294">
        <v>100</v>
      </c>
      <c r="F64" s="294"/>
    </row>
    <row r="65" spans="1:6">
      <c r="A65" s="292" t="s">
        <v>683</v>
      </c>
      <c r="B65" s="293" t="s">
        <v>684</v>
      </c>
      <c r="C65" s="294">
        <f t="shared" si="5"/>
        <v>0</v>
      </c>
      <c r="D65" s="294"/>
      <c r="E65" s="294"/>
      <c r="F65" s="294"/>
    </row>
    <row r="66" spans="1:6">
      <c r="A66" s="292" t="s">
        <v>685</v>
      </c>
      <c r="B66" s="293" t="s">
        <v>686</v>
      </c>
      <c r="C66" s="294">
        <f t="shared" si="5"/>
        <v>200</v>
      </c>
      <c r="D66" s="294"/>
      <c r="E66" s="294">
        <v>200</v>
      </c>
      <c r="F66" s="294"/>
    </row>
    <row r="67" spans="1:6">
      <c r="A67" s="292" t="s">
        <v>688</v>
      </c>
      <c r="B67" s="293" t="s">
        <v>689</v>
      </c>
      <c r="C67" s="294">
        <f t="shared" si="5"/>
        <v>306</v>
      </c>
      <c r="D67" s="294"/>
      <c r="E67" s="294">
        <v>306</v>
      </c>
      <c r="F67" s="294"/>
    </row>
    <row r="68" spans="1:6">
      <c r="A68" s="292" t="s">
        <v>690</v>
      </c>
      <c r="B68" s="293" t="s">
        <v>691</v>
      </c>
      <c r="C68" s="294">
        <f t="shared" si="5"/>
        <v>0</v>
      </c>
      <c r="D68" s="294"/>
      <c r="E68" s="294"/>
      <c r="F68" s="294"/>
    </row>
    <row r="69" spans="1:6">
      <c r="A69" s="292" t="s">
        <v>692</v>
      </c>
      <c r="B69" s="293" t="s">
        <v>693</v>
      </c>
      <c r="C69" s="294">
        <f t="shared" si="5"/>
        <v>1980</v>
      </c>
      <c r="D69" s="294"/>
      <c r="E69" s="294">
        <v>1980</v>
      </c>
      <c r="F69" s="294"/>
    </row>
    <row r="70" spans="1:6" ht="12.75">
      <c r="A70" s="296" t="s">
        <v>695</v>
      </c>
      <c r="B70" s="297" t="s">
        <v>696</v>
      </c>
      <c r="C70" s="298">
        <f>SUM(C64:C69)</f>
        <v>2586</v>
      </c>
      <c r="D70" s="298">
        <f>SUM(D64:D69)</f>
        <v>0</v>
      </c>
      <c r="E70" s="298">
        <f>SUM(E64:E69)</f>
        <v>2586</v>
      </c>
      <c r="F70" s="298">
        <f>SUM(F64:F69)</f>
        <v>0</v>
      </c>
    </row>
    <row r="71" spans="1:6">
      <c r="A71" s="292" t="s">
        <v>697</v>
      </c>
      <c r="B71" s="293" t="s">
        <v>698</v>
      </c>
      <c r="C71" s="294">
        <f t="shared" ref="C71:C76" si="6">SUM(D71:F71)</f>
        <v>0</v>
      </c>
      <c r="D71" s="294"/>
      <c r="E71" s="294"/>
      <c r="F71" s="294"/>
    </row>
    <row r="72" spans="1:6">
      <c r="A72" s="292" t="s">
        <v>699</v>
      </c>
      <c r="B72" s="293" t="s">
        <v>700</v>
      </c>
      <c r="C72" s="294">
        <f t="shared" si="6"/>
        <v>800</v>
      </c>
      <c r="D72" s="294"/>
      <c r="E72" s="294">
        <v>800</v>
      </c>
      <c r="F72" s="294"/>
    </row>
    <row r="73" spans="1:6">
      <c r="A73" s="292" t="s">
        <v>701</v>
      </c>
      <c r="B73" s="293" t="s">
        <v>702</v>
      </c>
      <c r="C73" s="294">
        <f t="shared" si="6"/>
        <v>0</v>
      </c>
      <c r="D73" s="294"/>
      <c r="E73" s="294"/>
      <c r="F73" s="294"/>
    </row>
    <row r="74" spans="1:6">
      <c r="A74" s="292" t="s">
        <v>703</v>
      </c>
      <c r="B74" s="293" t="s">
        <v>704</v>
      </c>
      <c r="C74" s="294">
        <f t="shared" si="6"/>
        <v>150</v>
      </c>
      <c r="D74" s="294"/>
      <c r="E74" s="294">
        <v>150</v>
      </c>
      <c r="F74" s="294"/>
    </row>
    <row r="75" spans="1:6">
      <c r="A75" s="292" t="s">
        <v>705</v>
      </c>
      <c r="B75" s="293" t="s">
        <v>706</v>
      </c>
      <c r="C75" s="294">
        <f t="shared" si="6"/>
        <v>100</v>
      </c>
      <c r="D75" s="294"/>
      <c r="E75" s="294">
        <v>100</v>
      </c>
      <c r="F75" s="294"/>
    </row>
    <row r="76" spans="1:6">
      <c r="A76" s="292" t="s">
        <v>708</v>
      </c>
      <c r="B76" s="293" t="s">
        <v>709</v>
      </c>
      <c r="C76" s="294">
        <f t="shared" si="6"/>
        <v>5000</v>
      </c>
      <c r="D76" s="294"/>
      <c r="E76" s="294">
        <v>5000</v>
      </c>
      <c r="F76" s="294"/>
    </row>
    <row r="77" spans="1:6" ht="12.75">
      <c r="A77" s="296" t="s">
        <v>711</v>
      </c>
      <c r="B77" s="297" t="s">
        <v>712</v>
      </c>
      <c r="C77" s="298">
        <f>SUM(C71:C76)</f>
        <v>6050</v>
      </c>
      <c r="D77" s="298">
        <f>SUM(D71:D76)</f>
        <v>0</v>
      </c>
      <c r="E77" s="298">
        <f>SUM(E71:E76)</f>
        <v>6050</v>
      </c>
      <c r="F77" s="298">
        <f>SUM(F71:F76)</f>
        <v>0</v>
      </c>
    </row>
    <row r="78" spans="1:6">
      <c r="A78" s="292" t="s">
        <v>713</v>
      </c>
      <c r="B78" s="293" t="s">
        <v>233</v>
      </c>
      <c r="C78" s="294">
        <f>SUM(D78:F78)</f>
        <v>0</v>
      </c>
      <c r="D78" s="294"/>
      <c r="E78" s="294"/>
      <c r="F78" s="294"/>
    </row>
    <row r="79" spans="1:6">
      <c r="A79" s="292" t="s">
        <v>714</v>
      </c>
      <c r="B79" s="293" t="s">
        <v>715</v>
      </c>
      <c r="C79" s="294">
        <f>SUM(D79:F79)</f>
        <v>0</v>
      </c>
      <c r="D79" s="294"/>
      <c r="E79" s="294"/>
      <c r="F79" s="294"/>
    </row>
    <row r="80" spans="1:6" ht="12.75">
      <c r="A80" s="296" t="s">
        <v>716</v>
      </c>
      <c r="B80" s="297" t="s">
        <v>717</v>
      </c>
      <c r="C80" s="298">
        <f>SUM(C78:C79)</f>
        <v>0</v>
      </c>
      <c r="D80" s="298">
        <f>SUM(D78:D79)</f>
        <v>0</v>
      </c>
      <c r="E80" s="298">
        <f>SUM(E78:E79)</f>
        <v>0</v>
      </c>
      <c r="F80" s="298">
        <f>SUM(F78:F79)</f>
        <v>0</v>
      </c>
    </row>
    <row r="81" spans="1:7" ht="12.75">
      <c r="A81" s="300" t="s">
        <v>718</v>
      </c>
      <c r="B81" s="301" t="s">
        <v>719</v>
      </c>
      <c r="C81" s="302">
        <f>C70+C77+C80</f>
        <v>8636</v>
      </c>
      <c r="D81" s="302">
        <f>D70+D77+D80</f>
        <v>0</v>
      </c>
      <c r="E81" s="302">
        <f>E70+E77+E80</f>
        <v>8636</v>
      </c>
      <c r="F81" s="302">
        <f>F70+F77+F80</f>
        <v>0</v>
      </c>
    </row>
    <row r="82" spans="1:7">
      <c r="A82" s="292" t="s">
        <v>720</v>
      </c>
      <c r="B82" s="293" t="s">
        <v>721</v>
      </c>
      <c r="C82" s="294">
        <f t="shared" ref="C82:C87" si="7">SUM(D82:F82)</f>
        <v>0</v>
      </c>
      <c r="D82" s="294"/>
      <c r="E82" s="294"/>
      <c r="F82" s="294"/>
    </row>
    <row r="83" spans="1:7">
      <c r="A83" s="292" t="s">
        <v>722</v>
      </c>
      <c r="B83" s="293" t="s">
        <v>723</v>
      </c>
      <c r="C83" s="294">
        <f t="shared" si="7"/>
        <v>0</v>
      </c>
      <c r="D83" s="294"/>
      <c r="E83" s="294"/>
      <c r="F83" s="294"/>
    </row>
    <row r="84" spans="1:7">
      <c r="A84" s="292" t="s">
        <v>725</v>
      </c>
      <c r="B84" s="293" t="s">
        <v>726</v>
      </c>
      <c r="C84" s="294">
        <f t="shared" si="7"/>
        <v>0</v>
      </c>
      <c r="D84" s="294"/>
      <c r="E84" s="294"/>
      <c r="F84" s="294"/>
    </row>
    <row r="85" spans="1:7">
      <c r="A85" s="292" t="s">
        <v>727</v>
      </c>
      <c r="B85" s="293" t="s">
        <v>728</v>
      </c>
      <c r="C85" s="294">
        <f t="shared" si="7"/>
        <v>350</v>
      </c>
      <c r="D85" s="294"/>
      <c r="E85" s="294">
        <v>350</v>
      </c>
      <c r="F85" s="294"/>
      <c r="G85" s="295" t="s">
        <v>881</v>
      </c>
    </row>
    <row r="86" spans="1:7">
      <c r="A86" s="292" t="s">
        <v>729</v>
      </c>
      <c r="B86" s="293" t="s">
        <v>730</v>
      </c>
      <c r="C86" s="294">
        <f t="shared" si="7"/>
        <v>200</v>
      </c>
      <c r="D86" s="294"/>
      <c r="E86" s="294">
        <v>200</v>
      </c>
      <c r="F86" s="294"/>
      <c r="G86" s="295" t="s">
        <v>882</v>
      </c>
    </row>
    <row r="87" spans="1:7">
      <c r="A87" s="292" t="s">
        <v>732</v>
      </c>
      <c r="B87" s="293" t="s">
        <v>733</v>
      </c>
      <c r="C87" s="294">
        <f t="shared" si="7"/>
        <v>0</v>
      </c>
      <c r="D87" s="294"/>
      <c r="E87" s="294"/>
      <c r="F87" s="294"/>
    </row>
    <row r="88" spans="1:7" ht="12.75">
      <c r="A88" s="296" t="s">
        <v>734</v>
      </c>
      <c r="B88" s="297" t="s">
        <v>237</v>
      </c>
      <c r="C88" s="298">
        <f>SUM(C82:C87)</f>
        <v>550</v>
      </c>
      <c r="D88" s="298">
        <f>SUM(D82:D87)</f>
        <v>0</v>
      </c>
      <c r="E88" s="298">
        <f>SUM(E82:E87)</f>
        <v>550</v>
      </c>
      <c r="F88" s="298">
        <f>SUM(F82:F87)</f>
        <v>0</v>
      </c>
    </row>
    <row r="89" spans="1:7">
      <c r="A89" s="292" t="s">
        <v>735</v>
      </c>
      <c r="B89" s="293" t="s">
        <v>736</v>
      </c>
      <c r="C89" s="294">
        <f>SUM(D89:F89)</f>
        <v>300</v>
      </c>
      <c r="D89" s="294"/>
      <c r="E89" s="294">
        <v>300</v>
      </c>
      <c r="F89" s="294"/>
    </row>
    <row r="90" spans="1:7">
      <c r="A90" s="292" t="s">
        <v>737</v>
      </c>
      <c r="B90" s="293" t="s">
        <v>239</v>
      </c>
      <c r="C90" s="294">
        <f>SUM(D90:F90)</f>
        <v>0</v>
      </c>
      <c r="D90" s="294"/>
      <c r="E90" s="294"/>
      <c r="F90" s="294"/>
    </row>
    <row r="91" spans="1:7" ht="12.75">
      <c r="A91" s="296" t="s">
        <v>738</v>
      </c>
      <c r="B91" s="297" t="s">
        <v>739</v>
      </c>
      <c r="C91" s="298">
        <f>SUM(C89:C90)</f>
        <v>300</v>
      </c>
      <c r="D91" s="298">
        <f>SUM(D89:D90)</f>
        <v>0</v>
      </c>
      <c r="E91" s="298">
        <f>SUM(E89:E90)</f>
        <v>300</v>
      </c>
      <c r="F91" s="298">
        <f>SUM(F89:F90)</f>
        <v>0</v>
      </c>
    </row>
    <row r="92" spans="1:7" ht="12.75">
      <c r="A92" s="300" t="s">
        <v>740</v>
      </c>
      <c r="B92" s="301" t="s">
        <v>741</v>
      </c>
      <c r="C92" s="302">
        <f>C88+C91</f>
        <v>850</v>
      </c>
      <c r="D92" s="302">
        <f>D88+D91</f>
        <v>0</v>
      </c>
      <c r="E92" s="302">
        <f>E88+E91</f>
        <v>850</v>
      </c>
      <c r="F92" s="302">
        <f>F88+F91</f>
        <v>0</v>
      </c>
    </row>
    <row r="93" spans="1:7">
      <c r="A93" s="292" t="s">
        <v>742</v>
      </c>
      <c r="B93" s="293" t="s">
        <v>743</v>
      </c>
      <c r="C93" s="294">
        <f>SUM(D93:F93)</f>
        <v>9000</v>
      </c>
      <c r="D93" s="294"/>
      <c r="E93" s="294">
        <v>9000</v>
      </c>
      <c r="F93" s="294"/>
    </row>
    <row r="94" spans="1:7">
      <c r="A94" s="292" t="s">
        <v>745</v>
      </c>
      <c r="B94" s="293" t="s">
        <v>746</v>
      </c>
      <c r="C94" s="294">
        <f>SUM(D94:F94)</f>
        <v>3000</v>
      </c>
      <c r="D94" s="294"/>
      <c r="E94" s="294">
        <v>3000</v>
      </c>
      <c r="F94" s="294"/>
    </row>
    <row r="95" spans="1:7">
      <c r="A95" s="292" t="s">
        <v>748</v>
      </c>
      <c r="B95" s="293" t="s">
        <v>749</v>
      </c>
      <c r="C95" s="294">
        <f>SUM(D95:F95)</f>
        <v>0</v>
      </c>
      <c r="D95" s="294"/>
      <c r="E95" s="294"/>
      <c r="F95" s="294"/>
    </row>
    <row r="96" spans="1:7">
      <c r="A96" s="292" t="s">
        <v>750</v>
      </c>
      <c r="B96" s="293" t="s">
        <v>751</v>
      </c>
      <c r="C96" s="294">
        <f>SUM(D96:F96)</f>
        <v>2500</v>
      </c>
      <c r="D96" s="294"/>
      <c r="E96" s="294">
        <v>2500</v>
      </c>
      <c r="F96" s="294"/>
    </row>
    <row r="97" spans="1:7" ht="12.75">
      <c r="A97" s="296" t="s">
        <v>752</v>
      </c>
      <c r="B97" s="297" t="s">
        <v>753</v>
      </c>
      <c r="C97" s="298">
        <f>SUM(C93:C96)</f>
        <v>14500</v>
      </c>
      <c r="D97" s="298">
        <f>SUM(D93:D96)</f>
        <v>0</v>
      </c>
      <c r="E97" s="298">
        <f>SUM(E93:E96)</f>
        <v>14500</v>
      </c>
      <c r="F97" s="298">
        <f>SUM(F93:F96)</f>
        <v>0</v>
      </c>
    </row>
    <row r="98" spans="1:7" ht="12.75">
      <c r="A98" s="299" t="s">
        <v>754</v>
      </c>
      <c r="B98" s="297" t="s">
        <v>245</v>
      </c>
      <c r="C98" s="298">
        <f>SUM(D98:F98)</f>
        <v>22000</v>
      </c>
      <c r="D98" s="298">
        <v>22000</v>
      </c>
      <c r="E98" s="298"/>
      <c r="F98" s="298"/>
    </row>
    <row r="99" spans="1:7">
      <c r="A99" s="292" t="s">
        <v>755</v>
      </c>
      <c r="B99" s="293" t="s">
        <v>756</v>
      </c>
      <c r="C99" s="294">
        <f>SUM(D99:F99)</f>
        <v>0</v>
      </c>
      <c r="D99" s="294"/>
      <c r="E99" s="294"/>
      <c r="F99" s="294"/>
    </row>
    <row r="100" spans="1:7">
      <c r="A100" s="292" t="s">
        <v>757</v>
      </c>
      <c r="B100" s="293" t="s">
        <v>758</v>
      </c>
      <c r="C100" s="294">
        <f>SUM(D100:F100)</f>
        <v>0</v>
      </c>
      <c r="D100" s="294"/>
      <c r="E100" s="294"/>
      <c r="F100" s="294"/>
    </row>
    <row r="101" spans="1:7" ht="12.75">
      <c r="A101" s="299">
        <v>53331</v>
      </c>
      <c r="B101" s="297" t="s">
        <v>759</v>
      </c>
      <c r="C101" s="298">
        <f>SUM(C99:C100)</f>
        <v>0</v>
      </c>
      <c r="D101" s="298">
        <f>SUM(D99:D100)</f>
        <v>0</v>
      </c>
      <c r="E101" s="298">
        <f>SUM(E99:E100)</f>
        <v>0</v>
      </c>
      <c r="F101" s="298">
        <f>SUM(F99:F100)</f>
        <v>0</v>
      </c>
    </row>
    <row r="102" spans="1:7" ht="12.75">
      <c r="A102" s="299" t="s">
        <v>760</v>
      </c>
      <c r="B102" s="297" t="s">
        <v>249</v>
      </c>
      <c r="C102" s="298">
        <f>SUM(D102:F102)</f>
        <v>3000</v>
      </c>
      <c r="D102" s="298"/>
      <c r="E102" s="298">
        <v>3000</v>
      </c>
      <c r="F102" s="298"/>
      <c r="G102" s="295" t="s">
        <v>883</v>
      </c>
    </row>
    <row r="103" spans="1:7">
      <c r="A103" s="292" t="s">
        <v>762</v>
      </c>
      <c r="B103" s="293" t="s">
        <v>763</v>
      </c>
      <c r="C103" s="294">
        <f>SUM(D103:F103)</f>
        <v>0</v>
      </c>
      <c r="D103" s="294"/>
      <c r="E103" s="294"/>
      <c r="F103" s="294"/>
    </row>
    <row r="104" spans="1:7">
      <c r="A104" s="292" t="s">
        <v>764</v>
      </c>
      <c r="B104" s="293" t="s">
        <v>765</v>
      </c>
      <c r="C104" s="294">
        <f>SUM(D104:F104)</f>
        <v>0</v>
      </c>
      <c r="D104" s="294"/>
      <c r="E104" s="294"/>
      <c r="F104" s="294"/>
    </row>
    <row r="105" spans="1:7" ht="12.75">
      <c r="A105" s="296" t="s">
        <v>766</v>
      </c>
      <c r="B105" s="297" t="s">
        <v>767</v>
      </c>
      <c r="C105" s="298">
        <f>SUM(C103:C104)</f>
        <v>0</v>
      </c>
      <c r="D105" s="298">
        <f>SUM(D103:D104)</f>
        <v>0</v>
      </c>
      <c r="E105" s="298">
        <f>SUM(E103:E104)</f>
        <v>0</v>
      </c>
      <c r="F105" s="298">
        <f>SUM(F103:F104)</f>
        <v>0</v>
      </c>
    </row>
    <row r="106" spans="1:7">
      <c r="A106" s="292" t="s">
        <v>768</v>
      </c>
      <c r="B106" s="293" t="s">
        <v>769</v>
      </c>
      <c r="C106" s="294">
        <f>SUM(D106:F106)</f>
        <v>0</v>
      </c>
      <c r="D106" s="294"/>
      <c r="E106" s="294"/>
      <c r="F106" s="294"/>
    </row>
    <row r="107" spans="1:7">
      <c r="A107" s="292" t="s">
        <v>770</v>
      </c>
      <c r="B107" s="293" t="s">
        <v>771</v>
      </c>
      <c r="C107" s="294">
        <f>SUM(D107:F107)</f>
        <v>0</v>
      </c>
      <c r="D107" s="294"/>
      <c r="E107" s="294"/>
      <c r="F107" s="294"/>
    </row>
    <row r="108" spans="1:7">
      <c r="A108" s="292" t="s">
        <v>772</v>
      </c>
      <c r="B108" s="293" t="s">
        <v>773</v>
      </c>
      <c r="C108" s="294">
        <f>SUM(D108:F108)</f>
        <v>0</v>
      </c>
      <c r="D108" s="294"/>
      <c r="E108" s="294"/>
      <c r="F108" s="294"/>
    </row>
    <row r="109" spans="1:7" ht="12.75">
      <c r="A109" s="296" t="s">
        <v>774</v>
      </c>
      <c r="B109" s="297" t="s">
        <v>775</v>
      </c>
      <c r="C109" s="298">
        <f>SUM(C106:C108)</f>
        <v>0</v>
      </c>
      <c r="D109" s="298">
        <f>SUM(D106:D108)</f>
        <v>0</v>
      </c>
      <c r="E109" s="298">
        <f>SUM(E106:E108)</f>
        <v>0</v>
      </c>
      <c r="F109" s="298">
        <f>SUM(F106:F108)</f>
        <v>0</v>
      </c>
    </row>
    <row r="110" spans="1:7">
      <c r="A110" s="292" t="s">
        <v>776</v>
      </c>
      <c r="B110" s="293" t="s">
        <v>777</v>
      </c>
      <c r="C110" s="294">
        <f>SUM(D110:F110)</f>
        <v>0</v>
      </c>
      <c r="D110" s="294"/>
      <c r="E110" s="294"/>
      <c r="F110" s="294"/>
    </row>
    <row r="111" spans="1:7">
      <c r="A111" s="292" t="s">
        <v>778</v>
      </c>
      <c r="B111" s="293" t="s">
        <v>779</v>
      </c>
      <c r="C111" s="294">
        <f>SUM(D111:F111)</f>
        <v>200</v>
      </c>
      <c r="D111" s="294"/>
      <c r="E111" s="294">
        <v>200</v>
      </c>
      <c r="F111" s="294"/>
    </row>
    <row r="112" spans="1:7">
      <c r="A112" s="292" t="s">
        <v>780</v>
      </c>
      <c r="B112" s="293" t="s">
        <v>781</v>
      </c>
      <c r="C112" s="294">
        <f>SUM(D112:F112)</f>
        <v>0</v>
      </c>
      <c r="D112" s="294"/>
      <c r="E112" s="294"/>
      <c r="F112" s="294"/>
    </row>
    <row r="113" spans="1:7">
      <c r="A113" s="292" t="s">
        <v>782</v>
      </c>
      <c r="B113" s="293" t="s">
        <v>783</v>
      </c>
      <c r="C113" s="294">
        <f>SUM(D113:F113)</f>
        <v>10185</v>
      </c>
      <c r="D113" s="294"/>
      <c r="E113" s="294">
        <v>10185</v>
      </c>
      <c r="F113" s="294"/>
      <c r="G113" s="295" t="s">
        <v>884</v>
      </c>
    </row>
    <row r="114" spans="1:7" ht="12.75">
      <c r="A114" s="296" t="s">
        <v>784</v>
      </c>
      <c r="B114" s="297" t="s">
        <v>785</v>
      </c>
      <c r="C114" s="298">
        <f>SUM(C110:C113)</f>
        <v>10385</v>
      </c>
      <c r="D114" s="298">
        <f>SUM(D110:D113)</f>
        <v>0</v>
      </c>
      <c r="E114" s="298">
        <f>SUM(E110:E113)</f>
        <v>10385</v>
      </c>
      <c r="F114" s="298">
        <f>SUM(F110:F113)</f>
        <v>0</v>
      </c>
    </row>
    <row r="115" spans="1:7" ht="12.75">
      <c r="A115" s="300" t="s">
        <v>786</v>
      </c>
      <c r="B115" s="301" t="s">
        <v>787</v>
      </c>
      <c r="C115" s="302">
        <f>C97+C98+C101+C102+C105+C109+C114</f>
        <v>49885</v>
      </c>
      <c r="D115" s="302">
        <f>D97+D98+D101+D102+D105+D109+D114</f>
        <v>22000</v>
      </c>
      <c r="E115" s="302">
        <f>E97+E98+E101+E102+E105+E109+E114</f>
        <v>27885</v>
      </c>
      <c r="F115" s="302">
        <f>F97+F98+F101+F102+F105+F109+F114</f>
        <v>0</v>
      </c>
    </row>
    <row r="116" spans="1:7">
      <c r="A116" s="292" t="s">
        <v>788</v>
      </c>
      <c r="B116" s="293" t="s">
        <v>789</v>
      </c>
      <c r="C116" s="294">
        <f>SUM(D116:F116)</f>
        <v>100</v>
      </c>
      <c r="D116" s="294"/>
      <c r="E116" s="294">
        <v>100</v>
      </c>
      <c r="F116" s="294"/>
      <c r="G116" s="295" t="s">
        <v>885</v>
      </c>
    </row>
    <row r="117" spans="1:7">
      <c r="A117" s="292" t="s">
        <v>790</v>
      </c>
      <c r="B117" s="293" t="s">
        <v>791</v>
      </c>
      <c r="C117" s="294">
        <f>SUM(D117:F117)</f>
        <v>0</v>
      </c>
      <c r="D117" s="294"/>
      <c r="E117" s="294"/>
      <c r="F117" s="294"/>
    </row>
    <row r="118" spans="1:7" ht="12.75">
      <c r="A118" s="296" t="s">
        <v>792</v>
      </c>
      <c r="B118" s="297" t="s">
        <v>793</v>
      </c>
      <c r="C118" s="298">
        <f>SUM(C116:C117)</f>
        <v>100</v>
      </c>
      <c r="D118" s="298">
        <f>SUM(D116:D117)</f>
        <v>0</v>
      </c>
      <c r="E118" s="298">
        <f>SUM(E116:E117)</f>
        <v>100</v>
      </c>
      <c r="F118" s="298">
        <f>SUM(F116:F117)</f>
        <v>0</v>
      </c>
    </row>
    <row r="119" spans="1:7" ht="12.75">
      <c r="A119" s="299" t="s">
        <v>794</v>
      </c>
      <c r="B119" s="297" t="s">
        <v>261</v>
      </c>
      <c r="C119" s="298">
        <f>SUM(D119:F119)</f>
        <v>0</v>
      </c>
      <c r="D119" s="298"/>
      <c r="E119" s="298"/>
      <c r="F119" s="298"/>
    </row>
    <row r="120" spans="1:7" ht="12.75">
      <c r="A120" s="300" t="s">
        <v>795</v>
      </c>
      <c r="B120" s="301" t="s">
        <v>796</v>
      </c>
      <c r="C120" s="302">
        <f>C118+C119</f>
        <v>100</v>
      </c>
      <c r="D120" s="302">
        <f>D118+D119</f>
        <v>0</v>
      </c>
      <c r="E120" s="302">
        <f>E118+E119</f>
        <v>100</v>
      </c>
      <c r="F120" s="302">
        <f>F118+F119</f>
        <v>0</v>
      </c>
    </row>
    <row r="121" spans="1:7">
      <c r="A121" s="292" t="s">
        <v>797</v>
      </c>
      <c r="B121" s="293" t="s">
        <v>798</v>
      </c>
      <c r="C121" s="294">
        <f>SUM(D121:F121)</f>
        <v>5940</v>
      </c>
      <c r="D121" s="294">
        <v>5940</v>
      </c>
      <c r="E121" s="294"/>
      <c r="F121" s="294"/>
    </row>
    <row r="122" spans="1:7">
      <c r="A122" s="292" t="s">
        <v>799</v>
      </c>
      <c r="B122" s="293" t="s">
        <v>800</v>
      </c>
      <c r="C122" s="294">
        <f>SUM(D122:F122)</f>
        <v>10063</v>
      </c>
      <c r="D122" s="294"/>
      <c r="E122" s="294">
        <v>10063</v>
      </c>
      <c r="F122" s="294"/>
    </row>
    <row r="123" spans="1:7" ht="12.75">
      <c r="A123" s="296" t="s">
        <v>801</v>
      </c>
      <c r="B123" s="297" t="s">
        <v>802</v>
      </c>
      <c r="C123" s="298">
        <f>SUM(C121:C122)</f>
        <v>16003</v>
      </c>
      <c r="D123" s="298">
        <f>SUM(D121:D122)</f>
        <v>5940</v>
      </c>
      <c r="E123" s="298">
        <f>SUM(E121:E122)</f>
        <v>10063</v>
      </c>
      <c r="F123" s="298">
        <f>SUM(F121:F122)</f>
        <v>0</v>
      </c>
    </row>
    <row r="124" spans="1:7">
      <c r="A124" s="292" t="s">
        <v>803</v>
      </c>
      <c r="B124" s="293" t="s">
        <v>804</v>
      </c>
      <c r="C124" s="294">
        <f>SUM(D124:F124)</f>
        <v>0</v>
      </c>
      <c r="D124" s="294"/>
      <c r="E124" s="294"/>
      <c r="F124" s="294"/>
    </row>
    <row r="125" spans="1:7">
      <c r="A125" s="292" t="s">
        <v>805</v>
      </c>
      <c r="B125" s="293" t="s">
        <v>806</v>
      </c>
      <c r="C125" s="294">
        <f>SUM(D125:F125)</f>
        <v>0</v>
      </c>
      <c r="D125" s="294"/>
      <c r="E125" s="294"/>
      <c r="F125" s="294"/>
    </row>
    <row r="126" spans="1:7">
      <c r="A126" s="292" t="s">
        <v>807</v>
      </c>
      <c r="B126" s="293" t="s">
        <v>808</v>
      </c>
      <c r="C126" s="294">
        <f>SUM(D126:F126)</f>
        <v>0</v>
      </c>
      <c r="D126" s="294"/>
      <c r="E126" s="294"/>
      <c r="F126" s="294"/>
    </row>
    <row r="127" spans="1:7" ht="12.75">
      <c r="A127" s="296" t="s">
        <v>809</v>
      </c>
      <c r="B127" s="297" t="s">
        <v>810</v>
      </c>
      <c r="C127" s="298">
        <f>SUM(C124:C126)</f>
        <v>0</v>
      </c>
      <c r="D127" s="298">
        <f>SUM(D124:D126)</f>
        <v>0</v>
      </c>
      <c r="E127" s="298">
        <f>SUM(E124:E126)</f>
        <v>0</v>
      </c>
      <c r="F127" s="298">
        <f>SUM(F124:F126)</f>
        <v>0</v>
      </c>
    </row>
    <row r="128" spans="1:7">
      <c r="A128" s="292" t="s">
        <v>811</v>
      </c>
      <c r="B128" s="293" t="s">
        <v>812</v>
      </c>
      <c r="C128" s="294">
        <f>SUM(D128:F128)</f>
        <v>0</v>
      </c>
      <c r="D128" s="294"/>
      <c r="E128" s="294"/>
      <c r="F128" s="294"/>
    </row>
    <row r="129" spans="1:6">
      <c r="A129" s="292" t="s">
        <v>813</v>
      </c>
      <c r="B129" s="293" t="s">
        <v>814</v>
      </c>
      <c r="C129" s="294">
        <f>SUM(D129:F129)</f>
        <v>0</v>
      </c>
      <c r="D129" s="294"/>
      <c r="E129" s="294"/>
      <c r="F129" s="294"/>
    </row>
    <row r="130" spans="1:6">
      <c r="A130" s="292" t="s">
        <v>815</v>
      </c>
      <c r="B130" s="293" t="s">
        <v>816</v>
      </c>
      <c r="C130" s="294">
        <f>SUM(D130:F130)</f>
        <v>0</v>
      </c>
      <c r="D130" s="294"/>
      <c r="E130" s="294"/>
      <c r="F130" s="294"/>
    </row>
    <row r="131" spans="1:6">
      <c r="A131" s="292" t="s">
        <v>817</v>
      </c>
      <c r="B131" s="293" t="s">
        <v>818</v>
      </c>
      <c r="C131" s="294">
        <f>SUM(D131:F131)</f>
        <v>0</v>
      </c>
      <c r="D131" s="294"/>
      <c r="E131" s="294"/>
      <c r="F131" s="294"/>
    </row>
    <row r="132" spans="1:6" ht="12.75">
      <c r="A132" s="296" t="s">
        <v>819</v>
      </c>
      <c r="B132" s="297" t="s">
        <v>269</v>
      </c>
      <c r="C132" s="298">
        <f>SUM(C128:C131)</f>
        <v>0</v>
      </c>
      <c r="D132" s="298">
        <f>SUM(D128:D131)</f>
        <v>0</v>
      </c>
      <c r="E132" s="298">
        <f>SUM(E128:E131)</f>
        <v>0</v>
      </c>
      <c r="F132" s="298">
        <f>SUM(F128:F131)</f>
        <v>0</v>
      </c>
    </row>
    <row r="133" spans="1:6">
      <c r="A133" s="292" t="s">
        <v>820</v>
      </c>
      <c r="B133" s="293" t="s">
        <v>821</v>
      </c>
      <c r="C133" s="294">
        <f>SUM(D133:F133)</f>
        <v>0</v>
      </c>
      <c r="D133" s="294"/>
      <c r="E133" s="294"/>
      <c r="F133" s="294"/>
    </row>
    <row r="134" spans="1:6">
      <c r="A134" s="292" t="s">
        <v>822</v>
      </c>
      <c r="B134" s="293" t="s">
        <v>823</v>
      </c>
      <c r="C134" s="294">
        <f>SUM(D134:F134)</f>
        <v>0</v>
      </c>
      <c r="D134" s="294"/>
      <c r="E134" s="294"/>
      <c r="F134" s="294"/>
    </row>
    <row r="135" spans="1:6" ht="12.75">
      <c r="A135" s="296" t="s">
        <v>824</v>
      </c>
      <c r="B135" s="297" t="s">
        <v>271</v>
      </c>
      <c r="C135" s="298">
        <f>SUM(C133:C134)</f>
        <v>0</v>
      </c>
      <c r="D135" s="298">
        <f>SUM(D133:D134)</f>
        <v>0</v>
      </c>
      <c r="E135" s="298">
        <f>SUM(E133:E134)</f>
        <v>0</v>
      </c>
      <c r="F135" s="298">
        <f>SUM(F133:F134)</f>
        <v>0</v>
      </c>
    </row>
    <row r="136" spans="1:6">
      <c r="A136" s="292" t="s">
        <v>825</v>
      </c>
      <c r="B136" s="293" t="s">
        <v>826</v>
      </c>
      <c r="C136" s="294">
        <f>SUM(D136:F136)</f>
        <v>0</v>
      </c>
      <c r="D136" s="294"/>
      <c r="E136" s="294"/>
      <c r="F136" s="294"/>
    </row>
    <row r="137" spans="1:6">
      <c r="A137" s="292" t="s">
        <v>827</v>
      </c>
      <c r="B137" s="293" t="s">
        <v>828</v>
      </c>
      <c r="C137" s="294">
        <f>SUM(D137:F137)</f>
        <v>0</v>
      </c>
      <c r="D137" s="294"/>
      <c r="E137" s="294"/>
      <c r="F137" s="294"/>
    </row>
    <row r="138" spans="1:6">
      <c r="A138" s="292" t="s">
        <v>829</v>
      </c>
      <c r="B138" s="293" t="s">
        <v>830</v>
      </c>
      <c r="C138" s="294">
        <f>SUM(D138:F138)</f>
        <v>0</v>
      </c>
      <c r="D138" s="294"/>
      <c r="E138" s="294"/>
      <c r="F138" s="294"/>
    </row>
    <row r="139" spans="1:6">
      <c r="A139" s="292" t="s">
        <v>831</v>
      </c>
      <c r="B139" s="293" t="s">
        <v>832</v>
      </c>
      <c r="C139" s="294">
        <f>SUM(D139:F139)</f>
        <v>0</v>
      </c>
      <c r="D139" s="294"/>
      <c r="E139" s="294"/>
      <c r="F139" s="294"/>
    </row>
    <row r="140" spans="1:6" ht="12.75">
      <c r="A140" s="296" t="s">
        <v>833</v>
      </c>
      <c r="B140" s="297" t="s">
        <v>273</v>
      </c>
      <c r="C140" s="298">
        <f>SUM(C136:C139)</f>
        <v>0</v>
      </c>
      <c r="D140" s="298">
        <f>SUM(D136:D139)</f>
        <v>0</v>
      </c>
      <c r="E140" s="298">
        <f>SUM(E136:E139)</f>
        <v>0</v>
      </c>
      <c r="F140" s="298">
        <f>SUM(F136:F139)</f>
        <v>0</v>
      </c>
    </row>
    <row r="141" spans="1:6" ht="12.75">
      <c r="A141" s="300" t="s">
        <v>834</v>
      </c>
      <c r="B141" s="301" t="s">
        <v>275</v>
      </c>
      <c r="C141" s="302">
        <f>C123+C127+C132+C135+C140</f>
        <v>16003</v>
      </c>
      <c r="D141" s="302">
        <f>D123+D127+D132+D135+D140</f>
        <v>5940</v>
      </c>
      <c r="E141" s="302">
        <f>E123+E127+E132+E135+E140</f>
        <v>10063</v>
      </c>
      <c r="F141" s="302">
        <f>F123+F127+F132+F135+F140</f>
        <v>0</v>
      </c>
    </row>
    <row r="142" spans="1:6" ht="12.75">
      <c r="A142" s="304" t="s">
        <v>835</v>
      </c>
      <c r="B142" s="305" t="s">
        <v>277</v>
      </c>
      <c r="C142" s="306">
        <f>C81+C92+C115+C120+C141</f>
        <v>75474</v>
      </c>
      <c r="D142" s="306">
        <f>D81+D92+D115+D120+D141</f>
        <v>27940</v>
      </c>
      <c r="E142" s="306">
        <f>E81+E92+E115+E120+E141</f>
        <v>47534</v>
      </c>
      <c r="F142" s="306">
        <f>F81+F92+F115+F120+F141</f>
        <v>0</v>
      </c>
    </row>
    <row r="143" spans="1:6" ht="12.75">
      <c r="A143" s="307"/>
      <c r="B143" s="308" t="s">
        <v>836</v>
      </c>
      <c r="C143" s="309">
        <f>C54+C63+C142</f>
        <v>260026</v>
      </c>
      <c r="D143" s="309">
        <f>D54+D63+D142</f>
        <v>27940</v>
      </c>
      <c r="E143" s="309">
        <f>E54+E63+E142</f>
        <v>232086</v>
      </c>
      <c r="F143" s="309">
        <f>F54+F63+F142</f>
        <v>0</v>
      </c>
    </row>
    <row r="144" spans="1:6">
      <c r="A144" s="292" t="s">
        <v>837</v>
      </c>
      <c r="B144" s="293" t="s">
        <v>838</v>
      </c>
      <c r="C144" s="294">
        <f>SUM(D144:F144)</f>
        <v>0</v>
      </c>
      <c r="D144" s="294"/>
      <c r="E144" s="294"/>
      <c r="F144" s="294"/>
    </row>
    <row r="145" spans="1:6">
      <c r="A145" s="292" t="s">
        <v>839</v>
      </c>
      <c r="B145" s="293" t="s">
        <v>840</v>
      </c>
      <c r="C145" s="294">
        <f>SUM(D145:F145)</f>
        <v>0</v>
      </c>
      <c r="D145" s="294"/>
      <c r="E145" s="294"/>
      <c r="F145" s="294"/>
    </row>
    <row r="146" spans="1:6">
      <c r="A146" s="292" t="s">
        <v>841</v>
      </c>
      <c r="B146" s="293" t="s">
        <v>842</v>
      </c>
      <c r="C146" s="294">
        <f>SUM(D146:F146)</f>
        <v>0</v>
      </c>
      <c r="D146" s="294"/>
      <c r="E146" s="294"/>
      <c r="F146" s="294"/>
    </row>
    <row r="147" spans="1:6">
      <c r="A147" s="310" t="s">
        <v>843</v>
      </c>
      <c r="B147" s="293" t="s">
        <v>844</v>
      </c>
      <c r="C147" s="294">
        <f>SUM(D147:F147)</f>
        <v>0</v>
      </c>
      <c r="D147" s="294"/>
      <c r="E147" s="294"/>
      <c r="F147" s="294"/>
    </row>
    <row r="148" spans="1:6" ht="12.75">
      <c r="A148" s="304" t="s">
        <v>845</v>
      </c>
      <c r="B148" s="305" t="s">
        <v>846</v>
      </c>
      <c r="C148" s="306">
        <f>SUM(C144:C147)</f>
        <v>0</v>
      </c>
      <c r="D148" s="306">
        <f>SUM(D144:D147)</f>
        <v>0</v>
      </c>
      <c r="E148" s="306">
        <f>SUM(E144:E147)</f>
        <v>0</v>
      </c>
      <c r="F148" s="306">
        <f>SUM(F144:F147)</f>
        <v>0</v>
      </c>
    </row>
    <row r="149" spans="1:6">
      <c r="A149" s="292" t="s">
        <v>847</v>
      </c>
      <c r="B149" s="293" t="s">
        <v>848</v>
      </c>
      <c r="C149" s="294">
        <f>SUM(D149:F149)</f>
        <v>0</v>
      </c>
      <c r="D149" s="294"/>
      <c r="E149" s="294"/>
      <c r="F149" s="294"/>
    </row>
    <row r="150" spans="1:6">
      <c r="A150" s="292" t="s">
        <v>849</v>
      </c>
      <c r="B150" s="293" t="s">
        <v>850</v>
      </c>
      <c r="C150" s="294">
        <f>SUM(D150:F150)</f>
        <v>0</v>
      </c>
      <c r="D150" s="294"/>
      <c r="E150" s="294"/>
      <c r="F150" s="294"/>
    </row>
    <row r="151" spans="1:6">
      <c r="A151" s="292" t="s">
        <v>851</v>
      </c>
      <c r="B151" s="293" t="s">
        <v>852</v>
      </c>
      <c r="C151" s="294">
        <f>SUM(D151:F151)</f>
        <v>0</v>
      </c>
      <c r="D151" s="294"/>
      <c r="E151" s="294"/>
      <c r="F151" s="294"/>
    </row>
    <row r="152" spans="1:6">
      <c r="A152" s="310" t="s">
        <v>853</v>
      </c>
      <c r="B152" s="293" t="s">
        <v>854</v>
      </c>
      <c r="C152" s="294">
        <f>SUM(D152:F152)</f>
        <v>0</v>
      </c>
      <c r="D152" s="294"/>
      <c r="E152" s="294"/>
      <c r="F152" s="294"/>
    </row>
    <row r="153" spans="1:6" ht="12.75">
      <c r="A153" s="304" t="s">
        <v>855</v>
      </c>
      <c r="B153" s="305" t="s">
        <v>856</v>
      </c>
      <c r="C153" s="306">
        <f>SUM(C149:C152)</f>
        <v>0</v>
      </c>
      <c r="D153" s="306">
        <f>SUM(D149:D152)</f>
        <v>0</v>
      </c>
      <c r="E153" s="306">
        <f>SUM(E149:E152)</f>
        <v>0</v>
      </c>
      <c r="F153" s="306">
        <f>SUM(F149:F152)</f>
        <v>0</v>
      </c>
    </row>
    <row r="154" spans="1:6" ht="12.75">
      <c r="A154" s="307"/>
      <c r="B154" s="308" t="s">
        <v>857</v>
      </c>
      <c r="C154" s="309">
        <f>C148+C153</f>
        <v>0</v>
      </c>
      <c r="D154" s="309">
        <f>D148+D153</f>
        <v>0</v>
      </c>
      <c r="E154" s="309">
        <f>E148+E153</f>
        <v>0</v>
      </c>
      <c r="F154" s="309">
        <f>F148+F153</f>
        <v>0</v>
      </c>
    </row>
    <row r="155" spans="1:6" ht="12.75">
      <c r="A155" s="311"/>
      <c r="B155" s="312" t="s">
        <v>858</v>
      </c>
      <c r="C155" s="313">
        <f>C143+C154</f>
        <v>260026</v>
      </c>
      <c r="D155" s="313">
        <f>D143+D154</f>
        <v>27940</v>
      </c>
      <c r="E155" s="313">
        <f>E143+E154</f>
        <v>232086</v>
      </c>
      <c r="F155" s="313">
        <f>F143+F154</f>
        <v>0</v>
      </c>
    </row>
  </sheetData>
  <printOptions horizontalCentered="1"/>
  <pageMargins left="0.78749999999999998" right="0.78749999999999998" top="0.78749999999999998" bottom="0.78749999999999998" header="0.118055555555556" footer="0.118055555555556"/>
  <pageSetup paperSize="0" scale="0" fitToWidth="2" fitToHeight="4" orientation="portrait" usePrinterDefaults="0" useFirstPageNumber="1" horizontalDpi="0" verticalDpi="0" copies="0"/>
  <headerFooter>
    <oddHeader>&amp;C&amp;12Törökbálinti Bóbita Óvoda
2014. évi költségvetés tervezése</oddHeader>
    <oddFooter>&amp;Coldal: &amp;P/&amp;N
exportálva: 2014-01-04 10:35 (210 MP)</oddFooter>
  </headerFooter>
  <colBreaks count="3" manualBreakCount="3">
    <brk id="3" man="1"/>
    <brk id="4" man="1"/>
    <brk id="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>
  <dimension ref="A1:G155"/>
  <sheetViews>
    <sheetView topLeftCell="A28" zoomScaleNormal="100" zoomScaleSheetLayoutView="100" workbookViewId="0">
      <selection activeCell="E145" sqref="E145"/>
    </sheetView>
  </sheetViews>
  <sheetFormatPr defaultColWidth="11.5703125" defaultRowHeight="12.75"/>
  <cols>
    <col min="1" max="1" width="6.28515625" style="289" bestFit="1" customWidth="1"/>
    <col min="2" max="2" width="13.5703125" style="280" bestFit="1" customWidth="1"/>
    <col min="3" max="3" width="42.28515625" style="133" customWidth="1"/>
    <col min="4" max="7" width="12.5703125" style="133" customWidth="1"/>
    <col min="8" max="16384" width="11.5703125" style="133"/>
  </cols>
  <sheetData>
    <row r="1" spans="1:7" s="258" customFormat="1" ht="25.5">
      <c r="A1" s="129" t="s">
        <v>859</v>
      </c>
      <c r="B1" s="129" t="s">
        <v>549</v>
      </c>
      <c r="C1" s="129" t="s">
        <v>58</v>
      </c>
      <c r="D1" s="129" t="s">
        <v>216</v>
      </c>
      <c r="E1" s="129" t="s">
        <v>1397</v>
      </c>
      <c r="F1" s="129" t="s">
        <v>1398</v>
      </c>
      <c r="G1" s="129" t="s">
        <v>552</v>
      </c>
    </row>
    <row r="2" spans="1:7">
      <c r="A2" s="281"/>
      <c r="B2" s="259" t="s">
        <v>553</v>
      </c>
      <c r="C2" s="260" t="s">
        <v>554</v>
      </c>
      <c r="D2" s="253">
        <f>SUM(E2:G2)</f>
        <v>73714</v>
      </c>
      <c r="E2" s="253">
        <v>73714</v>
      </c>
      <c r="F2" s="253"/>
      <c r="G2" s="253"/>
    </row>
    <row r="3" spans="1:7">
      <c r="A3" s="281"/>
      <c r="B3" s="259" t="s">
        <v>555</v>
      </c>
      <c r="C3" s="260" t="s">
        <v>556</v>
      </c>
      <c r="D3" s="253">
        <f t="shared" ref="D3:D51" si="0">SUM(E3:G3)</f>
        <v>0</v>
      </c>
      <c r="E3" s="253"/>
      <c r="F3" s="253"/>
      <c r="G3" s="253"/>
    </row>
    <row r="4" spans="1:7">
      <c r="A4" s="281"/>
      <c r="B4" s="259" t="s">
        <v>557</v>
      </c>
      <c r="C4" s="260" t="s">
        <v>558</v>
      </c>
      <c r="D4" s="253">
        <f t="shared" si="0"/>
        <v>0</v>
      </c>
      <c r="E4" s="253"/>
      <c r="F4" s="253"/>
      <c r="G4" s="253"/>
    </row>
    <row r="5" spans="1:7">
      <c r="A5" s="281"/>
      <c r="B5" s="259" t="s">
        <v>559</v>
      </c>
      <c r="C5" s="260" t="s">
        <v>560</v>
      </c>
      <c r="D5" s="253">
        <f t="shared" si="0"/>
        <v>1628</v>
      </c>
      <c r="E5" s="253">
        <v>1628</v>
      </c>
      <c r="F5" s="253"/>
      <c r="G5" s="253"/>
    </row>
    <row r="6" spans="1:7">
      <c r="A6" s="281"/>
      <c r="B6" s="259" t="s">
        <v>561</v>
      </c>
      <c r="C6" s="260" t="s">
        <v>562</v>
      </c>
      <c r="D6" s="253">
        <f t="shared" si="0"/>
        <v>0</v>
      </c>
      <c r="E6" s="253"/>
      <c r="F6" s="253"/>
      <c r="G6" s="253"/>
    </row>
    <row r="7" spans="1:7">
      <c r="A7" s="281"/>
      <c r="B7" s="259" t="s">
        <v>563</v>
      </c>
      <c r="C7" s="260" t="s">
        <v>564</v>
      </c>
      <c r="D7" s="253">
        <f t="shared" si="0"/>
        <v>0</v>
      </c>
      <c r="E7" s="253"/>
      <c r="F7" s="253"/>
      <c r="G7" s="253"/>
    </row>
    <row r="8" spans="1:7">
      <c r="A8" s="282" t="s">
        <v>860</v>
      </c>
      <c r="B8" s="262" t="s">
        <v>565</v>
      </c>
      <c r="C8" s="263" t="s">
        <v>566</v>
      </c>
      <c r="D8" s="254">
        <f>SUM(D2:D7)</f>
        <v>75342</v>
      </c>
      <c r="E8" s="254">
        <f t="shared" ref="E8:G8" si="1">SUM(E2:E7)</f>
        <v>75342</v>
      </c>
      <c r="F8" s="254">
        <f t="shared" si="1"/>
        <v>0</v>
      </c>
      <c r="G8" s="254">
        <f t="shared" si="1"/>
        <v>0</v>
      </c>
    </row>
    <row r="9" spans="1:7">
      <c r="A9" s="283" t="s">
        <v>861</v>
      </c>
      <c r="B9" s="264" t="s">
        <v>567</v>
      </c>
      <c r="C9" s="263" t="s">
        <v>568</v>
      </c>
      <c r="D9" s="254">
        <f t="shared" si="0"/>
        <v>0</v>
      </c>
      <c r="E9" s="254"/>
      <c r="F9" s="254"/>
      <c r="G9" s="254"/>
    </row>
    <row r="10" spans="1:7">
      <c r="A10" s="283" t="s">
        <v>862</v>
      </c>
      <c r="B10" s="264" t="s">
        <v>569</v>
      </c>
      <c r="C10" s="263" t="s">
        <v>570</v>
      </c>
      <c r="D10" s="254">
        <f t="shared" si="0"/>
        <v>0</v>
      </c>
      <c r="E10" s="254"/>
      <c r="F10" s="254"/>
      <c r="G10" s="254"/>
    </row>
    <row r="11" spans="1:7">
      <c r="A11" s="281"/>
      <c r="B11" s="259" t="s">
        <v>571</v>
      </c>
      <c r="C11" s="260" t="s">
        <v>572</v>
      </c>
      <c r="D11" s="253">
        <f t="shared" si="0"/>
        <v>0</v>
      </c>
      <c r="E11" s="253"/>
      <c r="F11" s="253"/>
      <c r="G11" s="253"/>
    </row>
    <row r="12" spans="1:7">
      <c r="A12" s="281"/>
      <c r="B12" s="259" t="s">
        <v>573</v>
      </c>
      <c r="C12" s="260" t="s">
        <v>574</v>
      </c>
      <c r="D12" s="253">
        <f t="shared" si="0"/>
        <v>1550</v>
      </c>
      <c r="E12" s="253">
        <v>1550</v>
      </c>
      <c r="F12" s="253"/>
      <c r="G12" s="253"/>
    </row>
    <row r="13" spans="1:7">
      <c r="A13" s="282" t="s">
        <v>863</v>
      </c>
      <c r="B13" s="262" t="s">
        <v>575</v>
      </c>
      <c r="C13" s="263" t="s">
        <v>576</v>
      </c>
      <c r="D13" s="254">
        <f>SUM(D11:D12)</f>
        <v>1550</v>
      </c>
      <c r="E13" s="254">
        <f t="shared" ref="E13:G13" si="2">SUM(E11:E12)</f>
        <v>1550</v>
      </c>
      <c r="F13" s="254">
        <f t="shared" si="2"/>
        <v>0</v>
      </c>
      <c r="G13" s="254">
        <f t="shared" si="2"/>
        <v>0</v>
      </c>
    </row>
    <row r="14" spans="1:7">
      <c r="A14" s="283" t="s">
        <v>864</v>
      </c>
      <c r="B14" s="264" t="s">
        <v>577</v>
      </c>
      <c r="C14" s="263" t="s">
        <v>578</v>
      </c>
      <c r="D14" s="254">
        <f t="shared" si="0"/>
        <v>0</v>
      </c>
      <c r="E14" s="254"/>
      <c r="F14" s="254"/>
      <c r="G14" s="254"/>
    </row>
    <row r="15" spans="1:7">
      <c r="A15" s="283" t="s">
        <v>865</v>
      </c>
      <c r="B15" s="264" t="s">
        <v>579</v>
      </c>
      <c r="C15" s="263" t="s">
        <v>580</v>
      </c>
      <c r="D15" s="254">
        <f t="shared" si="0"/>
        <v>0</v>
      </c>
      <c r="E15" s="254"/>
      <c r="F15" s="254"/>
      <c r="G15" s="254"/>
    </row>
    <row r="16" spans="1:7">
      <c r="A16" s="281"/>
      <c r="B16" s="259" t="s">
        <v>582</v>
      </c>
      <c r="C16" s="260" t="s">
        <v>583</v>
      </c>
      <c r="D16" s="253">
        <f t="shared" si="0"/>
        <v>0</v>
      </c>
      <c r="E16" s="253"/>
      <c r="F16" s="253"/>
      <c r="G16" s="253"/>
    </row>
    <row r="17" spans="1:7">
      <c r="A17" s="281"/>
      <c r="B17" s="259" t="s">
        <v>584</v>
      </c>
      <c r="C17" s="260" t="s">
        <v>585</v>
      </c>
      <c r="D17" s="253">
        <f t="shared" si="0"/>
        <v>0</v>
      </c>
      <c r="E17" s="253"/>
      <c r="F17" s="253"/>
      <c r="G17" s="253"/>
    </row>
    <row r="18" spans="1:7">
      <c r="A18" s="281"/>
      <c r="B18" s="259" t="s">
        <v>586</v>
      </c>
      <c r="C18" s="260" t="s">
        <v>587</v>
      </c>
      <c r="D18" s="253">
        <f t="shared" si="0"/>
        <v>2976</v>
      </c>
      <c r="E18" s="253">
        <v>2976</v>
      </c>
      <c r="F18" s="253"/>
      <c r="G18" s="253"/>
    </row>
    <row r="19" spans="1:7">
      <c r="A19" s="281"/>
      <c r="B19" s="259" t="s">
        <v>588</v>
      </c>
      <c r="C19" s="260" t="s">
        <v>589</v>
      </c>
      <c r="D19" s="253">
        <f t="shared" si="0"/>
        <v>0</v>
      </c>
      <c r="E19" s="253"/>
      <c r="F19" s="253"/>
      <c r="G19" s="253"/>
    </row>
    <row r="20" spans="1:7">
      <c r="A20" s="281"/>
      <c r="B20" s="259" t="s">
        <v>590</v>
      </c>
      <c r="C20" s="260" t="s">
        <v>591</v>
      </c>
      <c r="D20" s="253">
        <f t="shared" si="0"/>
        <v>0</v>
      </c>
      <c r="E20" s="253"/>
      <c r="F20" s="253"/>
      <c r="G20" s="253"/>
    </row>
    <row r="21" spans="1:7">
      <c r="A21" s="281"/>
      <c r="B21" s="259" t="s">
        <v>592</v>
      </c>
      <c r="C21" s="260" t="s">
        <v>593</v>
      </c>
      <c r="D21" s="253">
        <f t="shared" si="0"/>
        <v>0</v>
      </c>
      <c r="E21" s="253"/>
      <c r="F21" s="253"/>
      <c r="G21" s="253"/>
    </row>
    <row r="22" spans="1:7">
      <c r="A22" s="281"/>
      <c r="B22" s="259" t="s">
        <v>594</v>
      </c>
      <c r="C22" s="260" t="s">
        <v>595</v>
      </c>
      <c r="D22" s="253">
        <f t="shared" si="0"/>
        <v>0</v>
      </c>
      <c r="E22" s="253"/>
      <c r="F22" s="253"/>
      <c r="G22" s="253"/>
    </row>
    <row r="23" spans="1:7">
      <c r="A23" s="282" t="s">
        <v>866</v>
      </c>
      <c r="B23" s="262" t="s">
        <v>596</v>
      </c>
      <c r="C23" s="263" t="s">
        <v>597</v>
      </c>
      <c r="D23" s="254">
        <f>SUM(D16:D22)</f>
        <v>2976</v>
      </c>
      <c r="E23" s="254">
        <f t="shared" ref="E23:G23" si="3">SUM(E16:E22)</f>
        <v>2976</v>
      </c>
      <c r="F23" s="254">
        <f t="shared" si="3"/>
        <v>0</v>
      </c>
      <c r="G23" s="254">
        <f t="shared" si="3"/>
        <v>0</v>
      </c>
    </row>
    <row r="24" spans="1:7">
      <c r="A24" s="283" t="s">
        <v>867</v>
      </c>
      <c r="B24" s="264" t="s">
        <v>598</v>
      </c>
      <c r="C24" s="263" t="s">
        <v>599</v>
      </c>
      <c r="D24" s="254">
        <f t="shared" si="0"/>
        <v>0</v>
      </c>
      <c r="E24" s="254"/>
      <c r="F24" s="254"/>
      <c r="G24" s="254"/>
    </row>
    <row r="25" spans="1:7">
      <c r="A25" s="283" t="s">
        <v>868</v>
      </c>
      <c r="B25" s="264" t="s">
        <v>600</v>
      </c>
      <c r="C25" s="263" t="s">
        <v>601</v>
      </c>
      <c r="D25" s="254">
        <f t="shared" si="0"/>
        <v>468</v>
      </c>
      <c r="E25" s="254">
        <v>468</v>
      </c>
      <c r="F25" s="254"/>
      <c r="G25" s="254"/>
    </row>
    <row r="26" spans="1:7">
      <c r="A26" s="283" t="s">
        <v>869</v>
      </c>
      <c r="B26" s="264" t="s">
        <v>603</v>
      </c>
      <c r="C26" s="263" t="s">
        <v>604</v>
      </c>
      <c r="D26" s="254">
        <f t="shared" si="0"/>
        <v>350</v>
      </c>
      <c r="E26" s="254">
        <v>350</v>
      </c>
      <c r="F26" s="254"/>
      <c r="G26" s="254"/>
    </row>
    <row r="27" spans="1:7">
      <c r="A27" s="281"/>
      <c r="B27" s="259" t="s">
        <v>605</v>
      </c>
      <c r="C27" s="260" t="s">
        <v>606</v>
      </c>
      <c r="D27" s="253">
        <f t="shared" si="0"/>
        <v>0</v>
      </c>
      <c r="E27" s="253"/>
      <c r="F27" s="253"/>
      <c r="G27" s="253"/>
    </row>
    <row r="28" spans="1:7">
      <c r="A28" s="281"/>
      <c r="B28" s="259" t="s">
        <v>607</v>
      </c>
      <c r="C28" s="260" t="s">
        <v>608</v>
      </c>
      <c r="D28" s="253">
        <f t="shared" si="0"/>
        <v>0</v>
      </c>
      <c r="E28" s="253"/>
      <c r="F28" s="253"/>
      <c r="G28" s="253"/>
    </row>
    <row r="29" spans="1:7">
      <c r="A29" s="282" t="s">
        <v>870</v>
      </c>
      <c r="B29" s="262" t="s">
        <v>609</v>
      </c>
      <c r="C29" s="263" t="s">
        <v>610</v>
      </c>
      <c r="D29" s="254">
        <f>SUM(D27:D28)</f>
        <v>0</v>
      </c>
      <c r="E29" s="254">
        <f t="shared" ref="E29:G29" si="4">SUM(E27:E28)</f>
        <v>0</v>
      </c>
      <c r="F29" s="254">
        <f t="shared" si="4"/>
        <v>0</v>
      </c>
      <c r="G29" s="254">
        <f t="shared" si="4"/>
        <v>0</v>
      </c>
    </row>
    <row r="30" spans="1:7">
      <c r="A30" s="283" t="s">
        <v>871</v>
      </c>
      <c r="B30" s="264" t="s">
        <v>611</v>
      </c>
      <c r="C30" s="263" t="s">
        <v>612</v>
      </c>
      <c r="D30" s="254">
        <f t="shared" si="0"/>
        <v>377</v>
      </c>
      <c r="E30" s="254">
        <v>377</v>
      </c>
      <c r="F30" s="254"/>
      <c r="G30" s="254"/>
    </row>
    <row r="31" spans="1:7">
      <c r="A31" s="281"/>
      <c r="B31" s="259" t="s">
        <v>613</v>
      </c>
      <c r="C31" s="260" t="s">
        <v>614</v>
      </c>
      <c r="D31" s="253">
        <f t="shared" si="0"/>
        <v>0</v>
      </c>
      <c r="E31" s="253"/>
      <c r="F31" s="253"/>
      <c r="G31" s="253"/>
    </row>
    <row r="32" spans="1:7">
      <c r="A32" s="281"/>
      <c r="B32" s="259" t="s">
        <v>615</v>
      </c>
      <c r="C32" s="260" t="s">
        <v>616</v>
      </c>
      <c r="D32" s="253">
        <f t="shared" si="0"/>
        <v>0</v>
      </c>
      <c r="E32" s="253"/>
      <c r="F32" s="253"/>
      <c r="G32" s="253"/>
    </row>
    <row r="33" spans="1:7">
      <c r="A33" s="281"/>
      <c r="B33" s="259" t="s">
        <v>617</v>
      </c>
      <c r="C33" s="260" t="s">
        <v>618</v>
      </c>
      <c r="D33" s="253">
        <f t="shared" si="0"/>
        <v>0</v>
      </c>
      <c r="E33" s="253"/>
      <c r="F33" s="253"/>
      <c r="G33" s="253"/>
    </row>
    <row r="34" spans="1:7">
      <c r="A34" s="281"/>
      <c r="B34" s="259" t="s">
        <v>619</v>
      </c>
      <c r="C34" s="260" t="s">
        <v>620</v>
      </c>
      <c r="D34" s="253">
        <f t="shared" si="0"/>
        <v>0</v>
      </c>
      <c r="E34" s="253"/>
      <c r="F34" s="253"/>
      <c r="G34" s="253"/>
    </row>
    <row r="35" spans="1:7">
      <c r="A35" s="281"/>
      <c r="B35" s="259" t="s">
        <v>621</v>
      </c>
      <c r="C35" s="260" t="s">
        <v>622</v>
      </c>
      <c r="D35" s="253">
        <f t="shared" si="0"/>
        <v>0</v>
      </c>
      <c r="E35" s="253"/>
      <c r="F35" s="253"/>
      <c r="G35" s="253"/>
    </row>
    <row r="36" spans="1:7">
      <c r="A36" s="281"/>
      <c r="B36" s="259" t="s">
        <v>623</v>
      </c>
      <c r="C36" s="260" t="s">
        <v>624</v>
      </c>
      <c r="D36" s="253">
        <f t="shared" si="0"/>
        <v>0</v>
      </c>
      <c r="E36" s="253"/>
      <c r="F36" s="253"/>
      <c r="G36" s="253"/>
    </row>
    <row r="37" spans="1:7">
      <c r="A37" s="282" t="s">
        <v>872</v>
      </c>
      <c r="B37" s="262" t="s">
        <v>625</v>
      </c>
      <c r="C37" s="263" t="s">
        <v>626</v>
      </c>
      <c r="D37" s="254">
        <f>SUM(D31:D36)</f>
        <v>0</v>
      </c>
      <c r="E37" s="254">
        <f t="shared" ref="E37:G37" si="5">SUM(E31:E36)</f>
        <v>0</v>
      </c>
      <c r="F37" s="254">
        <f t="shared" si="5"/>
        <v>0</v>
      </c>
      <c r="G37" s="254">
        <f t="shared" si="5"/>
        <v>0</v>
      </c>
    </row>
    <row r="38" spans="1:7">
      <c r="A38" s="284" t="s">
        <v>873</v>
      </c>
      <c r="B38" s="267" t="s">
        <v>627</v>
      </c>
      <c r="C38" s="268" t="s">
        <v>628</v>
      </c>
      <c r="D38" s="255">
        <f>D8+D9+D10+D13+D14+D15+D23+D24+D25+D26+D29+D30+D37</f>
        <v>81063</v>
      </c>
      <c r="E38" s="255">
        <f t="shared" ref="E38:G38" si="6">E8+E9+E10+E13+E14+E15+E23+E24+E25+E26+E29+E30+E37</f>
        <v>81063</v>
      </c>
      <c r="F38" s="255">
        <f t="shared" si="6"/>
        <v>0</v>
      </c>
      <c r="G38" s="255">
        <f t="shared" si="6"/>
        <v>0</v>
      </c>
    </row>
    <row r="39" spans="1:7">
      <c r="A39" s="281"/>
      <c r="B39" s="259" t="s">
        <v>629</v>
      </c>
      <c r="C39" s="260" t="s">
        <v>630</v>
      </c>
      <c r="D39" s="253">
        <f t="shared" si="0"/>
        <v>0</v>
      </c>
      <c r="E39" s="253"/>
      <c r="F39" s="253"/>
      <c r="G39" s="253"/>
    </row>
    <row r="40" spans="1:7">
      <c r="A40" s="281"/>
      <c r="B40" s="259" t="s">
        <v>631</v>
      </c>
      <c r="C40" s="260" t="s">
        <v>632</v>
      </c>
      <c r="D40" s="253">
        <f t="shared" si="0"/>
        <v>0</v>
      </c>
      <c r="E40" s="253"/>
      <c r="F40" s="253"/>
      <c r="G40" s="253"/>
    </row>
    <row r="41" spans="1:7">
      <c r="A41" s="282" t="s">
        <v>874</v>
      </c>
      <c r="B41" s="262" t="s">
        <v>633</v>
      </c>
      <c r="C41" s="263" t="s">
        <v>634</v>
      </c>
      <c r="D41" s="254">
        <f>SUM(D39:D40)</f>
        <v>0</v>
      </c>
      <c r="E41" s="254">
        <f t="shared" ref="E41:G41" si="7">SUM(E39:E40)</f>
        <v>0</v>
      </c>
      <c r="F41" s="254">
        <f t="shared" si="7"/>
        <v>0</v>
      </c>
      <c r="G41" s="254">
        <f t="shared" si="7"/>
        <v>0</v>
      </c>
    </row>
    <row r="42" spans="1:7">
      <c r="A42" s="281"/>
      <c r="B42" s="259" t="s">
        <v>635</v>
      </c>
      <c r="C42" s="260" t="s">
        <v>636</v>
      </c>
      <c r="D42" s="253">
        <f t="shared" si="0"/>
        <v>355</v>
      </c>
      <c r="E42" s="253">
        <v>355</v>
      </c>
      <c r="F42" s="253"/>
      <c r="G42" s="253"/>
    </row>
    <row r="43" spans="1:7">
      <c r="A43" s="281"/>
      <c r="B43" s="259" t="s">
        <v>638</v>
      </c>
      <c r="C43" s="260" t="s">
        <v>639</v>
      </c>
      <c r="D43" s="253">
        <f t="shared" si="0"/>
        <v>0</v>
      </c>
      <c r="E43" s="253"/>
      <c r="F43" s="253"/>
      <c r="G43" s="253"/>
    </row>
    <row r="44" spans="1:7">
      <c r="A44" s="282" t="s">
        <v>875</v>
      </c>
      <c r="B44" s="262" t="s">
        <v>640</v>
      </c>
      <c r="C44" s="263" t="s">
        <v>641</v>
      </c>
      <c r="D44" s="254">
        <f>SUM(D42:D43)</f>
        <v>355</v>
      </c>
      <c r="E44" s="254">
        <f t="shared" ref="E44:G44" si="8">SUM(E42:E43)</f>
        <v>355</v>
      </c>
      <c r="F44" s="254">
        <f t="shared" si="8"/>
        <v>0</v>
      </c>
      <c r="G44" s="254">
        <f t="shared" si="8"/>
        <v>0</v>
      </c>
    </row>
    <row r="45" spans="1:7">
      <c r="A45" s="281"/>
      <c r="B45" s="259" t="s">
        <v>642</v>
      </c>
      <c r="C45" s="260" t="s">
        <v>643</v>
      </c>
      <c r="D45" s="253">
        <f t="shared" si="0"/>
        <v>0</v>
      </c>
      <c r="E45" s="253"/>
      <c r="F45" s="253"/>
      <c r="G45" s="253"/>
    </row>
    <row r="46" spans="1:7">
      <c r="A46" s="281"/>
      <c r="B46" s="259" t="s">
        <v>644</v>
      </c>
      <c r="C46" s="260" t="s">
        <v>645</v>
      </c>
      <c r="D46" s="253">
        <f t="shared" si="0"/>
        <v>0</v>
      </c>
      <c r="E46" s="253"/>
      <c r="F46" s="253"/>
      <c r="G46" s="253"/>
    </row>
    <row r="47" spans="1:7">
      <c r="A47" s="281"/>
      <c r="B47" s="259" t="s">
        <v>646</v>
      </c>
      <c r="C47" s="260" t="s">
        <v>647</v>
      </c>
      <c r="D47" s="253">
        <f t="shared" si="0"/>
        <v>0</v>
      </c>
      <c r="E47" s="253"/>
      <c r="F47" s="253"/>
      <c r="G47" s="253"/>
    </row>
    <row r="48" spans="1:7">
      <c r="A48" s="281"/>
      <c r="B48" s="259" t="s">
        <v>648</v>
      </c>
      <c r="C48" s="260" t="s">
        <v>649</v>
      </c>
      <c r="D48" s="253">
        <f t="shared" si="0"/>
        <v>472</v>
      </c>
      <c r="E48" s="253">
        <v>472</v>
      </c>
      <c r="F48" s="253"/>
      <c r="G48" s="253"/>
    </row>
    <row r="49" spans="1:7">
      <c r="A49" s="281"/>
      <c r="B49" s="259" t="s">
        <v>650</v>
      </c>
      <c r="C49" s="260" t="s">
        <v>651</v>
      </c>
      <c r="D49" s="253">
        <f t="shared" si="0"/>
        <v>0</v>
      </c>
      <c r="E49" s="253"/>
      <c r="F49" s="253"/>
      <c r="G49" s="253"/>
    </row>
    <row r="50" spans="1:7">
      <c r="A50" s="281"/>
      <c r="B50" s="259" t="s">
        <v>652</v>
      </c>
      <c r="C50" s="260" t="s">
        <v>653</v>
      </c>
      <c r="D50" s="253">
        <f t="shared" si="0"/>
        <v>70</v>
      </c>
      <c r="E50" s="253">
        <v>70</v>
      </c>
      <c r="F50" s="253"/>
      <c r="G50" s="253"/>
    </row>
    <row r="51" spans="1:7">
      <c r="A51" s="281"/>
      <c r="B51" s="259" t="s">
        <v>655</v>
      </c>
      <c r="C51" s="260" t="s">
        <v>656</v>
      </c>
      <c r="D51" s="253">
        <f t="shared" si="0"/>
        <v>0</v>
      </c>
      <c r="E51" s="253"/>
      <c r="F51" s="253"/>
      <c r="G51" s="253"/>
    </row>
    <row r="52" spans="1:7">
      <c r="A52" s="282" t="s">
        <v>876</v>
      </c>
      <c r="B52" s="262" t="s">
        <v>657</v>
      </c>
      <c r="C52" s="263" t="s">
        <v>658</v>
      </c>
      <c r="D52" s="254">
        <f>SUM(D45:D51)</f>
        <v>542</v>
      </c>
      <c r="E52" s="254">
        <f t="shared" ref="E52:G52" si="9">SUM(E45:E51)</f>
        <v>542</v>
      </c>
      <c r="F52" s="254">
        <f t="shared" si="9"/>
        <v>0</v>
      </c>
      <c r="G52" s="254">
        <f t="shared" si="9"/>
        <v>0</v>
      </c>
    </row>
    <row r="53" spans="1:7" s="269" customFormat="1">
      <c r="A53" s="284" t="s">
        <v>877</v>
      </c>
      <c r="B53" s="267" t="s">
        <v>659</v>
      </c>
      <c r="C53" s="268" t="s">
        <v>660</v>
      </c>
      <c r="D53" s="255">
        <f>D41+D44+D52</f>
        <v>897</v>
      </c>
      <c r="E53" s="255">
        <f t="shared" ref="E53:G53" si="10">E41+E44+E52</f>
        <v>897</v>
      </c>
      <c r="F53" s="255">
        <f t="shared" si="10"/>
        <v>0</v>
      </c>
      <c r="G53" s="255">
        <f t="shared" si="10"/>
        <v>0</v>
      </c>
    </row>
    <row r="54" spans="1:7" s="269" customFormat="1">
      <c r="A54" s="285" t="s">
        <v>878</v>
      </c>
      <c r="B54" s="270" t="s">
        <v>661</v>
      </c>
      <c r="C54" s="271" t="s">
        <v>662</v>
      </c>
      <c r="D54" s="272">
        <f>D38+D53</f>
        <v>81960</v>
      </c>
      <c r="E54" s="272">
        <f t="shared" ref="E54:G54" si="11">E38+E53</f>
        <v>81960</v>
      </c>
      <c r="F54" s="272">
        <f t="shared" si="11"/>
        <v>0</v>
      </c>
      <c r="G54" s="272">
        <f t="shared" si="11"/>
        <v>0</v>
      </c>
    </row>
    <row r="55" spans="1:7">
      <c r="A55" s="281"/>
      <c r="B55" s="259" t="s">
        <v>663</v>
      </c>
      <c r="C55" s="260" t="s">
        <v>664</v>
      </c>
      <c r="D55" s="253">
        <f t="shared" ref="D55:D62" si="12">SUM(E55:G55)</f>
        <v>21046</v>
      </c>
      <c r="E55" s="253">
        <v>21046</v>
      </c>
      <c r="F55" s="253"/>
      <c r="G55" s="253"/>
    </row>
    <row r="56" spans="1:7">
      <c r="A56" s="281"/>
      <c r="B56" s="259" t="s">
        <v>665</v>
      </c>
      <c r="C56" s="260" t="s">
        <v>666</v>
      </c>
      <c r="D56" s="253">
        <f t="shared" si="12"/>
        <v>0</v>
      </c>
      <c r="E56" s="253"/>
      <c r="F56" s="253"/>
      <c r="G56" s="253"/>
    </row>
    <row r="57" spans="1:7">
      <c r="A57" s="281"/>
      <c r="B57" s="259" t="s">
        <v>667</v>
      </c>
      <c r="C57" s="260" t="s">
        <v>668</v>
      </c>
      <c r="D57" s="253">
        <f t="shared" si="12"/>
        <v>518</v>
      </c>
      <c r="E57" s="253">
        <v>518</v>
      </c>
      <c r="F57" s="253"/>
      <c r="G57" s="253"/>
    </row>
    <row r="58" spans="1:7">
      <c r="A58" s="281"/>
      <c r="B58" s="259" t="s">
        <v>669</v>
      </c>
      <c r="C58" s="260" t="s">
        <v>670</v>
      </c>
      <c r="D58" s="253">
        <f t="shared" si="12"/>
        <v>0</v>
      </c>
      <c r="E58" s="253"/>
      <c r="F58" s="253"/>
      <c r="G58" s="253"/>
    </row>
    <row r="59" spans="1:7">
      <c r="A59" s="281"/>
      <c r="B59" s="259" t="s">
        <v>671</v>
      </c>
      <c r="C59" s="260" t="s">
        <v>672</v>
      </c>
      <c r="D59" s="253">
        <f t="shared" si="12"/>
        <v>0</v>
      </c>
      <c r="E59" s="253"/>
      <c r="F59" s="253"/>
      <c r="G59" s="253"/>
    </row>
    <row r="60" spans="1:7">
      <c r="A60" s="281"/>
      <c r="B60" s="259" t="s">
        <v>673</v>
      </c>
      <c r="C60" s="260" t="s">
        <v>674</v>
      </c>
      <c r="D60" s="253">
        <f t="shared" si="12"/>
        <v>1929</v>
      </c>
      <c r="E60" s="253">
        <v>1929</v>
      </c>
      <c r="F60" s="253"/>
      <c r="G60" s="253"/>
    </row>
    <row r="61" spans="1:7">
      <c r="A61" s="281"/>
      <c r="B61" s="259" t="s">
        <v>675</v>
      </c>
      <c r="C61" s="260" t="s">
        <v>676</v>
      </c>
      <c r="D61" s="253">
        <f t="shared" si="12"/>
        <v>580</v>
      </c>
      <c r="E61" s="253">
        <v>580</v>
      </c>
      <c r="F61" s="253"/>
      <c r="G61" s="253"/>
    </row>
    <row r="62" spans="1:7">
      <c r="A62" s="281"/>
      <c r="B62" s="259" t="s">
        <v>677</v>
      </c>
      <c r="C62" s="260" t="s">
        <v>678</v>
      </c>
      <c r="D62" s="253">
        <f t="shared" si="12"/>
        <v>0</v>
      </c>
      <c r="E62" s="253"/>
      <c r="F62" s="253"/>
      <c r="G62" s="253"/>
    </row>
    <row r="63" spans="1:7">
      <c r="A63" s="285" t="s">
        <v>879</v>
      </c>
      <c r="B63" s="270" t="s">
        <v>679</v>
      </c>
      <c r="C63" s="271" t="s">
        <v>680</v>
      </c>
      <c r="D63" s="272">
        <f>SUM(D55:D62)</f>
        <v>24073</v>
      </c>
      <c r="E63" s="272">
        <f t="shared" ref="E63:G63" si="13">SUM(E55:E62)</f>
        <v>24073</v>
      </c>
      <c r="F63" s="272">
        <f t="shared" si="13"/>
        <v>0</v>
      </c>
      <c r="G63" s="272">
        <f t="shared" si="13"/>
        <v>0</v>
      </c>
    </row>
    <row r="64" spans="1:7">
      <c r="A64" s="281"/>
      <c r="B64" s="259" t="s">
        <v>681</v>
      </c>
      <c r="C64" s="260" t="s">
        <v>682</v>
      </c>
      <c r="D64" s="253">
        <f t="shared" ref="D64:D79" si="14">SUM(E64:G64)</f>
        <v>10</v>
      </c>
      <c r="E64" s="253">
        <v>10</v>
      </c>
      <c r="F64" s="253"/>
      <c r="G64" s="253"/>
    </row>
    <row r="65" spans="1:7">
      <c r="A65" s="281"/>
      <c r="B65" s="259" t="s">
        <v>683</v>
      </c>
      <c r="C65" s="260" t="s">
        <v>684</v>
      </c>
      <c r="D65" s="253">
        <f t="shared" si="14"/>
        <v>0</v>
      </c>
      <c r="E65" s="253"/>
      <c r="F65" s="253"/>
      <c r="G65" s="253"/>
    </row>
    <row r="66" spans="1:7">
      <c r="A66" s="281"/>
      <c r="B66" s="259" t="s">
        <v>685</v>
      </c>
      <c r="C66" s="260" t="s">
        <v>686</v>
      </c>
      <c r="D66" s="253">
        <f t="shared" si="14"/>
        <v>55</v>
      </c>
      <c r="E66" s="253">
        <v>55</v>
      </c>
      <c r="F66" s="253"/>
      <c r="G66" s="253"/>
    </row>
    <row r="67" spans="1:7">
      <c r="A67" s="281"/>
      <c r="B67" s="259" t="s">
        <v>688</v>
      </c>
      <c r="C67" s="260" t="s">
        <v>689</v>
      </c>
      <c r="D67" s="253">
        <f t="shared" si="14"/>
        <v>55</v>
      </c>
      <c r="E67" s="253">
        <v>55</v>
      </c>
      <c r="F67" s="253"/>
      <c r="G67" s="253"/>
    </row>
    <row r="68" spans="1:7">
      <c r="A68" s="281"/>
      <c r="B68" s="259" t="s">
        <v>690</v>
      </c>
      <c r="C68" s="260" t="s">
        <v>691</v>
      </c>
      <c r="D68" s="253">
        <f t="shared" si="14"/>
        <v>0</v>
      </c>
      <c r="E68" s="253"/>
      <c r="F68" s="253"/>
      <c r="G68" s="253"/>
    </row>
    <row r="69" spans="1:7">
      <c r="A69" s="281"/>
      <c r="B69" s="259" t="s">
        <v>692</v>
      </c>
      <c r="C69" s="260" t="s">
        <v>693</v>
      </c>
      <c r="D69" s="253">
        <f t="shared" si="14"/>
        <v>2000</v>
      </c>
      <c r="E69" s="253">
        <v>2000</v>
      </c>
      <c r="F69" s="253"/>
      <c r="G69" s="253"/>
    </row>
    <row r="70" spans="1:7">
      <c r="A70" s="282" t="s">
        <v>228</v>
      </c>
      <c r="B70" s="262" t="s">
        <v>695</v>
      </c>
      <c r="C70" s="263" t="s">
        <v>696</v>
      </c>
      <c r="D70" s="254">
        <f>SUM(D64:D69)</f>
        <v>2120</v>
      </c>
      <c r="E70" s="254">
        <f t="shared" ref="E70:G70" si="15">SUM(E64:E69)</f>
        <v>2120</v>
      </c>
      <c r="F70" s="254">
        <f t="shared" si="15"/>
        <v>0</v>
      </c>
      <c r="G70" s="254">
        <f t="shared" si="15"/>
        <v>0</v>
      </c>
    </row>
    <row r="71" spans="1:7">
      <c r="A71" s="281"/>
      <c r="B71" s="259" t="s">
        <v>697</v>
      </c>
      <c r="C71" s="260" t="s">
        <v>698</v>
      </c>
      <c r="D71" s="253">
        <f t="shared" si="14"/>
        <v>0</v>
      </c>
      <c r="E71" s="253"/>
      <c r="F71" s="253"/>
      <c r="G71" s="253"/>
    </row>
    <row r="72" spans="1:7">
      <c r="A72" s="281"/>
      <c r="B72" s="259" t="s">
        <v>699</v>
      </c>
      <c r="C72" s="260" t="s">
        <v>700</v>
      </c>
      <c r="D72" s="253">
        <f t="shared" si="14"/>
        <v>320</v>
      </c>
      <c r="E72" s="253">
        <v>320</v>
      </c>
      <c r="F72" s="253"/>
      <c r="G72" s="253"/>
    </row>
    <row r="73" spans="1:7">
      <c r="A73" s="281"/>
      <c r="B73" s="259" t="s">
        <v>701</v>
      </c>
      <c r="C73" s="260" t="s">
        <v>702</v>
      </c>
      <c r="D73" s="253">
        <f t="shared" si="14"/>
        <v>0</v>
      </c>
      <c r="E73" s="253"/>
      <c r="F73" s="253"/>
      <c r="G73" s="253"/>
    </row>
    <row r="74" spans="1:7">
      <c r="A74" s="281"/>
      <c r="B74" s="259" t="s">
        <v>703</v>
      </c>
      <c r="C74" s="260" t="s">
        <v>704</v>
      </c>
      <c r="D74" s="253">
        <f t="shared" si="14"/>
        <v>45</v>
      </c>
      <c r="E74" s="253">
        <v>45</v>
      </c>
      <c r="F74" s="253"/>
      <c r="G74" s="253"/>
    </row>
    <row r="75" spans="1:7">
      <c r="A75" s="281"/>
      <c r="B75" s="259" t="s">
        <v>705</v>
      </c>
      <c r="C75" s="260" t="s">
        <v>706</v>
      </c>
      <c r="D75" s="253">
        <f t="shared" si="14"/>
        <v>400</v>
      </c>
      <c r="E75" s="253">
        <v>400</v>
      </c>
      <c r="F75" s="253"/>
      <c r="G75" s="253"/>
    </row>
    <row r="76" spans="1:7">
      <c r="A76" s="281"/>
      <c r="B76" s="259" t="s">
        <v>708</v>
      </c>
      <c r="C76" s="260" t="s">
        <v>709</v>
      </c>
      <c r="D76" s="253">
        <f t="shared" si="14"/>
        <v>1500</v>
      </c>
      <c r="E76" s="253">
        <v>1500</v>
      </c>
      <c r="F76" s="253"/>
      <c r="G76" s="253"/>
    </row>
    <row r="77" spans="1:7">
      <c r="A77" s="282" t="s">
        <v>230</v>
      </c>
      <c r="B77" s="262" t="s">
        <v>711</v>
      </c>
      <c r="C77" s="263" t="s">
        <v>712</v>
      </c>
      <c r="D77" s="254">
        <f>SUM(D71:D76)</f>
        <v>2265</v>
      </c>
      <c r="E77" s="254">
        <f t="shared" ref="E77:G77" si="16">SUM(E71:E76)</f>
        <v>2265</v>
      </c>
      <c r="F77" s="254">
        <f t="shared" si="16"/>
        <v>0</v>
      </c>
      <c r="G77" s="254">
        <f t="shared" si="16"/>
        <v>0</v>
      </c>
    </row>
    <row r="78" spans="1:7">
      <c r="A78" s="281"/>
      <c r="B78" s="259" t="s">
        <v>713</v>
      </c>
      <c r="C78" s="260" t="s">
        <v>233</v>
      </c>
      <c r="D78" s="253">
        <f t="shared" si="14"/>
        <v>0</v>
      </c>
      <c r="E78" s="253"/>
      <c r="F78" s="253"/>
      <c r="G78" s="253"/>
    </row>
    <row r="79" spans="1:7">
      <c r="A79" s="281"/>
      <c r="B79" s="259" t="s">
        <v>714</v>
      </c>
      <c r="C79" s="260" t="s">
        <v>715</v>
      </c>
      <c r="D79" s="253">
        <f t="shared" si="14"/>
        <v>0</v>
      </c>
      <c r="E79" s="253"/>
      <c r="F79" s="253"/>
      <c r="G79" s="253"/>
    </row>
    <row r="80" spans="1:7">
      <c r="A80" s="282" t="s">
        <v>232</v>
      </c>
      <c r="B80" s="262" t="s">
        <v>716</v>
      </c>
      <c r="C80" s="263" t="s">
        <v>717</v>
      </c>
      <c r="D80" s="254">
        <f>SUM(D78:D79)</f>
        <v>0</v>
      </c>
      <c r="E80" s="254">
        <f t="shared" ref="E80:G80" si="17">SUM(E78:E79)</f>
        <v>0</v>
      </c>
      <c r="F80" s="254">
        <f t="shared" si="17"/>
        <v>0</v>
      </c>
      <c r="G80" s="254">
        <f t="shared" si="17"/>
        <v>0</v>
      </c>
    </row>
    <row r="81" spans="1:7">
      <c r="A81" s="284" t="s">
        <v>234</v>
      </c>
      <c r="B81" s="267" t="s">
        <v>718</v>
      </c>
      <c r="C81" s="268" t="s">
        <v>719</v>
      </c>
      <c r="D81" s="255">
        <f>D70+D77+D80</f>
        <v>4385</v>
      </c>
      <c r="E81" s="255">
        <f t="shared" ref="E81:G81" si="18">E70+E77+E80</f>
        <v>4385</v>
      </c>
      <c r="F81" s="255">
        <f t="shared" si="18"/>
        <v>0</v>
      </c>
      <c r="G81" s="255">
        <f t="shared" si="18"/>
        <v>0</v>
      </c>
    </row>
    <row r="82" spans="1:7">
      <c r="A82" s="281"/>
      <c r="B82" s="259" t="s">
        <v>720</v>
      </c>
      <c r="C82" s="260" t="s">
        <v>721</v>
      </c>
      <c r="D82" s="253">
        <f t="shared" ref="D82:D90" si="19">SUM(E82:G82)</f>
        <v>0</v>
      </c>
      <c r="E82" s="253"/>
      <c r="F82" s="253"/>
      <c r="G82" s="253"/>
    </row>
    <row r="83" spans="1:7">
      <c r="A83" s="281"/>
      <c r="B83" s="259" t="s">
        <v>722</v>
      </c>
      <c r="C83" s="260" t="s">
        <v>723</v>
      </c>
      <c r="D83" s="253">
        <f t="shared" si="19"/>
        <v>0</v>
      </c>
      <c r="E83" s="253"/>
      <c r="F83" s="253"/>
      <c r="G83" s="253"/>
    </row>
    <row r="84" spans="1:7">
      <c r="A84" s="281"/>
      <c r="B84" s="259" t="s">
        <v>725</v>
      </c>
      <c r="C84" s="260" t="s">
        <v>726</v>
      </c>
      <c r="D84" s="253">
        <f t="shared" si="19"/>
        <v>0</v>
      </c>
      <c r="E84" s="253"/>
      <c r="F84" s="253"/>
      <c r="G84" s="253"/>
    </row>
    <row r="85" spans="1:7">
      <c r="A85" s="281"/>
      <c r="B85" s="259" t="s">
        <v>727</v>
      </c>
      <c r="C85" s="260" t="s">
        <v>728</v>
      </c>
      <c r="D85" s="253">
        <f t="shared" si="19"/>
        <v>192</v>
      </c>
      <c r="E85" s="253">
        <v>192</v>
      </c>
      <c r="F85" s="253"/>
      <c r="G85" s="253"/>
    </row>
    <row r="86" spans="1:7">
      <c r="A86" s="281"/>
      <c r="B86" s="259" t="s">
        <v>729</v>
      </c>
      <c r="C86" s="260" t="s">
        <v>730</v>
      </c>
      <c r="D86" s="253">
        <f t="shared" si="19"/>
        <v>60</v>
      </c>
      <c r="E86" s="253">
        <v>60</v>
      </c>
      <c r="F86" s="253"/>
      <c r="G86" s="253"/>
    </row>
    <row r="87" spans="1:7">
      <c r="A87" s="281"/>
      <c r="B87" s="259" t="s">
        <v>732</v>
      </c>
      <c r="C87" s="260" t="s">
        <v>733</v>
      </c>
      <c r="D87" s="253">
        <f t="shared" si="19"/>
        <v>0</v>
      </c>
      <c r="E87" s="253"/>
      <c r="F87" s="253"/>
      <c r="G87" s="253"/>
    </row>
    <row r="88" spans="1:7">
      <c r="A88" s="282" t="s">
        <v>236</v>
      </c>
      <c r="B88" s="262" t="s">
        <v>734</v>
      </c>
      <c r="C88" s="263" t="s">
        <v>237</v>
      </c>
      <c r="D88" s="254">
        <f>SUM(D82:D87)</f>
        <v>252</v>
      </c>
      <c r="E88" s="254">
        <f t="shared" ref="E88:G88" si="20">SUM(E82:E87)</f>
        <v>252</v>
      </c>
      <c r="F88" s="254">
        <f t="shared" si="20"/>
        <v>0</v>
      </c>
      <c r="G88" s="254">
        <f t="shared" si="20"/>
        <v>0</v>
      </c>
    </row>
    <row r="89" spans="1:7">
      <c r="A89" s="281"/>
      <c r="B89" s="259" t="s">
        <v>735</v>
      </c>
      <c r="C89" s="260" t="s">
        <v>736</v>
      </c>
      <c r="D89" s="253">
        <f t="shared" si="19"/>
        <v>150</v>
      </c>
      <c r="E89" s="253">
        <v>150</v>
      </c>
      <c r="F89" s="253"/>
      <c r="G89" s="253"/>
    </row>
    <row r="90" spans="1:7">
      <c r="A90" s="281"/>
      <c r="B90" s="259" t="s">
        <v>737</v>
      </c>
      <c r="C90" s="260" t="s">
        <v>239</v>
      </c>
      <c r="D90" s="253">
        <f t="shared" si="19"/>
        <v>250</v>
      </c>
      <c r="E90" s="253">
        <v>250</v>
      </c>
      <c r="F90" s="253"/>
      <c r="G90" s="253"/>
    </row>
    <row r="91" spans="1:7">
      <c r="A91" s="282" t="s">
        <v>238</v>
      </c>
      <c r="B91" s="262" t="s">
        <v>738</v>
      </c>
      <c r="C91" s="263" t="s">
        <v>739</v>
      </c>
      <c r="D91" s="254">
        <f>SUM(D89:D90)</f>
        <v>400</v>
      </c>
      <c r="E91" s="254">
        <f t="shared" ref="E91:G91" si="21">SUM(E89:E90)</f>
        <v>400</v>
      </c>
      <c r="F91" s="254">
        <f t="shared" si="21"/>
        <v>0</v>
      </c>
      <c r="G91" s="254">
        <f t="shared" si="21"/>
        <v>0</v>
      </c>
    </row>
    <row r="92" spans="1:7">
      <c r="A92" s="284" t="s">
        <v>240</v>
      </c>
      <c r="B92" s="267" t="s">
        <v>740</v>
      </c>
      <c r="C92" s="268" t="s">
        <v>741</v>
      </c>
      <c r="D92" s="255">
        <f>D88+D91</f>
        <v>652</v>
      </c>
      <c r="E92" s="255">
        <f t="shared" ref="E92:G92" si="22">E88+E91</f>
        <v>652</v>
      </c>
      <c r="F92" s="255">
        <f t="shared" si="22"/>
        <v>0</v>
      </c>
      <c r="G92" s="255">
        <f t="shared" si="22"/>
        <v>0</v>
      </c>
    </row>
    <row r="93" spans="1:7">
      <c r="A93" s="281"/>
      <c r="B93" s="259" t="s">
        <v>742</v>
      </c>
      <c r="C93" s="260" t="s">
        <v>743</v>
      </c>
      <c r="D93" s="253">
        <f t="shared" ref="D93:D113" si="23">SUM(E93:G93)</f>
        <v>1200</v>
      </c>
      <c r="E93" s="253">
        <v>1200</v>
      </c>
      <c r="F93" s="253"/>
      <c r="G93" s="253"/>
    </row>
    <row r="94" spans="1:7">
      <c r="A94" s="281"/>
      <c r="B94" s="259" t="s">
        <v>745</v>
      </c>
      <c r="C94" s="260" t="s">
        <v>746</v>
      </c>
      <c r="D94" s="253">
        <f t="shared" si="23"/>
        <v>4550</v>
      </c>
      <c r="E94" s="253">
        <v>4550</v>
      </c>
      <c r="F94" s="253"/>
      <c r="G94" s="253"/>
    </row>
    <row r="95" spans="1:7">
      <c r="A95" s="281"/>
      <c r="B95" s="259" t="s">
        <v>748</v>
      </c>
      <c r="C95" s="260" t="s">
        <v>749</v>
      </c>
      <c r="D95" s="253">
        <f t="shared" si="23"/>
        <v>1500</v>
      </c>
      <c r="E95" s="253">
        <v>1500</v>
      </c>
      <c r="F95" s="253"/>
      <c r="G95" s="253"/>
    </row>
    <row r="96" spans="1:7">
      <c r="A96" s="281"/>
      <c r="B96" s="259" t="s">
        <v>750</v>
      </c>
      <c r="C96" s="260" t="s">
        <v>751</v>
      </c>
      <c r="D96" s="253">
        <f t="shared" si="23"/>
        <v>0</v>
      </c>
      <c r="E96" s="253"/>
      <c r="F96" s="253"/>
      <c r="G96" s="253"/>
    </row>
    <row r="97" spans="1:7">
      <c r="A97" s="282" t="s">
        <v>242</v>
      </c>
      <c r="B97" s="262" t="s">
        <v>752</v>
      </c>
      <c r="C97" s="263" t="s">
        <v>753</v>
      </c>
      <c r="D97" s="254">
        <f>SUM(D93:D96)</f>
        <v>7250</v>
      </c>
      <c r="E97" s="254">
        <f t="shared" ref="E97:G97" si="24">SUM(E93:E96)</f>
        <v>7250</v>
      </c>
      <c r="F97" s="254">
        <f t="shared" si="24"/>
        <v>0</v>
      </c>
      <c r="G97" s="254">
        <f t="shared" si="24"/>
        <v>0</v>
      </c>
    </row>
    <row r="98" spans="1:7">
      <c r="A98" s="283" t="s">
        <v>244</v>
      </c>
      <c r="B98" s="264" t="s">
        <v>754</v>
      </c>
      <c r="C98" s="263" t="s">
        <v>245</v>
      </c>
      <c r="D98" s="254">
        <f t="shared" si="23"/>
        <v>12500</v>
      </c>
      <c r="E98" s="254"/>
      <c r="F98" s="254">
        <v>12500</v>
      </c>
      <c r="G98" s="254"/>
    </row>
    <row r="99" spans="1:7">
      <c r="A99" s="281"/>
      <c r="B99" s="259" t="s">
        <v>755</v>
      </c>
      <c r="C99" s="260" t="s">
        <v>756</v>
      </c>
      <c r="D99" s="253">
        <f t="shared" si="23"/>
        <v>0</v>
      </c>
      <c r="E99" s="253"/>
      <c r="F99" s="253"/>
      <c r="G99" s="253"/>
    </row>
    <row r="100" spans="1:7">
      <c r="A100" s="281"/>
      <c r="B100" s="259" t="s">
        <v>757</v>
      </c>
      <c r="C100" s="260" t="s">
        <v>758</v>
      </c>
      <c r="D100" s="253">
        <f t="shared" si="23"/>
        <v>0</v>
      </c>
      <c r="E100" s="253"/>
      <c r="F100" s="253"/>
      <c r="G100" s="253"/>
    </row>
    <row r="101" spans="1:7">
      <c r="A101" s="283" t="s">
        <v>246</v>
      </c>
      <c r="B101" s="264">
        <v>53331</v>
      </c>
      <c r="C101" s="263" t="s">
        <v>759</v>
      </c>
      <c r="D101" s="254">
        <f>SUM(D99:D100)</f>
        <v>0</v>
      </c>
      <c r="E101" s="254">
        <f t="shared" ref="E101:G101" si="25">SUM(E99:E100)</f>
        <v>0</v>
      </c>
      <c r="F101" s="254">
        <f t="shared" si="25"/>
        <v>0</v>
      </c>
      <c r="G101" s="254">
        <f t="shared" si="25"/>
        <v>0</v>
      </c>
    </row>
    <row r="102" spans="1:7">
      <c r="A102" s="283" t="s">
        <v>248</v>
      </c>
      <c r="B102" s="264" t="s">
        <v>760</v>
      </c>
      <c r="C102" s="263" t="s">
        <v>249</v>
      </c>
      <c r="D102" s="254">
        <f t="shared" si="23"/>
        <v>1600</v>
      </c>
      <c r="E102" s="254">
        <v>1600</v>
      </c>
      <c r="F102" s="254"/>
      <c r="G102" s="254"/>
    </row>
    <row r="103" spans="1:7">
      <c r="A103" s="281"/>
      <c r="B103" s="259" t="s">
        <v>762</v>
      </c>
      <c r="C103" s="260" t="s">
        <v>763</v>
      </c>
      <c r="D103" s="253">
        <f t="shared" si="23"/>
        <v>0</v>
      </c>
      <c r="E103" s="253"/>
      <c r="F103" s="253"/>
      <c r="G103" s="253"/>
    </row>
    <row r="104" spans="1:7">
      <c r="A104" s="281"/>
      <c r="B104" s="259" t="s">
        <v>764</v>
      </c>
      <c r="C104" s="260" t="s">
        <v>765</v>
      </c>
      <c r="D104" s="253">
        <f t="shared" si="23"/>
        <v>0</v>
      </c>
      <c r="E104" s="253"/>
      <c r="F104" s="253"/>
      <c r="G104" s="253"/>
    </row>
    <row r="105" spans="1:7">
      <c r="A105" s="282" t="s">
        <v>250</v>
      </c>
      <c r="B105" s="262" t="s">
        <v>766</v>
      </c>
      <c r="C105" s="263" t="s">
        <v>767</v>
      </c>
      <c r="D105" s="254">
        <f>SUM(D103:D104)</f>
        <v>0</v>
      </c>
      <c r="E105" s="254">
        <f t="shared" ref="E105:G105" si="26">SUM(E103:E104)</f>
        <v>0</v>
      </c>
      <c r="F105" s="254">
        <f t="shared" si="26"/>
        <v>0</v>
      </c>
      <c r="G105" s="254">
        <f t="shared" si="26"/>
        <v>0</v>
      </c>
    </row>
    <row r="106" spans="1:7">
      <c r="A106" s="281"/>
      <c r="B106" s="259" t="s">
        <v>768</v>
      </c>
      <c r="C106" s="260" t="s">
        <v>769</v>
      </c>
      <c r="D106" s="253">
        <f t="shared" si="23"/>
        <v>50</v>
      </c>
      <c r="E106" s="253">
        <v>50</v>
      </c>
      <c r="F106" s="253"/>
      <c r="G106" s="253"/>
    </row>
    <row r="107" spans="1:7">
      <c r="A107" s="281"/>
      <c r="B107" s="259" t="s">
        <v>770</v>
      </c>
      <c r="C107" s="260" t="s">
        <v>771</v>
      </c>
      <c r="D107" s="253">
        <f t="shared" si="23"/>
        <v>0</v>
      </c>
      <c r="E107" s="253"/>
      <c r="F107" s="253"/>
      <c r="G107" s="253"/>
    </row>
    <row r="108" spans="1:7">
      <c r="A108" s="281"/>
      <c r="B108" s="259" t="s">
        <v>772</v>
      </c>
      <c r="C108" s="260" t="s">
        <v>773</v>
      </c>
      <c r="D108" s="253">
        <f t="shared" si="23"/>
        <v>120</v>
      </c>
      <c r="E108" s="253">
        <v>120</v>
      </c>
      <c r="F108" s="253"/>
      <c r="G108" s="253"/>
    </row>
    <row r="109" spans="1:7">
      <c r="A109" s="282" t="s">
        <v>252</v>
      </c>
      <c r="B109" s="262" t="s">
        <v>774</v>
      </c>
      <c r="C109" s="263" t="s">
        <v>775</v>
      </c>
      <c r="D109" s="254">
        <f>SUM(D106:D108)</f>
        <v>170</v>
      </c>
      <c r="E109" s="254">
        <f t="shared" ref="E109:G109" si="27">SUM(E106:E108)</f>
        <v>170</v>
      </c>
      <c r="F109" s="254">
        <f t="shared" si="27"/>
        <v>0</v>
      </c>
      <c r="G109" s="254">
        <f t="shared" si="27"/>
        <v>0</v>
      </c>
    </row>
    <row r="110" spans="1:7">
      <c r="A110" s="281"/>
      <c r="B110" s="259" t="s">
        <v>776</v>
      </c>
      <c r="C110" s="260" t="s">
        <v>777</v>
      </c>
      <c r="D110" s="253">
        <f t="shared" si="23"/>
        <v>0</v>
      </c>
      <c r="E110" s="253"/>
      <c r="F110" s="253"/>
      <c r="G110" s="253"/>
    </row>
    <row r="111" spans="1:7">
      <c r="A111" s="281"/>
      <c r="B111" s="259" t="s">
        <v>778</v>
      </c>
      <c r="C111" s="260" t="s">
        <v>779</v>
      </c>
      <c r="D111" s="253">
        <f t="shared" si="23"/>
        <v>160</v>
      </c>
      <c r="E111" s="253">
        <v>160</v>
      </c>
      <c r="F111" s="253"/>
      <c r="G111" s="253"/>
    </row>
    <row r="112" spans="1:7">
      <c r="A112" s="281"/>
      <c r="B112" s="259" t="s">
        <v>780</v>
      </c>
      <c r="C112" s="260" t="s">
        <v>781</v>
      </c>
      <c r="D112" s="253">
        <f t="shared" si="23"/>
        <v>50</v>
      </c>
      <c r="E112" s="253">
        <v>50</v>
      </c>
      <c r="F112" s="253"/>
      <c r="G112" s="253"/>
    </row>
    <row r="113" spans="1:7">
      <c r="A113" s="281"/>
      <c r="B113" s="259" t="s">
        <v>782</v>
      </c>
      <c r="C113" s="260" t="s">
        <v>783</v>
      </c>
      <c r="D113" s="253">
        <f t="shared" si="23"/>
        <v>1500</v>
      </c>
      <c r="E113" s="253">
        <v>1500</v>
      </c>
      <c r="F113" s="253"/>
      <c r="G113" s="253"/>
    </row>
    <row r="114" spans="1:7">
      <c r="A114" s="282" t="s">
        <v>254</v>
      </c>
      <c r="B114" s="262" t="s">
        <v>784</v>
      </c>
      <c r="C114" s="263" t="s">
        <v>785</v>
      </c>
      <c r="D114" s="254">
        <f>SUM(D110:D113)</f>
        <v>1710</v>
      </c>
      <c r="E114" s="254">
        <f t="shared" ref="E114:G114" si="28">SUM(E110:E113)</f>
        <v>1710</v>
      </c>
      <c r="F114" s="254">
        <f t="shared" si="28"/>
        <v>0</v>
      </c>
      <c r="G114" s="254">
        <f t="shared" si="28"/>
        <v>0</v>
      </c>
    </row>
    <row r="115" spans="1:7">
      <c r="A115" s="284" t="s">
        <v>256</v>
      </c>
      <c r="B115" s="267" t="s">
        <v>786</v>
      </c>
      <c r="C115" s="268" t="s">
        <v>787</v>
      </c>
      <c r="D115" s="255">
        <f>D97+D98+D101+D102+D105+D109+D114</f>
        <v>23230</v>
      </c>
      <c r="E115" s="255">
        <f t="shared" ref="E115:G115" si="29">E97+E98+E101+E102+E105+E109+E114</f>
        <v>10730</v>
      </c>
      <c r="F115" s="255">
        <f t="shared" si="29"/>
        <v>12500</v>
      </c>
      <c r="G115" s="255">
        <f t="shared" si="29"/>
        <v>0</v>
      </c>
    </row>
    <row r="116" spans="1:7">
      <c r="A116" s="281"/>
      <c r="B116" s="259" t="s">
        <v>788</v>
      </c>
      <c r="C116" s="260" t="s">
        <v>789</v>
      </c>
      <c r="D116" s="253">
        <f t="shared" ref="D116:D117" si="30">SUM(E116:G116)</f>
        <v>50</v>
      </c>
      <c r="E116" s="253">
        <v>50</v>
      </c>
      <c r="F116" s="253"/>
      <c r="G116" s="253"/>
    </row>
    <row r="117" spans="1:7">
      <c r="A117" s="281"/>
      <c r="B117" s="259" t="s">
        <v>790</v>
      </c>
      <c r="C117" s="260" t="s">
        <v>791</v>
      </c>
      <c r="D117" s="253">
        <f t="shared" si="30"/>
        <v>0</v>
      </c>
      <c r="E117" s="253"/>
      <c r="F117" s="253"/>
      <c r="G117" s="253"/>
    </row>
    <row r="118" spans="1:7">
      <c r="A118" s="282" t="s">
        <v>258</v>
      </c>
      <c r="B118" s="262" t="s">
        <v>792</v>
      </c>
      <c r="C118" s="263" t="s">
        <v>793</v>
      </c>
      <c r="D118" s="254">
        <f>SUM(D116:D117)</f>
        <v>50</v>
      </c>
      <c r="E118" s="254">
        <f t="shared" ref="E118:G118" si="31">SUM(E116:E117)</f>
        <v>50</v>
      </c>
      <c r="F118" s="254">
        <f t="shared" si="31"/>
        <v>0</v>
      </c>
      <c r="G118" s="254">
        <f t="shared" si="31"/>
        <v>0</v>
      </c>
    </row>
    <row r="119" spans="1:7">
      <c r="A119" s="283" t="s">
        <v>260</v>
      </c>
      <c r="B119" s="264" t="s">
        <v>794</v>
      </c>
      <c r="C119" s="263" t="s">
        <v>261</v>
      </c>
      <c r="D119" s="254">
        <v>30</v>
      </c>
      <c r="E119" s="254">
        <v>30</v>
      </c>
      <c r="F119" s="254"/>
      <c r="G119" s="254"/>
    </row>
    <row r="120" spans="1:7">
      <c r="A120" s="284" t="s">
        <v>262</v>
      </c>
      <c r="B120" s="267" t="s">
        <v>795</v>
      </c>
      <c r="C120" s="268" t="s">
        <v>796</v>
      </c>
      <c r="D120" s="255">
        <f>D118+D119</f>
        <v>80</v>
      </c>
      <c r="E120" s="255">
        <f t="shared" ref="E120:G120" si="32">E118+E119</f>
        <v>80</v>
      </c>
      <c r="F120" s="255">
        <f t="shared" si="32"/>
        <v>0</v>
      </c>
      <c r="G120" s="255">
        <f t="shared" si="32"/>
        <v>0</v>
      </c>
    </row>
    <row r="121" spans="1:7">
      <c r="A121" s="281"/>
      <c r="B121" s="259" t="s">
        <v>797</v>
      </c>
      <c r="C121" s="260" t="s">
        <v>798</v>
      </c>
      <c r="D121" s="253">
        <f t="shared" ref="D121:D139" si="33">SUM(E121:G121)</f>
        <v>0</v>
      </c>
      <c r="E121" s="253"/>
      <c r="F121" s="253"/>
      <c r="G121" s="253"/>
    </row>
    <row r="122" spans="1:7">
      <c r="A122" s="281"/>
      <c r="B122" s="259" t="s">
        <v>799</v>
      </c>
      <c r="C122" s="260" t="s">
        <v>800</v>
      </c>
      <c r="D122" s="253">
        <f t="shared" si="33"/>
        <v>7640</v>
      </c>
      <c r="E122" s="253">
        <f>ROUND((E81+E92+E115+E119)*0.27,0)</f>
        <v>4265</v>
      </c>
      <c r="F122" s="253">
        <f>ROUND((F81+F92+F115+F119)*0.27,0)</f>
        <v>3375</v>
      </c>
      <c r="G122" s="253"/>
    </row>
    <row r="123" spans="1:7">
      <c r="A123" s="282" t="s">
        <v>264</v>
      </c>
      <c r="B123" s="262" t="s">
        <v>801</v>
      </c>
      <c r="C123" s="263" t="s">
        <v>802</v>
      </c>
      <c r="D123" s="254">
        <f>SUM(D121:D122)</f>
        <v>7640</v>
      </c>
      <c r="E123" s="254">
        <f t="shared" ref="E123:G123" si="34">SUM(E121:E122)</f>
        <v>4265</v>
      </c>
      <c r="F123" s="254">
        <f t="shared" si="34"/>
        <v>3375</v>
      </c>
      <c r="G123" s="254">
        <f t="shared" si="34"/>
        <v>0</v>
      </c>
    </row>
    <row r="124" spans="1:7">
      <c r="A124" s="281"/>
      <c r="B124" s="259" t="s">
        <v>803</v>
      </c>
      <c r="C124" s="260" t="s">
        <v>804</v>
      </c>
      <c r="D124" s="253">
        <f t="shared" si="33"/>
        <v>0</v>
      </c>
      <c r="E124" s="253"/>
      <c r="F124" s="253"/>
      <c r="G124" s="253"/>
    </row>
    <row r="125" spans="1:7">
      <c r="A125" s="281"/>
      <c r="B125" s="259" t="s">
        <v>805</v>
      </c>
      <c r="C125" s="260" t="s">
        <v>806</v>
      </c>
      <c r="D125" s="253">
        <f t="shared" si="33"/>
        <v>0</v>
      </c>
      <c r="E125" s="253"/>
      <c r="F125" s="253"/>
      <c r="G125" s="253"/>
    </row>
    <row r="126" spans="1:7">
      <c r="A126" s="281"/>
      <c r="B126" s="259" t="s">
        <v>807</v>
      </c>
      <c r="C126" s="260" t="s">
        <v>808</v>
      </c>
      <c r="D126" s="253">
        <f t="shared" si="33"/>
        <v>0</v>
      </c>
      <c r="E126" s="253"/>
      <c r="F126" s="253"/>
      <c r="G126" s="253"/>
    </row>
    <row r="127" spans="1:7">
      <c r="A127" s="282" t="s">
        <v>266</v>
      </c>
      <c r="B127" s="262" t="s">
        <v>809</v>
      </c>
      <c r="C127" s="263" t="s">
        <v>810</v>
      </c>
      <c r="D127" s="254">
        <f>SUM(D124:D126)</f>
        <v>0</v>
      </c>
      <c r="E127" s="254">
        <f t="shared" ref="E127:G127" si="35">SUM(E124:E126)</f>
        <v>0</v>
      </c>
      <c r="F127" s="254">
        <f t="shared" si="35"/>
        <v>0</v>
      </c>
      <c r="G127" s="254">
        <f t="shared" si="35"/>
        <v>0</v>
      </c>
    </row>
    <row r="128" spans="1:7">
      <c r="A128" s="281"/>
      <c r="B128" s="259" t="s">
        <v>811</v>
      </c>
      <c r="C128" s="260" t="s">
        <v>812</v>
      </c>
      <c r="D128" s="253">
        <f t="shared" si="33"/>
        <v>0</v>
      </c>
      <c r="E128" s="253"/>
      <c r="F128" s="253"/>
      <c r="G128" s="253"/>
    </row>
    <row r="129" spans="1:7">
      <c r="A129" s="281"/>
      <c r="B129" s="259" t="s">
        <v>813</v>
      </c>
      <c r="C129" s="260" t="s">
        <v>814</v>
      </c>
      <c r="D129" s="253">
        <f t="shared" si="33"/>
        <v>0</v>
      </c>
      <c r="E129" s="253"/>
      <c r="F129" s="253"/>
      <c r="G129" s="253"/>
    </row>
    <row r="130" spans="1:7">
      <c r="A130" s="281"/>
      <c r="B130" s="259" t="s">
        <v>815</v>
      </c>
      <c r="C130" s="260" t="s">
        <v>816</v>
      </c>
      <c r="D130" s="253">
        <f t="shared" si="33"/>
        <v>0</v>
      </c>
      <c r="E130" s="253"/>
      <c r="F130" s="253"/>
      <c r="G130" s="253"/>
    </row>
    <row r="131" spans="1:7">
      <c r="A131" s="281"/>
      <c r="B131" s="259" t="s">
        <v>817</v>
      </c>
      <c r="C131" s="260" t="s">
        <v>818</v>
      </c>
      <c r="D131" s="253">
        <f t="shared" si="33"/>
        <v>0</v>
      </c>
      <c r="E131" s="253"/>
      <c r="F131" s="253"/>
      <c r="G131" s="253"/>
    </row>
    <row r="132" spans="1:7">
      <c r="A132" s="282" t="s">
        <v>268</v>
      </c>
      <c r="B132" s="262" t="s">
        <v>819</v>
      </c>
      <c r="C132" s="263" t="s">
        <v>269</v>
      </c>
      <c r="D132" s="254">
        <f>SUM(D128:D131)</f>
        <v>0</v>
      </c>
      <c r="E132" s="254">
        <f t="shared" ref="E132:G132" si="36">SUM(E128:E131)</f>
        <v>0</v>
      </c>
      <c r="F132" s="254">
        <f t="shared" si="36"/>
        <v>0</v>
      </c>
      <c r="G132" s="254">
        <f t="shared" si="36"/>
        <v>0</v>
      </c>
    </row>
    <row r="133" spans="1:7">
      <c r="A133" s="281"/>
      <c r="B133" s="259" t="s">
        <v>820</v>
      </c>
      <c r="C133" s="260" t="s">
        <v>821</v>
      </c>
      <c r="D133" s="253">
        <f t="shared" si="33"/>
        <v>0</v>
      </c>
      <c r="E133" s="253"/>
      <c r="F133" s="253"/>
      <c r="G133" s="253"/>
    </row>
    <row r="134" spans="1:7">
      <c r="A134" s="281"/>
      <c r="B134" s="259" t="s">
        <v>822</v>
      </c>
      <c r="C134" s="260" t="s">
        <v>823</v>
      </c>
      <c r="D134" s="253">
        <f t="shared" si="33"/>
        <v>0</v>
      </c>
      <c r="E134" s="253"/>
      <c r="F134" s="253"/>
      <c r="G134" s="253"/>
    </row>
    <row r="135" spans="1:7">
      <c r="A135" s="282" t="s">
        <v>270</v>
      </c>
      <c r="B135" s="262" t="s">
        <v>824</v>
      </c>
      <c r="C135" s="263" t="s">
        <v>271</v>
      </c>
      <c r="D135" s="254">
        <f>SUM(D133:D134)</f>
        <v>0</v>
      </c>
      <c r="E135" s="254">
        <f t="shared" ref="E135:G135" si="37">SUM(E133:E134)</f>
        <v>0</v>
      </c>
      <c r="F135" s="254">
        <f t="shared" si="37"/>
        <v>0</v>
      </c>
      <c r="G135" s="254">
        <f t="shared" si="37"/>
        <v>0</v>
      </c>
    </row>
    <row r="136" spans="1:7">
      <c r="A136" s="281"/>
      <c r="B136" s="259" t="s">
        <v>825</v>
      </c>
      <c r="C136" s="260" t="s">
        <v>826</v>
      </c>
      <c r="D136" s="253">
        <f t="shared" si="33"/>
        <v>0</v>
      </c>
      <c r="E136" s="253"/>
      <c r="F136" s="253"/>
      <c r="G136" s="253"/>
    </row>
    <row r="137" spans="1:7">
      <c r="A137" s="281"/>
      <c r="B137" s="259" t="s">
        <v>827</v>
      </c>
      <c r="C137" s="260" t="s">
        <v>828</v>
      </c>
      <c r="D137" s="253">
        <f t="shared" si="33"/>
        <v>0</v>
      </c>
      <c r="E137" s="253"/>
      <c r="F137" s="253"/>
      <c r="G137" s="253"/>
    </row>
    <row r="138" spans="1:7">
      <c r="A138" s="281"/>
      <c r="B138" s="259" t="s">
        <v>829</v>
      </c>
      <c r="C138" s="260" t="s">
        <v>830</v>
      </c>
      <c r="D138" s="253">
        <f t="shared" si="33"/>
        <v>0</v>
      </c>
      <c r="E138" s="253"/>
      <c r="F138" s="253"/>
      <c r="G138" s="253"/>
    </row>
    <row r="139" spans="1:7">
      <c r="A139" s="281"/>
      <c r="B139" s="259" t="s">
        <v>831</v>
      </c>
      <c r="C139" s="260" t="s">
        <v>832</v>
      </c>
      <c r="D139" s="253">
        <f t="shared" si="33"/>
        <v>120</v>
      </c>
      <c r="E139" s="253">
        <v>120</v>
      </c>
      <c r="F139" s="253"/>
      <c r="G139" s="253"/>
    </row>
    <row r="140" spans="1:7">
      <c r="A140" s="282" t="s">
        <v>272</v>
      </c>
      <c r="B140" s="262" t="s">
        <v>833</v>
      </c>
      <c r="C140" s="263" t="s">
        <v>273</v>
      </c>
      <c r="D140" s="254">
        <f>SUM(D136:D139)</f>
        <v>120</v>
      </c>
      <c r="E140" s="254">
        <f t="shared" ref="E140:G140" si="38">SUM(E136:E139)</f>
        <v>120</v>
      </c>
      <c r="F140" s="254">
        <f t="shared" si="38"/>
        <v>0</v>
      </c>
      <c r="G140" s="254">
        <f t="shared" si="38"/>
        <v>0</v>
      </c>
    </row>
    <row r="141" spans="1:7">
      <c r="A141" s="284" t="s">
        <v>274</v>
      </c>
      <c r="B141" s="267" t="s">
        <v>834</v>
      </c>
      <c r="C141" s="268" t="s">
        <v>275</v>
      </c>
      <c r="D141" s="255">
        <f>D123+D127+D132+D135+D140</f>
        <v>7760</v>
      </c>
      <c r="E141" s="255">
        <f t="shared" ref="E141:G141" si="39">E123+E127+E132+E135+E140</f>
        <v>4385</v>
      </c>
      <c r="F141" s="255">
        <f t="shared" si="39"/>
        <v>3375</v>
      </c>
      <c r="G141" s="255">
        <f t="shared" si="39"/>
        <v>0</v>
      </c>
    </row>
    <row r="142" spans="1:7">
      <c r="A142" s="285" t="s">
        <v>276</v>
      </c>
      <c r="B142" s="270" t="s">
        <v>835</v>
      </c>
      <c r="C142" s="271" t="s">
        <v>277</v>
      </c>
      <c r="D142" s="272">
        <f>D81+D92+D115+D120+D141</f>
        <v>36107</v>
      </c>
      <c r="E142" s="272">
        <f t="shared" ref="E142:G142" si="40">E81+E92+E115+E120+E141</f>
        <v>20232</v>
      </c>
      <c r="F142" s="272">
        <f t="shared" si="40"/>
        <v>15875</v>
      </c>
      <c r="G142" s="272">
        <f t="shared" si="40"/>
        <v>0</v>
      </c>
    </row>
    <row r="143" spans="1:7">
      <c r="A143" s="286"/>
      <c r="B143" s="273"/>
      <c r="C143" s="274" t="s">
        <v>836</v>
      </c>
      <c r="D143" s="275">
        <f>D54+D63+D142</f>
        <v>142140</v>
      </c>
      <c r="E143" s="275">
        <f t="shared" ref="E143:G143" si="41">E54+E63+E142</f>
        <v>126265</v>
      </c>
      <c r="F143" s="275">
        <f t="shared" si="41"/>
        <v>15875</v>
      </c>
      <c r="G143" s="275">
        <f t="shared" si="41"/>
        <v>0</v>
      </c>
    </row>
    <row r="144" spans="1:7">
      <c r="A144" s="281"/>
      <c r="B144" s="259" t="s">
        <v>837</v>
      </c>
      <c r="C144" s="260" t="s">
        <v>838</v>
      </c>
      <c r="D144" s="253">
        <f t="shared" ref="D144:D147" si="42">SUM(E144:G144)</f>
        <v>0</v>
      </c>
      <c r="E144" s="253"/>
      <c r="F144" s="253"/>
      <c r="G144" s="253"/>
    </row>
    <row r="145" spans="1:7">
      <c r="A145" s="281"/>
      <c r="B145" s="259" t="s">
        <v>839</v>
      </c>
      <c r="C145" s="260" t="s">
        <v>840</v>
      </c>
      <c r="D145" s="253">
        <f t="shared" si="42"/>
        <v>542</v>
      </c>
      <c r="E145" s="253">
        <f>400+142</f>
        <v>542</v>
      </c>
      <c r="F145" s="253"/>
      <c r="G145" s="253"/>
    </row>
    <row r="146" spans="1:7">
      <c r="A146" s="281"/>
      <c r="B146" s="259" t="s">
        <v>841</v>
      </c>
      <c r="C146" s="260" t="s">
        <v>842</v>
      </c>
      <c r="D146" s="253">
        <f t="shared" si="42"/>
        <v>0</v>
      </c>
      <c r="E146" s="253"/>
      <c r="F146" s="253"/>
      <c r="G146" s="253"/>
    </row>
    <row r="147" spans="1:7">
      <c r="A147" s="287" t="s">
        <v>332</v>
      </c>
      <c r="B147" s="276" t="s">
        <v>843</v>
      </c>
      <c r="C147" s="260" t="s">
        <v>844</v>
      </c>
      <c r="D147" s="253">
        <f t="shared" si="42"/>
        <v>146</v>
      </c>
      <c r="E147" s="253">
        <f>108+38</f>
        <v>146</v>
      </c>
      <c r="F147" s="253"/>
      <c r="G147" s="253"/>
    </row>
    <row r="148" spans="1:7">
      <c r="A148" s="285" t="s">
        <v>334</v>
      </c>
      <c r="B148" s="270" t="s">
        <v>845</v>
      </c>
      <c r="C148" s="271" t="s">
        <v>846</v>
      </c>
      <c r="D148" s="272">
        <f>SUM(D144:D147)</f>
        <v>688</v>
      </c>
      <c r="E148" s="272">
        <f t="shared" ref="E148:G148" si="43">SUM(E144:E147)</f>
        <v>688</v>
      </c>
      <c r="F148" s="272">
        <f t="shared" si="43"/>
        <v>0</v>
      </c>
      <c r="G148" s="272">
        <f t="shared" si="43"/>
        <v>0</v>
      </c>
    </row>
    <row r="149" spans="1:7">
      <c r="A149" s="281"/>
      <c r="B149" s="259" t="s">
        <v>847</v>
      </c>
      <c r="C149" s="260" t="s">
        <v>848</v>
      </c>
      <c r="D149" s="253">
        <f t="shared" ref="D149:D152" si="44">SUM(E149:G149)</f>
        <v>0</v>
      </c>
      <c r="E149" s="253"/>
      <c r="F149" s="253"/>
      <c r="G149" s="253"/>
    </row>
    <row r="150" spans="1:7">
      <c r="A150" s="281"/>
      <c r="B150" s="259" t="s">
        <v>849</v>
      </c>
      <c r="C150" s="260" t="s">
        <v>850</v>
      </c>
      <c r="D150" s="253">
        <f t="shared" si="44"/>
        <v>0</v>
      </c>
      <c r="E150" s="253"/>
      <c r="F150" s="253"/>
      <c r="G150" s="253"/>
    </row>
    <row r="151" spans="1:7">
      <c r="A151" s="281"/>
      <c r="B151" s="259" t="s">
        <v>851</v>
      </c>
      <c r="C151" s="260" t="s">
        <v>852</v>
      </c>
      <c r="D151" s="253">
        <f t="shared" si="44"/>
        <v>0</v>
      </c>
      <c r="E151" s="253"/>
      <c r="F151" s="253"/>
      <c r="G151" s="253"/>
    </row>
    <row r="152" spans="1:7">
      <c r="A152" s="287" t="s">
        <v>341</v>
      </c>
      <c r="B152" s="276" t="s">
        <v>853</v>
      </c>
      <c r="C152" s="260" t="s">
        <v>854</v>
      </c>
      <c r="D152" s="253">
        <f t="shared" si="44"/>
        <v>0</v>
      </c>
      <c r="E152" s="253"/>
      <c r="F152" s="253"/>
      <c r="G152" s="253"/>
    </row>
    <row r="153" spans="1:7">
      <c r="A153" s="285" t="s">
        <v>343</v>
      </c>
      <c r="B153" s="270" t="s">
        <v>855</v>
      </c>
      <c r="C153" s="271" t="s">
        <v>856</v>
      </c>
      <c r="D153" s="272">
        <f>SUM(D149:D152)</f>
        <v>0</v>
      </c>
      <c r="E153" s="272">
        <f t="shared" ref="E153:G153" si="45">SUM(E149:E152)</f>
        <v>0</v>
      </c>
      <c r="F153" s="272">
        <f t="shared" si="45"/>
        <v>0</v>
      </c>
      <c r="G153" s="272">
        <f t="shared" si="45"/>
        <v>0</v>
      </c>
    </row>
    <row r="154" spans="1:7">
      <c r="A154" s="286"/>
      <c r="B154" s="273"/>
      <c r="C154" s="274" t="s">
        <v>857</v>
      </c>
      <c r="D154" s="275">
        <f>D148+D153</f>
        <v>688</v>
      </c>
      <c r="E154" s="275">
        <f t="shared" ref="E154:G154" si="46">E148+E153</f>
        <v>688</v>
      </c>
      <c r="F154" s="275">
        <f t="shared" si="46"/>
        <v>0</v>
      </c>
      <c r="G154" s="275">
        <f t="shared" si="46"/>
        <v>0</v>
      </c>
    </row>
    <row r="155" spans="1:7">
      <c r="A155" s="288"/>
      <c r="B155" s="277"/>
      <c r="C155" s="278" t="s">
        <v>858</v>
      </c>
      <c r="D155" s="279">
        <f>D143+D154</f>
        <v>142828</v>
      </c>
      <c r="E155" s="279">
        <f t="shared" ref="E155:G155" si="47">E143+E154</f>
        <v>126953</v>
      </c>
      <c r="F155" s="279">
        <f t="shared" si="47"/>
        <v>15875</v>
      </c>
      <c r="G155" s="279">
        <f t="shared" si="47"/>
        <v>0</v>
      </c>
    </row>
  </sheetData>
  <printOptions horizontalCentered="1"/>
  <pageMargins left="0.78740157480314965" right="0.78740157480314965" top="0.78740157480314965" bottom="0.78740157480314965" header="0.11811023622047245" footer="0.11811023622047245"/>
  <pageSetup paperSize="9" fitToHeight="0" orientation="landscape" useFirstPageNumber="1" horizontalDpi="300" verticalDpi="300" r:id="rId1"/>
  <headerFooter alignWithMargins="0">
    <oddHeader>&amp;C&amp;"Arial,Félkövér"&amp;12Törökbálinti Nyitnikék Óvoda
2014. évi költségvetés tervezése</oddHeader>
    <oddFooter>&amp;Coldal: &amp;P/&amp;N
exportálva: 2014-01-04 10:35 (210 MP)</oddFooter>
  </headerFooter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5"/>
  <sheetViews>
    <sheetView topLeftCell="A130" zoomScaleNormal="100" zoomScaleSheetLayoutView="100" workbookViewId="0">
      <selection activeCell="E145" sqref="E145"/>
    </sheetView>
  </sheetViews>
  <sheetFormatPr defaultColWidth="11.5703125" defaultRowHeight="12.75"/>
  <cols>
    <col min="1" max="1" width="13.5703125" style="280" bestFit="1" customWidth="1"/>
    <col min="2" max="2" width="42.28515625" style="133" customWidth="1"/>
    <col min="3" max="6" width="12.5703125" style="133" customWidth="1"/>
    <col min="7" max="16384" width="11.5703125" style="133"/>
  </cols>
  <sheetData>
    <row r="1" spans="1:7" s="258" customFormat="1" ht="38.25">
      <c r="A1" s="129" t="s">
        <v>549</v>
      </c>
      <c r="B1" s="129" t="s">
        <v>58</v>
      </c>
      <c r="C1" s="129" t="s">
        <v>216</v>
      </c>
      <c r="D1" s="129" t="s">
        <v>550</v>
      </c>
      <c r="E1" s="129" t="s">
        <v>551</v>
      </c>
      <c r="F1" s="129" t="s">
        <v>552</v>
      </c>
    </row>
    <row r="2" spans="1:7">
      <c r="A2" s="259" t="s">
        <v>553</v>
      </c>
      <c r="B2" s="260" t="s">
        <v>554</v>
      </c>
      <c r="C2" s="253">
        <f>SUM(D2:F2)</f>
        <v>30155</v>
      </c>
      <c r="D2" s="253"/>
      <c r="E2" s="253">
        <v>30155</v>
      </c>
      <c r="F2" s="253"/>
    </row>
    <row r="3" spans="1:7">
      <c r="A3" s="259" t="s">
        <v>555</v>
      </c>
      <c r="B3" s="260" t="s">
        <v>556</v>
      </c>
      <c r="C3" s="253">
        <f t="shared" ref="C3:C51" si="0">SUM(D3:F3)</f>
        <v>0</v>
      </c>
      <c r="D3" s="253"/>
      <c r="E3" s="253"/>
      <c r="F3" s="253"/>
    </row>
    <row r="4" spans="1:7">
      <c r="A4" s="259" t="s">
        <v>557</v>
      </c>
      <c r="B4" s="260" t="s">
        <v>558</v>
      </c>
      <c r="C4" s="253">
        <f t="shared" si="0"/>
        <v>0</v>
      </c>
      <c r="D4" s="253"/>
      <c r="E4" s="253">
        <v>0</v>
      </c>
      <c r="F4" s="253"/>
    </row>
    <row r="5" spans="1:7">
      <c r="A5" s="259" t="s">
        <v>559</v>
      </c>
      <c r="B5" s="260" t="s">
        <v>560</v>
      </c>
      <c r="C5" s="253">
        <f t="shared" si="0"/>
        <v>1691</v>
      </c>
      <c r="D5" s="253"/>
      <c r="E5" s="261">
        <v>1691</v>
      </c>
      <c r="F5" s="253"/>
    </row>
    <row r="6" spans="1:7">
      <c r="A6" s="259" t="s">
        <v>561</v>
      </c>
      <c r="B6" s="260" t="s">
        <v>562</v>
      </c>
      <c r="C6" s="253">
        <f t="shared" si="0"/>
        <v>1247</v>
      </c>
      <c r="D6" s="253"/>
      <c r="E6" s="253">
        <v>1247</v>
      </c>
      <c r="F6" s="253"/>
    </row>
    <row r="7" spans="1:7">
      <c r="A7" s="259" t="s">
        <v>563</v>
      </c>
      <c r="B7" s="260" t="s">
        <v>564</v>
      </c>
      <c r="C7" s="253">
        <f t="shared" si="0"/>
        <v>706</v>
      </c>
      <c r="D7" s="253"/>
      <c r="E7" s="253">
        <v>706</v>
      </c>
      <c r="F7" s="253"/>
    </row>
    <row r="8" spans="1:7">
      <c r="A8" s="262" t="s">
        <v>565</v>
      </c>
      <c r="B8" s="263" t="s">
        <v>566</v>
      </c>
      <c r="C8" s="254">
        <f>SUM(C2:C7)</f>
        <v>33799</v>
      </c>
      <c r="D8" s="254">
        <f t="shared" ref="D8:F8" si="1">SUM(D2:D7)</f>
        <v>0</v>
      </c>
      <c r="E8" s="254">
        <f t="shared" si="1"/>
        <v>33799</v>
      </c>
      <c r="F8" s="254">
        <f t="shared" si="1"/>
        <v>0</v>
      </c>
    </row>
    <row r="9" spans="1:7">
      <c r="A9" s="264" t="s">
        <v>567</v>
      </c>
      <c r="B9" s="263" t="s">
        <v>568</v>
      </c>
      <c r="C9" s="254">
        <f t="shared" si="0"/>
        <v>0</v>
      </c>
      <c r="D9" s="254"/>
      <c r="E9" s="254"/>
      <c r="F9" s="254"/>
    </row>
    <row r="10" spans="1:7">
      <c r="A10" s="264" t="s">
        <v>569</v>
      </c>
      <c r="B10" s="263" t="s">
        <v>570</v>
      </c>
      <c r="C10" s="254">
        <f t="shared" si="0"/>
        <v>0</v>
      </c>
      <c r="D10" s="254"/>
      <c r="E10" s="254"/>
      <c r="F10" s="254"/>
    </row>
    <row r="11" spans="1:7">
      <c r="A11" s="259" t="s">
        <v>571</v>
      </c>
      <c r="B11" s="260" t="s">
        <v>572</v>
      </c>
      <c r="C11" s="253">
        <f t="shared" si="0"/>
        <v>1584</v>
      </c>
      <c r="D11" s="253"/>
      <c r="E11" s="253">
        <v>1584</v>
      </c>
      <c r="F11" s="253"/>
    </row>
    <row r="12" spans="1:7">
      <c r="A12" s="259" t="s">
        <v>573</v>
      </c>
      <c r="B12" s="260" t="s">
        <v>574</v>
      </c>
      <c r="C12" s="253">
        <f t="shared" si="0"/>
        <v>260</v>
      </c>
      <c r="D12" s="253"/>
      <c r="E12" s="253">
        <v>260</v>
      </c>
      <c r="F12" s="253"/>
    </row>
    <row r="13" spans="1:7">
      <c r="A13" s="262" t="s">
        <v>575</v>
      </c>
      <c r="B13" s="263" t="s">
        <v>576</v>
      </c>
      <c r="C13" s="254">
        <f>SUM(C11:C12)</f>
        <v>1844</v>
      </c>
      <c r="D13" s="254">
        <f t="shared" ref="D13:F13" si="2">SUM(D11:D12)</f>
        <v>0</v>
      </c>
      <c r="E13" s="254">
        <f t="shared" si="2"/>
        <v>1844</v>
      </c>
      <c r="F13" s="254">
        <f t="shared" si="2"/>
        <v>0</v>
      </c>
    </row>
    <row r="14" spans="1:7">
      <c r="A14" s="264" t="s">
        <v>577</v>
      </c>
      <c r="B14" s="263" t="s">
        <v>578</v>
      </c>
      <c r="C14" s="254">
        <f t="shared" si="0"/>
        <v>0</v>
      </c>
      <c r="D14" s="254"/>
      <c r="E14" s="254"/>
      <c r="F14" s="254"/>
    </row>
    <row r="15" spans="1:7">
      <c r="A15" s="264" t="s">
        <v>579</v>
      </c>
      <c r="B15" s="263" t="s">
        <v>580</v>
      </c>
      <c r="C15" s="254">
        <f t="shared" si="0"/>
        <v>889</v>
      </c>
      <c r="D15" s="254"/>
      <c r="E15" s="254">
        <v>889</v>
      </c>
      <c r="F15" s="254"/>
      <c r="G15" s="265" t="s">
        <v>581</v>
      </c>
    </row>
    <row r="16" spans="1:7">
      <c r="A16" s="259" t="s">
        <v>582</v>
      </c>
      <c r="B16" s="260" t="s">
        <v>583</v>
      </c>
      <c r="C16" s="253">
        <f t="shared" si="0"/>
        <v>1200</v>
      </c>
      <c r="D16" s="253"/>
      <c r="E16" s="253">
        <v>1200</v>
      </c>
      <c r="F16" s="253"/>
    </row>
    <row r="17" spans="1:7">
      <c r="A17" s="259" t="s">
        <v>584</v>
      </c>
      <c r="B17" s="260" t="s">
        <v>585</v>
      </c>
      <c r="C17" s="253">
        <f t="shared" si="0"/>
        <v>0</v>
      </c>
      <c r="D17" s="253"/>
      <c r="E17" s="253"/>
      <c r="F17" s="253"/>
    </row>
    <row r="18" spans="1:7">
      <c r="A18" s="259" t="s">
        <v>586</v>
      </c>
      <c r="B18" s="260" t="s">
        <v>587</v>
      </c>
      <c r="C18" s="253">
        <f t="shared" si="0"/>
        <v>0</v>
      </c>
      <c r="D18" s="253"/>
      <c r="E18" s="253"/>
      <c r="F18" s="253"/>
    </row>
    <row r="19" spans="1:7">
      <c r="A19" s="259" t="s">
        <v>588</v>
      </c>
      <c r="B19" s="260" t="s">
        <v>589</v>
      </c>
      <c r="C19" s="253">
        <f t="shared" si="0"/>
        <v>0</v>
      </c>
      <c r="D19" s="253"/>
      <c r="E19" s="253"/>
      <c r="F19" s="253"/>
    </row>
    <row r="20" spans="1:7">
      <c r="A20" s="259" t="s">
        <v>590</v>
      </c>
      <c r="B20" s="260" t="s">
        <v>591</v>
      </c>
      <c r="C20" s="253">
        <f t="shared" si="0"/>
        <v>0</v>
      </c>
      <c r="D20" s="253"/>
      <c r="E20" s="253"/>
      <c r="F20" s="253"/>
    </row>
    <row r="21" spans="1:7">
      <c r="A21" s="259" t="s">
        <v>592</v>
      </c>
      <c r="B21" s="260" t="s">
        <v>593</v>
      </c>
      <c r="C21" s="253">
        <f t="shared" si="0"/>
        <v>0</v>
      </c>
      <c r="D21" s="253"/>
      <c r="E21" s="253"/>
      <c r="F21" s="253"/>
    </row>
    <row r="22" spans="1:7">
      <c r="A22" s="259" t="s">
        <v>594</v>
      </c>
      <c r="B22" s="260" t="s">
        <v>595</v>
      </c>
      <c r="C22" s="253">
        <f t="shared" si="0"/>
        <v>0</v>
      </c>
      <c r="D22" s="253"/>
      <c r="E22" s="253"/>
      <c r="F22" s="253"/>
    </row>
    <row r="23" spans="1:7">
      <c r="A23" s="262" t="s">
        <v>596</v>
      </c>
      <c r="B23" s="263" t="s">
        <v>597</v>
      </c>
      <c r="C23" s="254">
        <f>SUM(C16:C22)</f>
        <v>1200</v>
      </c>
      <c r="D23" s="254">
        <f t="shared" ref="D23:F23" si="3">SUM(D16:D22)</f>
        <v>0</v>
      </c>
      <c r="E23" s="254">
        <f t="shared" si="3"/>
        <v>1200</v>
      </c>
      <c r="F23" s="254">
        <f t="shared" si="3"/>
        <v>0</v>
      </c>
    </row>
    <row r="24" spans="1:7">
      <c r="A24" s="264" t="s">
        <v>598</v>
      </c>
      <c r="B24" s="263" t="s">
        <v>599</v>
      </c>
      <c r="C24" s="254">
        <f t="shared" si="0"/>
        <v>0</v>
      </c>
      <c r="D24" s="254"/>
      <c r="E24" s="254"/>
      <c r="F24" s="254"/>
    </row>
    <row r="25" spans="1:7">
      <c r="A25" s="264" t="s">
        <v>600</v>
      </c>
      <c r="B25" s="263" t="s">
        <v>601</v>
      </c>
      <c r="C25" s="254">
        <f t="shared" si="0"/>
        <v>400</v>
      </c>
      <c r="D25" s="254"/>
      <c r="E25" s="254">
        <v>400</v>
      </c>
      <c r="F25" s="254"/>
      <c r="G25" s="265" t="s">
        <v>602</v>
      </c>
    </row>
    <row r="26" spans="1:7">
      <c r="A26" s="264" t="s">
        <v>603</v>
      </c>
      <c r="B26" s="263" t="s">
        <v>604</v>
      </c>
      <c r="C26" s="254">
        <f t="shared" si="0"/>
        <v>0</v>
      </c>
      <c r="D26" s="254"/>
      <c r="E26" s="254"/>
      <c r="F26" s="254"/>
    </row>
    <row r="27" spans="1:7">
      <c r="A27" s="259" t="s">
        <v>605</v>
      </c>
      <c r="B27" s="260" t="s">
        <v>606</v>
      </c>
      <c r="C27" s="253">
        <f t="shared" si="0"/>
        <v>0</v>
      </c>
      <c r="D27" s="253"/>
      <c r="E27" s="253"/>
      <c r="F27" s="253"/>
    </row>
    <row r="28" spans="1:7">
      <c r="A28" s="259" t="s">
        <v>607</v>
      </c>
      <c r="B28" s="260" t="s">
        <v>608</v>
      </c>
      <c r="C28" s="253">
        <f t="shared" si="0"/>
        <v>0</v>
      </c>
      <c r="D28" s="253"/>
      <c r="E28" s="253"/>
      <c r="F28" s="253"/>
    </row>
    <row r="29" spans="1:7">
      <c r="A29" s="262" t="s">
        <v>609</v>
      </c>
      <c r="B29" s="263" t="s">
        <v>610</v>
      </c>
      <c r="C29" s="254">
        <f>SUM(C27:C28)</f>
        <v>0</v>
      </c>
      <c r="D29" s="254">
        <f t="shared" ref="D29:F29" si="4">SUM(D27:D28)</f>
        <v>0</v>
      </c>
      <c r="E29" s="254">
        <f t="shared" si="4"/>
        <v>0</v>
      </c>
      <c r="F29" s="254">
        <f t="shared" si="4"/>
        <v>0</v>
      </c>
    </row>
    <row r="30" spans="1:7">
      <c r="A30" s="264" t="s">
        <v>611</v>
      </c>
      <c r="B30" s="263" t="s">
        <v>612</v>
      </c>
      <c r="C30" s="254">
        <f t="shared" si="0"/>
        <v>170.005</v>
      </c>
      <c r="D30" s="254"/>
      <c r="E30" s="254">
        <v>170</v>
      </c>
      <c r="F30" s="254">
        <v>5.0000000000000001E-3</v>
      </c>
      <c r="G30" s="266">
        <v>0.05</v>
      </c>
    </row>
    <row r="31" spans="1:7">
      <c r="A31" s="259" t="s">
        <v>613</v>
      </c>
      <c r="B31" s="260" t="s">
        <v>614</v>
      </c>
      <c r="C31" s="253">
        <f t="shared" si="0"/>
        <v>0</v>
      </c>
      <c r="D31" s="253"/>
      <c r="E31" s="253"/>
      <c r="F31" s="253"/>
    </row>
    <row r="32" spans="1:7">
      <c r="A32" s="259" t="s">
        <v>615</v>
      </c>
      <c r="B32" s="260" t="s">
        <v>616</v>
      </c>
      <c r="C32" s="253">
        <f t="shared" si="0"/>
        <v>0</v>
      </c>
      <c r="D32" s="253"/>
      <c r="E32" s="253"/>
      <c r="F32" s="253"/>
    </row>
    <row r="33" spans="1:7">
      <c r="A33" s="259" t="s">
        <v>617</v>
      </c>
      <c r="B33" s="260" t="s">
        <v>618</v>
      </c>
      <c r="C33" s="253">
        <f t="shared" si="0"/>
        <v>0</v>
      </c>
      <c r="D33" s="253"/>
      <c r="E33" s="253"/>
      <c r="F33" s="253"/>
    </row>
    <row r="34" spans="1:7">
      <c r="A34" s="259" t="s">
        <v>619</v>
      </c>
      <c r="B34" s="260" t="s">
        <v>620</v>
      </c>
      <c r="C34" s="253">
        <f t="shared" si="0"/>
        <v>0</v>
      </c>
      <c r="D34" s="253"/>
      <c r="E34" s="253"/>
      <c r="F34" s="253"/>
    </row>
    <row r="35" spans="1:7">
      <c r="A35" s="259" t="s">
        <v>621</v>
      </c>
      <c r="B35" s="260" t="s">
        <v>622</v>
      </c>
      <c r="C35" s="253">
        <f t="shared" si="0"/>
        <v>0</v>
      </c>
      <c r="D35" s="253"/>
      <c r="E35" s="253"/>
      <c r="F35" s="253"/>
    </row>
    <row r="36" spans="1:7">
      <c r="A36" s="259" t="s">
        <v>623</v>
      </c>
      <c r="B36" s="260" t="s">
        <v>624</v>
      </c>
      <c r="C36" s="253">
        <f t="shared" si="0"/>
        <v>0</v>
      </c>
      <c r="D36" s="253"/>
      <c r="E36" s="253"/>
      <c r="F36" s="253"/>
    </row>
    <row r="37" spans="1:7">
      <c r="A37" s="262" t="s">
        <v>625</v>
      </c>
      <c r="B37" s="263" t="s">
        <v>626</v>
      </c>
      <c r="C37" s="254">
        <f>SUM(C31:C36)</f>
        <v>0</v>
      </c>
      <c r="D37" s="254">
        <f t="shared" ref="D37:F37" si="5">SUM(D31:D36)</f>
        <v>0</v>
      </c>
      <c r="E37" s="254">
        <f t="shared" si="5"/>
        <v>0</v>
      </c>
      <c r="F37" s="254">
        <f t="shared" si="5"/>
        <v>0</v>
      </c>
    </row>
    <row r="38" spans="1:7">
      <c r="A38" s="267" t="s">
        <v>627</v>
      </c>
      <c r="B38" s="268" t="s">
        <v>628</v>
      </c>
      <c r="C38" s="255">
        <f>C8+C9+C10+C13+C14+C15+C23+C24+C25+C26+C29+C30+C37</f>
        <v>38302.004999999997</v>
      </c>
      <c r="D38" s="255">
        <f t="shared" ref="D38:F38" si="6">D8+D9+D10+D13+D14+D15+D23+D24+D25+D26+D29+D30+D37</f>
        <v>0</v>
      </c>
      <c r="E38" s="255">
        <f t="shared" si="6"/>
        <v>38302</v>
      </c>
      <c r="F38" s="255">
        <f t="shared" si="6"/>
        <v>5.0000000000000001E-3</v>
      </c>
    </row>
    <row r="39" spans="1:7">
      <c r="A39" s="259" t="s">
        <v>629</v>
      </c>
      <c r="B39" s="260" t="s">
        <v>630</v>
      </c>
      <c r="C39" s="253">
        <f t="shared" si="0"/>
        <v>0</v>
      </c>
      <c r="D39" s="253"/>
      <c r="E39" s="253"/>
      <c r="F39" s="253"/>
    </row>
    <row r="40" spans="1:7">
      <c r="A40" s="259" t="s">
        <v>631</v>
      </c>
      <c r="B40" s="260" t="s">
        <v>632</v>
      </c>
      <c r="C40" s="253">
        <f t="shared" si="0"/>
        <v>0</v>
      </c>
      <c r="D40" s="253"/>
      <c r="E40" s="253"/>
      <c r="F40" s="253"/>
    </row>
    <row r="41" spans="1:7">
      <c r="A41" s="262" t="s">
        <v>633</v>
      </c>
      <c r="B41" s="263" t="s">
        <v>634</v>
      </c>
      <c r="C41" s="254">
        <f>SUM(C39:C40)</f>
        <v>0</v>
      </c>
      <c r="D41" s="254">
        <f t="shared" ref="D41:F41" si="7">SUM(D39:D40)</f>
        <v>0</v>
      </c>
      <c r="E41" s="254">
        <f t="shared" si="7"/>
        <v>0</v>
      </c>
      <c r="F41" s="254">
        <f t="shared" si="7"/>
        <v>0</v>
      </c>
    </row>
    <row r="42" spans="1:7">
      <c r="A42" s="259" t="s">
        <v>635</v>
      </c>
      <c r="B42" s="260" t="s">
        <v>636</v>
      </c>
      <c r="C42" s="253">
        <f t="shared" si="0"/>
        <v>300</v>
      </c>
      <c r="D42" s="253"/>
      <c r="E42" s="253">
        <v>300</v>
      </c>
      <c r="F42" s="253"/>
      <c r="G42" s="265" t="s">
        <v>637</v>
      </c>
    </row>
    <row r="43" spans="1:7">
      <c r="A43" s="259" t="s">
        <v>638</v>
      </c>
      <c r="B43" s="260" t="s">
        <v>639</v>
      </c>
      <c r="C43" s="253">
        <f t="shared" si="0"/>
        <v>0</v>
      </c>
      <c r="D43" s="253"/>
      <c r="E43" s="253"/>
      <c r="F43" s="253"/>
    </row>
    <row r="44" spans="1:7">
      <c r="A44" s="262" t="s">
        <v>640</v>
      </c>
      <c r="B44" s="263" t="s">
        <v>641</v>
      </c>
      <c r="C44" s="254">
        <f>SUM(C42:C43)</f>
        <v>300</v>
      </c>
      <c r="D44" s="254">
        <f t="shared" ref="D44:F44" si="8">SUM(D42:D43)</f>
        <v>0</v>
      </c>
      <c r="E44" s="254">
        <f t="shared" si="8"/>
        <v>300</v>
      </c>
      <c r="F44" s="254">
        <f t="shared" si="8"/>
        <v>0</v>
      </c>
    </row>
    <row r="45" spans="1:7">
      <c r="A45" s="259" t="s">
        <v>642</v>
      </c>
      <c r="B45" s="260" t="s">
        <v>643</v>
      </c>
      <c r="C45" s="253">
        <f t="shared" si="0"/>
        <v>0</v>
      </c>
      <c r="D45" s="253"/>
      <c r="E45" s="253"/>
      <c r="F45" s="253"/>
    </row>
    <row r="46" spans="1:7">
      <c r="A46" s="259" t="s">
        <v>644</v>
      </c>
      <c r="B46" s="260" t="s">
        <v>645</v>
      </c>
      <c r="C46" s="253">
        <f t="shared" si="0"/>
        <v>0</v>
      </c>
      <c r="D46" s="253"/>
      <c r="E46" s="253"/>
      <c r="F46" s="253"/>
    </row>
    <row r="47" spans="1:7">
      <c r="A47" s="259" t="s">
        <v>646</v>
      </c>
      <c r="B47" s="260" t="s">
        <v>647</v>
      </c>
      <c r="C47" s="253">
        <f t="shared" si="0"/>
        <v>0</v>
      </c>
      <c r="D47" s="253"/>
      <c r="E47" s="253"/>
      <c r="F47" s="253"/>
    </row>
    <row r="48" spans="1:7">
      <c r="A48" s="259" t="s">
        <v>648</v>
      </c>
      <c r="B48" s="260" t="s">
        <v>649</v>
      </c>
      <c r="C48" s="253">
        <f t="shared" si="0"/>
        <v>0</v>
      </c>
      <c r="D48" s="253"/>
      <c r="E48" s="253"/>
      <c r="F48" s="253"/>
    </row>
    <row r="49" spans="1:7">
      <c r="A49" s="259" t="s">
        <v>650</v>
      </c>
      <c r="B49" s="260" t="s">
        <v>651</v>
      </c>
      <c r="C49" s="253">
        <f t="shared" si="0"/>
        <v>0</v>
      </c>
      <c r="D49" s="253"/>
      <c r="E49" s="253"/>
      <c r="F49" s="253"/>
    </row>
    <row r="50" spans="1:7">
      <c r="A50" s="259" t="s">
        <v>652</v>
      </c>
      <c r="B50" s="260" t="s">
        <v>653</v>
      </c>
      <c r="C50" s="253">
        <f t="shared" si="0"/>
        <v>100</v>
      </c>
      <c r="D50" s="253"/>
      <c r="E50" s="253">
        <v>100</v>
      </c>
      <c r="F50" s="253"/>
      <c r="G50" s="265" t="s">
        <v>654</v>
      </c>
    </row>
    <row r="51" spans="1:7">
      <c r="A51" s="259" t="s">
        <v>655</v>
      </c>
      <c r="B51" s="260" t="s">
        <v>656</v>
      </c>
      <c r="C51" s="253">
        <f t="shared" si="0"/>
        <v>0</v>
      </c>
      <c r="D51" s="253"/>
      <c r="E51" s="253"/>
      <c r="F51" s="253"/>
    </row>
    <row r="52" spans="1:7">
      <c r="A52" s="262" t="s">
        <v>657</v>
      </c>
      <c r="B52" s="263" t="s">
        <v>658</v>
      </c>
      <c r="C52" s="254">
        <f>SUM(C45:C51)</f>
        <v>100</v>
      </c>
      <c r="D52" s="254">
        <f t="shared" ref="D52:F52" si="9">SUM(D45:D51)</f>
        <v>0</v>
      </c>
      <c r="E52" s="254">
        <f t="shared" si="9"/>
        <v>100</v>
      </c>
      <c r="F52" s="254">
        <f t="shared" si="9"/>
        <v>0</v>
      </c>
    </row>
    <row r="53" spans="1:7" s="269" customFormat="1">
      <c r="A53" s="267" t="s">
        <v>659</v>
      </c>
      <c r="B53" s="268" t="s">
        <v>660</v>
      </c>
      <c r="C53" s="255">
        <f>C41+C44+C52</f>
        <v>400</v>
      </c>
      <c r="D53" s="255">
        <f t="shared" ref="D53:F53" si="10">D41+D44+D52</f>
        <v>0</v>
      </c>
      <c r="E53" s="255">
        <f t="shared" si="10"/>
        <v>400</v>
      </c>
      <c r="F53" s="255">
        <f t="shared" si="10"/>
        <v>0</v>
      </c>
    </row>
    <row r="54" spans="1:7" s="269" customFormat="1">
      <c r="A54" s="270" t="s">
        <v>661</v>
      </c>
      <c r="B54" s="271" t="s">
        <v>662</v>
      </c>
      <c r="C54" s="272">
        <f>C38+C53</f>
        <v>38702.004999999997</v>
      </c>
      <c r="D54" s="272">
        <f t="shared" ref="D54:F54" si="11">D38+D53</f>
        <v>0</v>
      </c>
      <c r="E54" s="272">
        <f t="shared" si="11"/>
        <v>38702</v>
      </c>
      <c r="F54" s="272">
        <f t="shared" si="11"/>
        <v>5.0000000000000001E-3</v>
      </c>
    </row>
    <row r="55" spans="1:7">
      <c r="A55" s="259" t="s">
        <v>663</v>
      </c>
      <c r="B55" s="260" t="s">
        <v>664</v>
      </c>
      <c r="C55" s="253">
        <f t="shared" ref="C55:C62" si="12">SUM(D55:F55)</f>
        <v>9945</v>
      </c>
      <c r="D55" s="253"/>
      <c r="E55" s="253">
        <f>ROUND((E8+E13+E15+E44)*0.27,0)</f>
        <v>9945</v>
      </c>
      <c r="F55" s="253"/>
    </row>
    <row r="56" spans="1:7">
      <c r="A56" s="259" t="s">
        <v>665</v>
      </c>
      <c r="B56" s="260" t="s">
        <v>666</v>
      </c>
      <c r="C56" s="253">
        <f t="shared" si="12"/>
        <v>0</v>
      </c>
      <c r="D56" s="253"/>
      <c r="F56" s="253"/>
    </row>
    <row r="57" spans="1:7">
      <c r="A57" s="259" t="s">
        <v>667</v>
      </c>
      <c r="B57" s="260" t="s">
        <v>668</v>
      </c>
      <c r="C57" s="253">
        <f t="shared" si="12"/>
        <v>232</v>
      </c>
      <c r="D57" s="253"/>
      <c r="E57" s="253">
        <f>ROUND(E50*1.19*0.27+E23*1.19*0.14,0)</f>
        <v>232</v>
      </c>
      <c r="F57" s="253"/>
    </row>
    <row r="58" spans="1:7">
      <c r="A58" s="259" t="s">
        <v>669</v>
      </c>
      <c r="B58" s="260" t="s">
        <v>670</v>
      </c>
      <c r="C58" s="253">
        <f t="shared" si="12"/>
        <v>0</v>
      </c>
      <c r="D58" s="253"/>
      <c r="E58" s="253"/>
      <c r="F58" s="253"/>
    </row>
    <row r="59" spans="1:7">
      <c r="A59" s="259" t="s">
        <v>671</v>
      </c>
      <c r="B59" s="260" t="s">
        <v>672</v>
      </c>
      <c r="C59" s="253">
        <f t="shared" si="12"/>
        <v>0</v>
      </c>
      <c r="D59" s="253"/>
      <c r="E59" s="253"/>
      <c r="F59" s="253"/>
    </row>
    <row r="60" spans="1:7">
      <c r="A60" s="259" t="s">
        <v>673</v>
      </c>
      <c r="B60" s="260" t="s">
        <v>674</v>
      </c>
      <c r="C60" s="253">
        <f t="shared" si="12"/>
        <v>0</v>
      </c>
      <c r="D60" s="253"/>
      <c r="E60" s="253"/>
      <c r="F60" s="253"/>
    </row>
    <row r="61" spans="1:7">
      <c r="A61" s="259" t="s">
        <v>675</v>
      </c>
      <c r="B61" s="260" t="s">
        <v>676</v>
      </c>
      <c r="C61" s="253">
        <f t="shared" si="12"/>
        <v>248</v>
      </c>
      <c r="D61" s="253"/>
      <c r="E61" s="253">
        <f>ROUND((E50+E23)*1.19*0.16,0)</f>
        <v>248</v>
      </c>
      <c r="F61" s="253"/>
    </row>
    <row r="62" spans="1:7">
      <c r="A62" s="259" t="s">
        <v>677</v>
      </c>
      <c r="B62" s="260" t="s">
        <v>678</v>
      </c>
      <c r="C62" s="253">
        <f t="shared" si="12"/>
        <v>0</v>
      </c>
      <c r="D62" s="253"/>
      <c r="E62" s="253"/>
      <c r="F62" s="253"/>
    </row>
    <row r="63" spans="1:7">
      <c r="A63" s="270" t="s">
        <v>679</v>
      </c>
      <c r="B63" s="271" t="s">
        <v>680</v>
      </c>
      <c r="C63" s="272">
        <f>SUM(C55:C62)</f>
        <v>10425</v>
      </c>
      <c r="D63" s="272">
        <f t="shared" ref="D63:F63" si="13">SUM(D55:D62)</f>
        <v>0</v>
      </c>
      <c r="E63" s="272">
        <f t="shared" si="13"/>
        <v>10425</v>
      </c>
      <c r="F63" s="272">
        <f t="shared" si="13"/>
        <v>0</v>
      </c>
    </row>
    <row r="64" spans="1:7">
      <c r="A64" s="259" t="s">
        <v>681</v>
      </c>
      <c r="B64" s="260" t="s">
        <v>682</v>
      </c>
      <c r="C64" s="253">
        <f t="shared" ref="C64:C79" si="14">SUM(D64:F64)</f>
        <v>6</v>
      </c>
      <c r="D64" s="253"/>
      <c r="E64" s="253">
        <v>6</v>
      </c>
      <c r="F64" s="253"/>
      <c r="G64" s="265"/>
    </row>
    <row r="65" spans="1:7">
      <c r="A65" s="259" t="s">
        <v>683</v>
      </c>
      <c r="B65" s="260" t="s">
        <v>684</v>
      </c>
      <c r="C65" s="253">
        <f t="shared" si="14"/>
        <v>0</v>
      </c>
      <c r="D65" s="253"/>
      <c r="E65" s="253"/>
      <c r="F65" s="253"/>
    </row>
    <row r="66" spans="1:7">
      <c r="A66" s="259" t="s">
        <v>685</v>
      </c>
      <c r="B66" s="260" t="s">
        <v>686</v>
      </c>
      <c r="C66" s="253">
        <f t="shared" si="14"/>
        <v>70</v>
      </c>
      <c r="D66" s="253"/>
      <c r="E66" s="253">
        <v>70</v>
      </c>
      <c r="F66" s="253"/>
      <c r="G66" s="265" t="s">
        <v>687</v>
      </c>
    </row>
    <row r="67" spans="1:7">
      <c r="A67" s="259" t="s">
        <v>688</v>
      </c>
      <c r="B67" s="260" t="s">
        <v>689</v>
      </c>
      <c r="C67" s="253">
        <f t="shared" si="14"/>
        <v>0</v>
      </c>
      <c r="D67" s="253"/>
      <c r="E67" s="253"/>
      <c r="F67" s="253"/>
    </row>
    <row r="68" spans="1:7">
      <c r="A68" s="259" t="s">
        <v>690</v>
      </c>
      <c r="B68" s="260" t="s">
        <v>691</v>
      </c>
      <c r="C68" s="253">
        <f t="shared" si="14"/>
        <v>0</v>
      </c>
      <c r="D68" s="253"/>
      <c r="E68" s="253"/>
      <c r="F68" s="253"/>
    </row>
    <row r="69" spans="1:7">
      <c r="A69" s="259" t="s">
        <v>692</v>
      </c>
      <c r="B69" s="260" t="s">
        <v>693</v>
      </c>
      <c r="C69" s="253">
        <f t="shared" si="14"/>
        <v>500</v>
      </c>
      <c r="D69" s="253"/>
      <c r="E69" s="253">
        <v>500</v>
      </c>
      <c r="F69" s="253"/>
      <c r="G69" s="265" t="s">
        <v>694</v>
      </c>
    </row>
    <row r="70" spans="1:7">
      <c r="A70" s="262" t="s">
        <v>695</v>
      </c>
      <c r="B70" s="263" t="s">
        <v>696</v>
      </c>
      <c r="C70" s="254">
        <f>SUM(C64:C69)</f>
        <v>576</v>
      </c>
      <c r="D70" s="254">
        <f t="shared" ref="D70:F70" si="15">SUM(D64:D69)</f>
        <v>0</v>
      </c>
      <c r="E70" s="254">
        <f t="shared" si="15"/>
        <v>576</v>
      </c>
      <c r="F70" s="254">
        <f t="shared" si="15"/>
        <v>0</v>
      </c>
    </row>
    <row r="71" spans="1:7">
      <c r="A71" s="259" t="s">
        <v>697</v>
      </c>
      <c r="B71" s="260" t="s">
        <v>698</v>
      </c>
      <c r="C71" s="253">
        <f t="shared" si="14"/>
        <v>0</v>
      </c>
      <c r="D71" s="253"/>
      <c r="E71" s="253"/>
      <c r="F71" s="253"/>
    </row>
    <row r="72" spans="1:7">
      <c r="A72" s="259" t="s">
        <v>699</v>
      </c>
      <c r="B72" s="260" t="s">
        <v>700</v>
      </c>
      <c r="C72" s="253">
        <f t="shared" si="14"/>
        <v>120</v>
      </c>
      <c r="D72" s="253"/>
      <c r="E72" s="253">
        <v>120</v>
      </c>
      <c r="F72" s="253"/>
    </row>
    <row r="73" spans="1:7">
      <c r="A73" s="259" t="s">
        <v>701</v>
      </c>
      <c r="B73" s="260" t="s">
        <v>702</v>
      </c>
      <c r="C73" s="253">
        <f t="shared" si="14"/>
        <v>0</v>
      </c>
      <c r="D73" s="253"/>
      <c r="E73" s="253"/>
      <c r="F73" s="253"/>
    </row>
    <row r="74" spans="1:7">
      <c r="A74" s="259" t="s">
        <v>703</v>
      </c>
      <c r="B74" s="260" t="s">
        <v>704</v>
      </c>
      <c r="C74" s="253">
        <f t="shared" si="14"/>
        <v>0</v>
      </c>
      <c r="D74" s="253"/>
      <c r="E74" s="253"/>
      <c r="F74" s="253"/>
    </row>
    <row r="75" spans="1:7">
      <c r="A75" s="259" t="s">
        <v>705</v>
      </c>
      <c r="B75" s="260" t="s">
        <v>706</v>
      </c>
      <c r="C75" s="253">
        <f t="shared" si="14"/>
        <v>195</v>
      </c>
      <c r="D75" s="253"/>
      <c r="E75" s="253">
        <v>195</v>
      </c>
      <c r="F75" s="253"/>
      <c r="G75" s="265" t="s">
        <v>707</v>
      </c>
    </row>
    <row r="76" spans="1:7">
      <c r="A76" s="259" t="s">
        <v>708</v>
      </c>
      <c r="B76" s="260" t="s">
        <v>709</v>
      </c>
      <c r="C76" s="253">
        <f t="shared" si="14"/>
        <v>400</v>
      </c>
      <c r="D76" s="253"/>
      <c r="E76" s="253">
        <v>400</v>
      </c>
      <c r="F76" s="253"/>
      <c r="G76" s="265" t="s">
        <v>710</v>
      </c>
    </row>
    <row r="77" spans="1:7">
      <c r="A77" s="262" t="s">
        <v>711</v>
      </c>
      <c r="B77" s="263" t="s">
        <v>712</v>
      </c>
      <c r="C77" s="254">
        <f>SUM(C71:C76)</f>
        <v>715</v>
      </c>
      <c r="D77" s="254">
        <f t="shared" ref="D77:F77" si="16">SUM(D71:D76)</f>
        <v>0</v>
      </c>
      <c r="E77" s="254">
        <f t="shared" si="16"/>
        <v>715</v>
      </c>
      <c r="F77" s="254">
        <f t="shared" si="16"/>
        <v>0</v>
      </c>
    </row>
    <row r="78" spans="1:7">
      <c r="A78" s="259" t="s">
        <v>713</v>
      </c>
      <c r="B78" s="260" t="s">
        <v>233</v>
      </c>
      <c r="C78" s="253">
        <f t="shared" si="14"/>
        <v>0</v>
      </c>
      <c r="D78" s="253"/>
      <c r="E78" s="253"/>
      <c r="F78" s="253"/>
    </row>
    <row r="79" spans="1:7">
      <c r="A79" s="259" t="s">
        <v>714</v>
      </c>
      <c r="B79" s="260" t="s">
        <v>715</v>
      </c>
      <c r="C79" s="253">
        <f t="shared" si="14"/>
        <v>0</v>
      </c>
      <c r="D79" s="253"/>
      <c r="E79" s="253"/>
      <c r="F79" s="253"/>
    </row>
    <row r="80" spans="1:7">
      <c r="A80" s="262" t="s">
        <v>716</v>
      </c>
      <c r="B80" s="263" t="s">
        <v>717</v>
      </c>
      <c r="C80" s="254">
        <f>SUM(C78:C79)</f>
        <v>0</v>
      </c>
      <c r="D80" s="254">
        <f t="shared" ref="D80:F80" si="17">SUM(D78:D79)</f>
        <v>0</v>
      </c>
      <c r="E80" s="254">
        <f t="shared" si="17"/>
        <v>0</v>
      </c>
      <c r="F80" s="254">
        <f t="shared" si="17"/>
        <v>0</v>
      </c>
    </row>
    <row r="81" spans="1:7">
      <c r="A81" s="267" t="s">
        <v>718</v>
      </c>
      <c r="B81" s="268" t="s">
        <v>719</v>
      </c>
      <c r="C81" s="255">
        <f>C70+C77+C80</f>
        <v>1291</v>
      </c>
      <c r="D81" s="255">
        <f t="shared" ref="D81:F81" si="18">D70+D77+D80</f>
        <v>0</v>
      </c>
      <c r="E81" s="255">
        <f t="shared" si="18"/>
        <v>1291</v>
      </c>
      <c r="F81" s="255">
        <f t="shared" si="18"/>
        <v>0</v>
      </c>
    </row>
    <row r="82" spans="1:7">
      <c r="A82" s="259" t="s">
        <v>720</v>
      </c>
      <c r="B82" s="260" t="s">
        <v>721</v>
      </c>
      <c r="C82" s="253">
        <f t="shared" ref="C82:C90" si="19">SUM(D82:F82)</f>
        <v>0</v>
      </c>
      <c r="D82" s="253"/>
      <c r="E82" s="253"/>
      <c r="F82" s="253"/>
    </row>
    <row r="83" spans="1:7">
      <c r="A83" s="259" t="s">
        <v>722</v>
      </c>
      <c r="B83" s="260" t="s">
        <v>723</v>
      </c>
      <c r="C83" s="253">
        <f t="shared" si="19"/>
        <v>10</v>
      </c>
      <c r="D83" s="253"/>
      <c r="E83" s="253">
        <v>10</v>
      </c>
      <c r="F83" s="253"/>
      <c r="G83" s="265" t="s">
        <v>724</v>
      </c>
    </row>
    <row r="84" spans="1:7">
      <c r="A84" s="259" t="s">
        <v>725</v>
      </c>
      <c r="B84" s="260" t="s">
        <v>726</v>
      </c>
      <c r="C84" s="253">
        <f t="shared" si="19"/>
        <v>0</v>
      </c>
      <c r="D84" s="253"/>
      <c r="E84" s="253"/>
      <c r="F84" s="253"/>
    </row>
    <row r="85" spans="1:7">
      <c r="A85" s="259" t="s">
        <v>727</v>
      </c>
      <c r="B85" s="260" t="s">
        <v>728</v>
      </c>
      <c r="C85" s="253">
        <f t="shared" si="19"/>
        <v>20</v>
      </c>
      <c r="D85" s="253"/>
      <c r="E85" s="253">
        <v>20</v>
      </c>
      <c r="F85" s="253"/>
    </row>
    <row r="86" spans="1:7">
      <c r="A86" s="259" t="s">
        <v>729</v>
      </c>
      <c r="B86" s="260" t="s">
        <v>730</v>
      </c>
      <c r="C86" s="253">
        <f t="shared" si="19"/>
        <v>72</v>
      </c>
      <c r="D86" s="253"/>
      <c r="E86" s="253">
        <v>72</v>
      </c>
      <c r="F86" s="253"/>
      <c r="G86" s="265" t="s">
        <v>731</v>
      </c>
    </row>
    <row r="87" spans="1:7">
      <c r="A87" s="259" t="s">
        <v>732</v>
      </c>
      <c r="B87" s="260" t="s">
        <v>733</v>
      </c>
      <c r="C87" s="253">
        <f t="shared" si="19"/>
        <v>0</v>
      </c>
      <c r="D87" s="253"/>
      <c r="E87" s="253"/>
      <c r="F87" s="253"/>
    </row>
    <row r="88" spans="1:7">
      <c r="A88" s="262" t="s">
        <v>734</v>
      </c>
      <c r="B88" s="263" t="s">
        <v>237</v>
      </c>
      <c r="C88" s="254">
        <f>SUM(C82:C87)</f>
        <v>102</v>
      </c>
      <c r="D88" s="254">
        <f t="shared" ref="D88:F88" si="20">SUM(D82:D87)</f>
        <v>0</v>
      </c>
      <c r="E88" s="254">
        <f t="shared" si="20"/>
        <v>102</v>
      </c>
      <c r="F88" s="254">
        <f t="shared" si="20"/>
        <v>0</v>
      </c>
    </row>
    <row r="89" spans="1:7">
      <c r="A89" s="259" t="s">
        <v>735</v>
      </c>
      <c r="B89" s="260" t="s">
        <v>736</v>
      </c>
      <c r="C89" s="253">
        <f t="shared" si="19"/>
        <v>123</v>
      </c>
      <c r="D89" s="253"/>
      <c r="E89" s="253">
        <v>123</v>
      </c>
      <c r="F89" s="253"/>
    </row>
    <row r="90" spans="1:7">
      <c r="A90" s="259" t="s">
        <v>737</v>
      </c>
      <c r="B90" s="260" t="s">
        <v>239</v>
      </c>
      <c r="C90" s="253">
        <f t="shared" si="19"/>
        <v>0</v>
      </c>
      <c r="D90" s="253"/>
      <c r="E90" s="253"/>
      <c r="F90" s="253"/>
    </row>
    <row r="91" spans="1:7">
      <c r="A91" s="262" t="s">
        <v>738</v>
      </c>
      <c r="B91" s="263" t="s">
        <v>739</v>
      </c>
      <c r="C91" s="254">
        <f>SUM(C89:C90)</f>
        <v>123</v>
      </c>
      <c r="D91" s="254">
        <f t="shared" ref="D91:F91" si="21">SUM(D89:D90)</f>
        <v>0</v>
      </c>
      <c r="E91" s="254">
        <f t="shared" si="21"/>
        <v>123</v>
      </c>
      <c r="F91" s="254">
        <f t="shared" si="21"/>
        <v>0</v>
      </c>
    </row>
    <row r="92" spans="1:7">
      <c r="A92" s="267" t="s">
        <v>740</v>
      </c>
      <c r="B92" s="268" t="s">
        <v>741</v>
      </c>
      <c r="C92" s="255">
        <f>C88+C91</f>
        <v>225</v>
      </c>
      <c r="D92" s="255">
        <f t="shared" ref="D92:F92" si="22">D88+D91</f>
        <v>0</v>
      </c>
      <c r="E92" s="255">
        <f t="shared" si="22"/>
        <v>225</v>
      </c>
      <c r="F92" s="255">
        <f t="shared" si="22"/>
        <v>0</v>
      </c>
    </row>
    <row r="93" spans="1:7">
      <c r="A93" s="259" t="s">
        <v>742</v>
      </c>
      <c r="B93" s="260" t="s">
        <v>743</v>
      </c>
      <c r="C93" s="253">
        <f t="shared" ref="C93:C113" si="23">SUM(D93:F93)</f>
        <v>548</v>
      </c>
      <c r="D93" s="253"/>
      <c r="E93" s="253">
        <v>548</v>
      </c>
      <c r="F93" s="253"/>
      <c r="G93" s="265" t="s">
        <v>744</v>
      </c>
    </row>
    <row r="94" spans="1:7">
      <c r="A94" s="259" t="s">
        <v>745</v>
      </c>
      <c r="B94" s="260" t="s">
        <v>746</v>
      </c>
      <c r="C94" s="253">
        <f t="shared" si="23"/>
        <v>1045</v>
      </c>
      <c r="D94" s="253"/>
      <c r="E94" s="253">
        <v>1045</v>
      </c>
      <c r="F94" s="253"/>
      <c r="G94" s="265" t="s">
        <v>747</v>
      </c>
    </row>
    <row r="95" spans="1:7">
      <c r="A95" s="259" t="s">
        <v>748</v>
      </c>
      <c r="B95" s="260" t="s">
        <v>749</v>
      </c>
      <c r="C95" s="253">
        <f t="shared" si="23"/>
        <v>0</v>
      </c>
      <c r="D95" s="253"/>
      <c r="E95" s="253"/>
      <c r="F95" s="253"/>
    </row>
    <row r="96" spans="1:7">
      <c r="A96" s="259" t="s">
        <v>750</v>
      </c>
      <c r="B96" s="260" t="s">
        <v>751</v>
      </c>
      <c r="C96" s="253">
        <f t="shared" si="23"/>
        <v>399</v>
      </c>
      <c r="D96" s="253"/>
      <c r="E96" s="253">
        <v>399</v>
      </c>
      <c r="F96" s="253"/>
    </row>
    <row r="97" spans="1:7">
      <c r="A97" s="262" t="s">
        <v>752</v>
      </c>
      <c r="B97" s="263" t="s">
        <v>753</v>
      </c>
      <c r="C97" s="254">
        <f>SUM(C93:C96)</f>
        <v>1992</v>
      </c>
      <c r="D97" s="254">
        <f t="shared" ref="D97:F97" si="24">SUM(D93:D96)</f>
        <v>0</v>
      </c>
      <c r="E97" s="254">
        <f t="shared" si="24"/>
        <v>1992</v>
      </c>
      <c r="F97" s="254">
        <f t="shared" si="24"/>
        <v>0</v>
      </c>
    </row>
    <row r="98" spans="1:7">
      <c r="A98" s="264" t="s">
        <v>754</v>
      </c>
      <c r="B98" s="263" t="s">
        <v>245</v>
      </c>
      <c r="C98" s="254">
        <f t="shared" si="23"/>
        <v>4895</v>
      </c>
      <c r="D98" s="254">
        <v>4895</v>
      </c>
      <c r="E98" s="254"/>
      <c r="F98" s="254"/>
    </row>
    <row r="99" spans="1:7">
      <c r="A99" s="259" t="s">
        <v>755</v>
      </c>
      <c r="B99" s="260" t="s">
        <v>756</v>
      </c>
      <c r="C99" s="253">
        <f t="shared" si="23"/>
        <v>0</v>
      </c>
      <c r="D99" s="253"/>
      <c r="E99" s="253"/>
      <c r="F99" s="253"/>
    </row>
    <row r="100" spans="1:7">
      <c r="A100" s="259" t="s">
        <v>757</v>
      </c>
      <c r="B100" s="260" t="s">
        <v>758</v>
      </c>
      <c r="C100" s="253">
        <f t="shared" si="23"/>
        <v>0</v>
      </c>
      <c r="D100" s="253"/>
      <c r="E100" s="253"/>
      <c r="F100" s="253"/>
    </row>
    <row r="101" spans="1:7">
      <c r="A101" s="264">
        <v>53331</v>
      </c>
      <c r="B101" s="263" t="s">
        <v>759</v>
      </c>
      <c r="C101" s="254">
        <f>SUM(C99:C100)</f>
        <v>0</v>
      </c>
      <c r="D101" s="254">
        <f t="shared" ref="D101:F101" si="25">SUM(D99:D100)</f>
        <v>0</v>
      </c>
      <c r="E101" s="254"/>
      <c r="F101" s="254">
        <f t="shared" si="25"/>
        <v>0</v>
      </c>
      <c r="G101" s="265"/>
    </row>
    <row r="102" spans="1:7">
      <c r="A102" s="264" t="s">
        <v>760</v>
      </c>
      <c r="B102" s="263" t="s">
        <v>249</v>
      </c>
      <c r="C102" s="254">
        <f t="shared" si="23"/>
        <v>1100</v>
      </c>
      <c r="D102" s="254"/>
      <c r="E102" s="254">
        <v>1100</v>
      </c>
      <c r="F102" s="254"/>
      <c r="G102" s="265" t="s">
        <v>761</v>
      </c>
    </row>
    <row r="103" spans="1:7">
      <c r="A103" s="259" t="s">
        <v>762</v>
      </c>
      <c r="B103" s="260" t="s">
        <v>763</v>
      </c>
      <c r="C103" s="253">
        <f t="shared" si="23"/>
        <v>0</v>
      </c>
      <c r="D103" s="253"/>
      <c r="E103" s="253"/>
      <c r="F103" s="253"/>
    </row>
    <row r="104" spans="1:7">
      <c r="A104" s="259" t="s">
        <v>764</v>
      </c>
      <c r="B104" s="260" t="s">
        <v>765</v>
      </c>
      <c r="C104" s="253">
        <f t="shared" si="23"/>
        <v>0</v>
      </c>
      <c r="D104" s="253"/>
      <c r="E104" s="253"/>
      <c r="F104" s="253"/>
    </row>
    <row r="105" spans="1:7">
      <c r="A105" s="262" t="s">
        <v>766</v>
      </c>
      <c r="B105" s="263" t="s">
        <v>767</v>
      </c>
      <c r="C105" s="254">
        <f>SUM(C103:C104)</f>
        <v>0</v>
      </c>
      <c r="D105" s="254">
        <f t="shared" ref="D105:F105" si="26">SUM(D103:D104)</f>
        <v>0</v>
      </c>
      <c r="E105" s="254">
        <f t="shared" si="26"/>
        <v>0</v>
      </c>
      <c r="F105" s="254">
        <f t="shared" si="26"/>
        <v>0</v>
      </c>
    </row>
    <row r="106" spans="1:7">
      <c r="A106" s="259" t="s">
        <v>768</v>
      </c>
      <c r="B106" s="260" t="s">
        <v>769</v>
      </c>
      <c r="C106" s="253">
        <f t="shared" si="23"/>
        <v>0</v>
      </c>
      <c r="D106" s="253"/>
      <c r="E106" s="253"/>
      <c r="F106" s="253"/>
    </row>
    <row r="107" spans="1:7">
      <c r="A107" s="259" t="s">
        <v>770</v>
      </c>
      <c r="B107" s="260" t="s">
        <v>771</v>
      </c>
      <c r="C107" s="253">
        <f t="shared" si="23"/>
        <v>0</v>
      </c>
      <c r="D107" s="253"/>
      <c r="E107" s="253"/>
      <c r="F107" s="253"/>
    </row>
    <row r="108" spans="1:7">
      <c r="A108" s="259" t="s">
        <v>772</v>
      </c>
      <c r="B108" s="260" t="s">
        <v>773</v>
      </c>
      <c r="C108" s="253">
        <f t="shared" si="23"/>
        <v>320</v>
      </c>
      <c r="D108" s="253"/>
      <c r="E108" s="253">
        <v>320</v>
      </c>
      <c r="F108" s="253"/>
    </row>
    <row r="109" spans="1:7">
      <c r="A109" s="262" t="s">
        <v>774</v>
      </c>
      <c r="B109" s="263" t="s">
        <v>775</v>
      </c>
      <c r="C109" s="254">
        <f>SUM(C106:C108)</f>
        <v>320</v>
      </c>
      <c r="D109" s="254">
        <f t="shared" ref="D109:F109" si="27">SUM(D106:D108)</f>
        <v>0</v>
      </c>
      <c r="E109" s="254">
        <f t="shared" si="27"/>
        <v>320</v>
      </c>
      <c r="F109" s="254">
        <f t="shared" si="27"/>
        <v>0</v>
      </c>
    </row>
    <row r="110" spans="1:7">
      <c r="A110" s="259" t="s">
        <v>776</v>
      </c>
      <c r="B110" s="260" t="s">
        <v>777</v>
      </c>
      <c r="C110" s="253">
        <f t="shared" si="23"/>
        <v>0</v>
      </c>
      <c r="D110" s="253"/>
      <c r="E110" s="253"/>
      <c r="F110" s="253"/>
    </row>
    <row r="111" spans="1:7">
      <c r="A111" s="259" t="s">
        <v>778</v>
      </c>
      <c r="B111" s="260" t="s">
        <v>779</v>
      </c>
      <c r="C111" s="253">
        <f t="shared" si="23"/>
        <v>80</v>
      </c>
      <c r="D111" s="253"/>
      <c r="E111" s="253">
        <v>80</v>
      </c>
      <c r="F111" s="253"/>
    </row>
    <row r="112" spans="1:7">
      <c r="A112" s="259" t="s">
        <v>780</v>
      </c>
      <c r="B112" s="260" t="s">
        <v>781</v>
      </c>
      <c r="C112" s="253">
        <f t="shared" si="23"/>
        <v>0</v>
      </c>
      <c r="D112" s="253"/>
      <c r="E112" s="253"/>
      <c r="F112" s="253"/>
    </row>
    <row r="113" spans="1:6">
      <c r="A113" s="259" t="s">
        <v>782</v>
      </c>
      <c r="B113" s="260" t="s">
        <v>783</v>
      </c>
      <c r="C113" s="253">
        <f t="shared" si="23"/>
        <v>800</v>
      </c>
      <c r="D113" s="253"/>
      <c r="E113" s="253">
        <v>800</v>
      </c>
      <c r="F113" s="253"/>
    </row>
    <row r="114" spans="1:6">
      <c r="A114" s="262" t="s">
        <v>784</v>
      </c>
      <c r="B114" s="263" t="s">
        <v>785</v>
      </c>
      <c r="C114" s="254">
        <f>SUM(C110:C113)</f>
        <v>880</v>
      </c>
      <c r="D114" s="254">
        <f t="shared" ref="D114:F114" si="28">SUM(D110:D113)</f>
        <v>0</v>
      </c>
      <c r="E114" s="254">
        <f t="shared" si="28"/>
        <v>880</v>
      </c>
      <c r="F114" s="254">
        <f t="shared" si="28"/>
        <v>0</v>
      </c>
    </row>
    <row r="115" spans="1:6">
      <c r="A115" s="267" t="s">
        <v>786</v>
      </c>
      <c r="B115" s="268" t="s">
        <v>787</v>
      </c>
      <c r="C115" s="255">
        <f>C97+C98+C101+C102+C105+C109+C114</f>
        <v>9187</v>
      </c>
      <c r="D115" s="255">
        <f t="shared" ref="D115:F115" si="29">D97+D98+D101+D102+D105+D109+D114</f>
        <v>4895</v>
      </c>
      <c r="E115" s="255">
        <f t="shared" si="29"/>
        <v>4292</v>
      </c>
      <c r="F115" s="255">
        <f t="shared" si="29"/>
        <v>0</v>
      </c>
    </row>
    <row r="116" spans="1:6">
      <c r="A116" s="259" t="s">
        <v>788</v>
      </c>
      <c r="B116" s="260" t="s">
        <v>789</v>
      </c>
      <c r="C116" s="253">
        <f t="shared" ref="C116:C119" si="30">SUM(D116:F116)</f>
        <v>160</v>
      </c>
      <c r="D116" s="253"/>
      <c r="E116" s="253">
        <v>160</v>
      </c>
      <c r="F116" s="253"/>
    </row>
    <row r="117" spans="1:6">
      <c r="A117" s="259" t="s">
        <v>790</v>
      </c>
      <c r="B117" s="260" t="s">
        <v>791</v>
      </c>
      <c r="C117" s="253">
        <f t="shared" si="30"/>
        <v>0</v>
      </c>
      <c r="D117" s="253"/>
      <c r="E117" s="253"/>
      <c r="F117" s="253"/>
    </row>
    <row r="118" spans="1:6">
      <c r="A118" s="262" t="s">
        <v>792</v>
      </c>
      <c r="B118" s="263" t="s">
        <v>793</v>
      </c>
      <c r="C118" s="254">
        <f>SUM(C116:C117)</f>
        <v>160</v>
      </c>
      <c r="D118" s="254">
        <f t="shared" ref="D118:F118" si="31">SUM(D116:D117)</f>
        <v>0</v>
      </c>
      <c r="E118" s="254">
        <f t="shared" si="31"/>
        <v>160</v>
      </c>
      <c r="F118" s="254">
        <f t="shared" si="31"/>
        <v>0</v>
      </c>
    </row>
    <row r="119" spans="1:6">
      <c r="A119" s="264" t="s">
        <v>794</v>
      </c>
      <c r="B119" s="263" t="s">
        <v>261</v>
      </c>
      <c r="C119" s="254">
        <f t="shared" si="30"/>
        <v>0</v>
      </c>
      <c r="D119" s="254"/>
      <c r="E119" s="254"/>
      <c r="F119" s="254"/>
    </row>
    <row r="120" spans="1:6">
      <c r="A120" s="267" t="s">
        <v>795</v>
      </c>
      <c r="B120" s="268" t="s">
        <v>796</v>
      </c>
      <c r="C120" s="255">
        <f>C118+C119</f>
        <v>160</v>
      </c>
      <c r="D120" s="255">
        <f t="shared" ref="D120:F120" si="32">D118+D119</f>
        <v>0</v>
      </c>
      <c r="E120" s="255">
        <f t="shared" si="32"/>
        <v>160</v>
      </c>
      <c r="F120" s="255">
        <f t="shared" si="32"/>
        <v>0</v>
      </c>
    </row>
    <row r="121" spans="1:6">
      <c r="A121" s="259" t="s">
        <v>797</v>
      </c>
      <c r="B121" s="260" t="s">
        <v>798</v>
      </c>
      <c r="C121" s="253">
        <f t="shared" ref="C121:C139" si="33">SUM(D121:F121)</f>
        <v>1322</v>
      </c>
      <c r="D121" s="253">
        <v>1322</v>
      </c>
      <c r="E121" s="253"/>
      <c r="F121" s="253"/>
    </row>
    <row r="122" spans="1:6">
      <c r="A122" s="259" t="s">
        <v>799</v>
      </c>
      <c r="B122" s="260" t="s">
        <v>800</v>
      </c>
      <c r="C122" s="253">
        <f t="shared" si="33"/>
        <v>1555</v>
      </c>
      <c r="D122" s="253"/>
      <c r="E122" s="253">
        <v>1555</v>
      </c>
      <c r="F122" s="253"/>
    </row>
    <row r="123" spans="1:6">
      <c r="A123" s="262" t="s">
        <v>801</v>
      </c>
      <c r="B123" s="263" t="s">
        <v>802</v>
      </c>
      <c r="C123" s="254">
        <f>SUM(C121:C122)</f>
        <v>2877</v>
      </c>
      <c r="D123" s="254">
        <f t="shared" ref="D123:F123" si="34">SUM(D121:D122)</f>
        <v>1322</v>
      </c>
      <c r="E123" s="254">
        <f t="shared" si="34"/>
        <v>1555</v>
      </c>
      <c r="F123" s="254">
        <f t="shared" si="34"/>
        <v>0</v>
      </c>
    </row>
    <row r="124" spans="1:6">
      <c r="A124" s="259" t="s">
        <v>803</v>
      </c>
      <c r="B124" s="260" t="s">
        <v>804</v>
      </c>
      <c r="C124" s="253">
        <f t="shared" si="33"/>
        <v>0</v>
      </c>
      <c r="D124" s="253"/>
      <c r="E124" s="253"/>
      <c r="F124" s="253"/>
    </row>
    <row r="125" spans="1:6">
      <c r="A125" s="259" t="s">
        <v>805</v>
      </c>
      <c r="B125" s="260" t="s">
        <v>806</v>
      </c>
      <c r="C125" s="253">
        <f t="shared" si="33"/>
        <v>0</v>
      </c>
      <c r="D125" s="253"/>
      <c r="E125" s="253"/>
      <c r="F125" s="253"/>
    </row>
    <row r="126" spans="1:6">
      <c r="A126" s="259" t="s">
        <v>807</v>
      </c>
      <c r="B126" s="260" t="s">
        <v>808</v>
      </c>
      <c r="C126" s="253">
        <f t="shared" si="33"/>
        <v>0</v>
      </c>
      <c r="D126" s="253"/>
      <c r="E126" s="253"/>
      <c r="F126" s="253"/>
    </row>
    <row r="127" spans="1:6">
      <c r="A127" s="262" t="s">
        <v>809</v>
      </c>
      <c r="B127" s="263" t="s">
        <v>810</v>
      </c>
      <c r="C127" s="254">
        <f>SUM(C124:C126)</f>
        <v>0</v>
      </c>
      <c r="D127" s="254">
        <f t="shared" ref="D127:F127" si="35">SUM(D124:D126)</f>
        <v>0</v>
      </c>
      <c r="E127" s="254">
        <f t="shared" si="35"/>
        <v>0</v>
      </c>
      <c r="F127" s="254">
        <f t="shared" si="35"/>
        <v>0</v>
      </c>
    </row>
    <row r="128" spans="1:6">
      <c r="A128" s="259" t="s">
        <v>811</v>
      </c>
      <c r="B128" s="260" t="s">
        <v>812</v>
      </c>
      <c r="C128" s="253">
        <f t="shared" si="33"/>
        <v>0</v>
      </c>
      <c r="D128" s="253"/>
      <c r="E128" s="253"/>
      <c r="F128" s="253"/>
    </row>
    <row r="129" spans="1:6">
      <c r="A129" s="259" t="s">
        <v>813</v>
      </c>
      <c r="B129" s="260" t="s">
        <v>814</v>
      </c>
      <c r="C129" s="253">
        <f t="shared" si="33"/>
        <v>0</v>
      </c>
      <c r="D129" s="253"/>
      <c r="E129" s="253"/>
      <c r="F129" s="253"/>
    </row>
    <row r="130" spans="1:6">
      <c r="A130" s="259" t="s">
        <v>815</v>
      </c>
      <c r="B130" s="260" t="s">
        <v>816</v>
      </c>
      <c r="C130" s="253">
        <f t="shared" si="33"/>
        <v>0</v>
      </c>
      <c r="D130" s="253"/>
      <c r="E130" s="253"/>
      <c r="F130" s="253"/>
    </row>
    <row r="131" spans="1:6">
      <c r="A131" s="259" t="s">
        <v>817</v>
      </c>
      <c r="B131" s="260" t="s">
        <v>818</v>
      </c>
      <c r="C131" s="253">
        <f t="shared" si="33"/>
        <v>0</v>
      </c>
      <c r="D131" s="253"/>
      <c r="E131" s="253"/>
      <c r="F131" s="253"/>
    </row>
    <row r="132" spans="1:6">
      <c r="A132" s="262" t="s">
        <v>819</v>
      </c>
      <c r="B132" s="263" t="s">
        <v>269</v>
      </c>
      <c r="C132" s="254">
        <f>SUM(C128:C131)</f>
        <v>0</v>
      </c>
      <c r="D132" s="254">
        <f t="shared" ref="D132:F132" si="36">SUM(D128:D131)</f>
        <v>0</v>
      </c>
      <c r="E132" s="254">
        <f t="shared" si="36"/>
        <v>0</v>
      </c>
      <c r="F132" s="254">
        <f t="shared" si="36"/>
        <v>0</v>
      </c>
    </row>
    <row r="133" spans="1:6">
      <c r="A133" s="259" t="s">
        <v>820</v>
      </c>
      <c r="B133" s="260" t="s">
        <v>821</v>
      </c>
      <c r="C133" s="253">
        <f t="shared" si="33"/>
        <v>0</v>
      </c>
      <c r="D133" s="253"/>
      <c r="E133" s="253"/>
      <c r="F133" s="253"/>
    </row>
    <row r="134" spans="1:6">
      <c r="A134" s="259" t="s">
        <v>822</v>
      </c>
      <c r="B134" s="260" t="s">
        <v>823</v>
      </c>
      <c r="C134" s="253">
        <f t="shared" si="33"/>
        <v>0</v>
      </c>
      <c r="D134" s="253"/>
      <c r="E134" s="253"/>
      <c r="F134" s="253"/>
    </row>
    <row r="135" spans="1:6">
      <c r="A135" s="262" t="s">
        <v>824</v>
      </c>
      <c r="B135" s="263" t="s">
        <v>271</v>
      </c>
      <c r="C135" s="254">
        <f>SUM(C133:C134)</f>
        <v>0</v>
      </c>
      <c r="D135" s="254">
        <f t="shared" ref="D135:F135" si="37">SUM(D133:D134)</f>
        <v>0</v>
      </c>
      <c r="E135" s="254">
        <f t="shared" si="37"/>
        <v>0</v>
      </c>
      <c r="F135" s="254">
        <f t="shared" si="37"/>
        <v>0</v>
      </c>
    </row>
    <row r="136" spans="1:6">
      <c r="A136" s="259" t="s">
        <v>825</v>
      </c>
      <c r="B136" s="260" t="s">
        <v>826</v>
      </c>
      <c r="C136" s="253">
        <f t="shared" si="33"/>
        <v>0</v>
      </c>
      <c r="D136" s="253"/>
      <c r="E136" s="253"/>
      <c r="F136" s="253"/>
    </row>
    <row r="137" spans="1:6">
      <c r="A137" s="259" t="s">
        <v>827</v>
      </c>
      <c r="B137" s="260" t="s">
        <v>828</v>
      </c>
      <c r="C137" s="253">
        <f t="shared" si="33"/>
        <v>0</v>
      </c>
      <c r="D137" s="253"/>
      <c r="E137" s="253"/>
      <c r="F137" s="253"/>
    </row>
    <row r="138" spans="1:6">
      <c r="A138" s="259" t="s">
        <v>829</v>
      </c>
      <c r="B138" s="260" t="s">
        <v>830</v>
      </c>
      <c r="C138" s="253">
        <f t="shared" si="33"/>
        <v>0</v>
      </c>
      <c r="D138" s="253"/>
      <c r="E138" s="253"/>
      <c r="F138" s="253"/>
    </row>
    <row r="139" spans="1:6">
      <c r="A139" s="259" t="s">
        <v>831</v>
      </c>
      <c r="B139" s="260" t="s">
        <v>832</v>
      </c>
      <c r="C139" s="253">
        <f t="shared" si="33"/>
        <v>0</v>
      </c>
      <c r="D139" s="253"/>
      <c r="E139" s="253"/>
      <c r="F139" s="253"/>
    </row>
    <row r="140" spans="1:6">
      <c r="A140" s="262" t="s">
        <v>833</v>
      </c>
      <c r="B140" s="263" t="s">
        <v>273</v>
      </c>
      <c r="C140" s="254">
        <f>SUM(C136:C139)</f>
        <v>0</v>
      </c>
      <c r="D140" s="254">
        <f t="shared" ref="D140:F140" si="38">SUM(D136:D139)</f>
        <v>0</v>
      </c>
      <c r="E140" s="254">
        <f t="shared" si="38"/>
        <v>0</v>
      </c>
      <c r="F140" s="254">
        <f t="shared" si="38"/>
        <v>0</v>
      </c>
    </row>
    <row r="141" spans="1:6">
      <c r="A141" s="267" t="s">
        <v>834</v>
      </c>
      <c r="B141" s="268" t="s">
        <v>275</v>
      </c>
      <c r="C141" s="255">
        <f>C123+C127+C132+C135+C140</f>
        <v>2877</v>
      </c>
      <c r="D141" s="255">
        <f t="shared" ref="D141:F141" si="39">D123+D127+D132+D135+D140</f>
        <v>1322</v>
      </c>
      <c r="E141" s="255">
        <f t="shared" si="39"/>
        <v>1555</v>
      </c>
      <c r="F141" s="255">
        <f t="shared" si="39"/>
        <v>0</v>
      </c>
    </row>
    <row r="142" spans="1:6">
      <c r="A142" s="270" t="s">
        <v>835</v>
      </c>
      <c r="B142" s="271" t="s">
        <v>277</v>
      </c>
      <c r="C142" s="272">
        <f>C81+C92+C115+C120+C141</f>
        <v>13740</v>
      </c>
      <c r="D142" s="272">
        <f t="shared" ref="D142:F142" si="40">D81+D92+D115+D120+D141</f>
        <v>6217</v>
      </c>
      <c r="E142" s="272">
        <f t="shared" si="40"/>
        <v>7523</v>
      </c>
      <c r="F142" s="272">
        <f t="shared" si="40"/>
        <v>0</v>
      </c>
    </row>
    <row r="143" spans="1:6">
      <c r="A143" s="273"/>
      <c r="B143" s="274" t="s">
        <v>836</v>
      </c>
      <c r="C143" s="275">
        <f>C54+C63+C142</f>
        <v>62867.004999999997</v>
      </c>
      <c r="D143" s="275">
        <f t="shared" ref="D143:F143" si="41">D54+D63+D142</f>
        <v>6217</v>
      </c>
      <c r="E143" s="275">
        <f t="shared" si="41"/>
        <v>56650</v>
      </c>
      <c r="F143" s="275">
        <f t="shared" si="41"/>
        <v>5.0000000000000001E-3</v>
      </c>
    </row>
    <row r="144" spans="1:6">
      <c r="A144" s="259" t="s">
        <v>837</v>
      </c>
      <c r="B144" s="260" t="s">
        <v>838</v>
      </c>
      <c r="C144" s="253">
        <f t="shared" ref="C144:C147" si="42">SUM(D144:F144)</f>
        <v>0</v>
      </c>
      <c r="D144" s="253"/>
      <c r="E144" s="253"/>
      <c r="F144" s="253"/>
    </row>
    <row r="145" spans="1:6">
      <c r="A145" s="259" t="s">
        <v>839</v>
      </c>
      <c r="B145" s="260" t="s">
        <v>840</v>
      </c>
      <c r="C145" s="253">
        <f t="shared" si="42"/>
        <v>500</v>
      </c>
      <c r="D145" s="253"/>
      <c r="E145" s="253">
        <f>400+100</f>
        <v>500</v>
      </c>
      <c r="F145" s="253"/>
    </row>
    <row r="146" spans="1:6">
      <c r="A146" s="259" t="s">
        <v>841</v>
      </c>
      <c r="B146" s="260" t="s">
        <v>842</v>
      </c>
      <c r="C146" s="253">
        <f t="shared" si="42"/>
        <v>0</v>
      </c>
      <c r="D146" s="253"/>
      <c r="E146" s="253"/>
      <c r="F146" s="253"/>
    </row>
    <row r="147" spans="1:6">
      <c r="A147" s="276" t="s">
        <v>843</v>
      </c>
      <c r="B147" s="260" t="s">
        <v>844</v>
      </c>
      <c r="C147" s="253">
        <f t="shared" si="42"/>
        <v>0</v>
      </c>
      <c r="D147" s="253"/>
      <c r="E147" s="253"/>
      <c r="F147" s="253"/>
    </row>
    <row r="148" spans="1:6">
      <c r="A148" s="270" t="s">
        <v>845</v>
      </c>
      <c r="B148" s="271" t="s">
        <v>846</v>
      </c>
      <c r="C148" s="272">
        <f>SUM(C144:C147)</f>
        <v>500</v>
      </c>
      <c r="D148" s="272">
        <f t="shared" ref="D148:F148" si="43">SUM(D144:D147)</f>
        <v>0</v>
      </c>
      <c r="E148" s="272">
        <f t="shared" si="43"/>
        <v>500</v>
      </c>
      <c r="F148" s="272">
        <f t="shared" si="43"/>
        <v>0</v>
      </c>
    </row>
    <row r="149" spans="1:6">
      <c r="A149" s="259" t="s">
        <v>847</v>
      </c>
      <c r="B149" s="260" t="s">
        <v>848</v>
      </c>
      <c r="C149" s="253">
        <f t="shared" ref="C149:C152" si="44">SUM(D149:F149)</f>
        <v>0</v>
      </c>
      <c r="D149" s="253"/>
      <c r="E149" s="253"/>
      <c r="F149" s="253"/>
    </row>
    <row r="150" spans="1:6">
      <c r="A150" s="259" t="s">
        <v>849</v>
      </c>
      <c r="B150" s="260" t="s">
        <v>850</v>
      </c>
      <c r="C150" s="253">
        <f t="shared" si="44"/>
        <v>0</v>
      </c>
      <c r="D150" s="253"/>
      <c r="E150" s="253"/>
      <c r="F150" s="253"/>
    </row>
    <row r="151" spans="1:6">
      <c r="A151" s="259" t="s">
        <v>851</v>
      </c>
      <c r="B151" s="260" t="s">
        <v>852</v>
      </c>
      <c r="C151" s="253">
        <f t="shared" si="44"/>
        <v>0</v>
      </c>
      <c r="D151" s="253"/>
      <c r="E151" s="253"/>
      <c r="F151" s="253"/>
    </row>
    <row r="152" spans="1:6">
      <c r="A152" s="276" t="s">
        <v>853</v>
      </c>
      <c r="B152" s="260" t="s">
        <v>854</v>
      </c>
      <c r="C152" s="253">
        <f t="shared" si="44"/>
        <v>0</v>
      </c>
      <c r="D152" s="253"/>
      <c r="E152" s="253"/>
      <c r="F152" s="253"/>
    </row>
    <row r="153" spans="1:6">
      <c r="A153" s="270" t="s">
        <v>855</v>
      </c>
      <c r="B153" s="271" t="s">
        <v>856</v>
      </c>
      <c r="C153" s="272">
        <f>SUM(C149:C152)</f>
        <v>0</v>
      </c>
      <c r="D153" s="272">
        <f t="shared" ref="D153:F153" si="45">SUM(D149:D152)</f>
        <v>0</v>
      </c>
      <c r="E153" s="272">
        <f t="shared" si="45"/>
        <v>0</v>
      </c>
      <c r="F153" s="272">
        <f t="shared" si="45"/>
        <v>0</v>
      </c>
    </row>
    <row r="154" spans="1:6">
      <c r="A154" s="273"/>
      <c r="B154" s="274" t="s">
        <v>857</v>
      </c>
      <c r="C154" s="275">
        <f>C148+C153</f>
        <v>500</v>
      </c>
      <c r="D154" s="275">
        <f t="shared" ref="D154:F154" si="46">D148+D153</f>
        <v>0</v>
      </c>
      <c r="E154" s="275">
        <f t="shared" si="46"/>
        <v>500</v>
      </c>
      <c r="F154" s="275">
        <f t="shared" si="46"/>
        <v>0</v>
      </c>
    </row>
    <row r="155" spans="1:6">
      <c r="A155" s="277"/>
      <c r="B155" s="278" t="s">
        <v>858</v>
      </c>
      <c r="C155" s="279">
        <f>C143+C154</f>
        <v>63367.004999999997</v>
      </c>
      <c r="D155" s="279">
        <f t="shared" ref="D155:F155" si="47">D143+D154</f>
        <v>6217</v>
      </c>
      <c r="E155" s="279">
        <f t="shared" si="47"/>
        <v>57150</v>
      </c>
      <c r="F155" s="279">
        <f t="shared" si="47"/>
        <v>5.0000000000000001E-3</v>
      </c>
    </row>
  </sheetData>
  <printOptions horizontalCentered="1"/>
  <pageMargins left="0.78740157480314965" right="0.78740157480314965" top="0.78740157480314965" bottom="0.78740157480314965" header="0.11811023622047245" footer="0.11811023622047245"/>
  <pageSetup paperSize="9" scale="70" fitToWidth="2" fitToHeight="4" orientation="portrait" useFirstPageNumber="1" r:id="rId1"/>
  <headerFooter alignWithMargins="0">
    <oddHeader>&amp;C&amp;"Arial,Félkövér"&amp;12Walla József Óvoda
2014. évi költségvetés tervezése</oddHeader>
    <oddFooter>&amp;Coldal: &amp;P/&amp;N
exportálva: 2014-01-04 10:35 (210 MP)</oddFooter>
  </headerFooter>
  <rowBreaks count="2" manualBreakCount="2">
    <brk id="54" max="16383" man="1"/>
    <brk id="115" max="16383" man="1"/>
  </rowBreaks>
  <colBreaks count="3" manualBreakCount="3">
    <brk id="3" max="1048575" man="1"/>
    <brk id="4" max="1048575" man="1"/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X95"/>
  <sheetViews>
    <sheetView view="pageBreakPreview" topLeftCell="I1" zoomScaleNormal="100" zoomScaleSheetLayoutView="100" workbookViewId="0">
      <selection activeCell="C81" sqref="C81"/>
    </sheetView>
  </sheetViews>
  <sheetFormatPr defaultRowHeight="15"/>
  <cols>
    <col min="1" max="1" width="7.7109375" style="73" bestFit="1" customWidth="1"/>
    <col min="2" max="2" width="52.140625" style="72" customWidth="1"/>
    <col min="3" max="3" width="9.5703125" style="457" customWidth="1"/>
    <col min="4" max="4" width="11.28515625" style="457" customWidth="1"/>
    <col min="5" max="5" width="9.5703125" style="461" customWidth="1"/>
    <col min="6" max="6" width="11" style="461" customWidth="1"/>
    <col min="7" max="7" width="10.85546875" style="26" bestFit="1" customWidth="1"/>
    <col min="8" max="8" width="10.85546875" style="26" customWidth="1"/>
    <col min="9" max="9" width="10.85546875" style="26" bestFit="1" customWidth="1"/>
    <col min="10" max="10" width="10.85546875" style="26" customWidth="1"/>
    <col min="11" max="11" width="10.140625" style="26" bestFit="1" customWidth="1"/>
    <col min="12" max="12" width="11.42578125" style="26" customWidth="1"/>
    <col min="13" max="13" width="10.28515625" style="26" customWidth="1"/>
    <col min="14" max="14" width="11.28515625" style="26" customWidth="1"/>
    <col min="15" max="18" width="11.7109375" style="26" customWidth="1"/>
    <col min="19" max="19" width="14" style="26" bestFit="1" customWidth="1"/>
    <col min="20" max="20" width="14" style="26" customWidth="1"/>
  </cols>
  <sheetData>
    <row r="1" spans="1:24">
      <c r="H1" s="28" t="s">
        <v>0</v>
      </c>
      <c r="T1" s="566" t="s">
        <v>0</v>
      </c>
      <c r="U1" s="546"/>
      <c r="V1" s="546"/>
      <c r="W1" s="546"/>
      <c r="X1" s="546"/>
    </row>
    <row r="2" spans="1:24" ht="16.5" customHeight="1">
      <c r="A2" s="621" t="s">
        <v>60</v>
      </c>
      <c r="B2" s="624" t="s">
        <v>58</v>
      </c>
      <c r="C2" s="627" t="s">
        <v>446</v>
      </c>
      <c r="D2" s="627"/>
      <c r="E2" s="627" t="s">
        <v>405</v>
      </c>
      <c r="F2" s="627"/>
      <c r="G2" s="620" t="s">
        <v>204</v>
      </c>
      <c r="H2" s="620"/>
      <c r="I2" s="620" t="s">
        <v>205</v>
      </c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</row>
    <row r="3" spans="1:24" s="3" customFormat="1" ht="30" customHeight="1">
      <c r="A3" s="622"/>
      <c r="B3" s="625"/>
      <c r="C3" s="627"/>
      <c r="D3" s="627"/>
      <c r="E3" s="627"/>
      <c r="F3" s="627"/>
      <c r="G3" s="620"/>
      <c r="H3" s="620"/>
      <c r="I3" s="620" t="s">
        <v>213</v>
      </c>
      <c r="J3" s="620"/>
      <c r="K3" s="628" t="s">
        <v>206</v>
      </c>
      <c r="L3" s="628"/>
      <c r="M3" s="629" t="s">
        <v>207</v>
      </c>
      <c r="N3" s="629"/>
      <c r="O3" s="629" t="s">
        <v>527</v>
      </c>
      <c r="P3" s="629"/>
      <c r="Q3" s="630" t="s">
        <v>1866</v>
      </c>
      <c r="R3" s="631"/>
      <c r="S3" s="629" t="s">
        <v>208</v>
      </c>
      <c r="T3" s="629"/>
    </row>
    <row r="4" spans="1:24" s="3" customFormat="1">
      <c r="A4" s="623"/>
      <c r="B4" s="626"/>
      <c r="C4" s="549" t="s">
        <v>1829</v>
      </c>
      <c r="D4" s="549" t="s">
        <v>1830</v>
      </c>
      <c r="E4" s="549" t="s">
        <v>1829</v>
      </c>
      <c r="F4" s="549" t="s">
        <v>1830</v>
      </c>
      <c r="G4" s="550" t="s">
        <v>1829</v>
      </c>
      <c r="H4" s="550" t="s">
        <v>1830</v>
      </c>
      <c r="I4" s="550" t="s">
        <v>1829</v>
      </c>
      <c r="J4" s="550" t="s">
        <v>1830</v>
      </c>
      <c r="K4" s="128" t="s">
        <v>1829</v>
      </c>
      <c r="L4" s="128" t="s">
        <v>1830</v>
      </c>
      <c r="M4" s="589" t="s">
        <v>1829</v>
      </c>
      <c r="N4" s="589" t="s">
        <v>1830</v>
      </c>
      <c r="O4" s="589" t="s">
        <v>1829</v>
      </c>
      <c r="P4" s="589" t="s">
        <v>1830</v>
      </c>
      <c r="Q4" s="589" t="s">
        <v>1829</v>
      </c>
      <c r="R4" s="589" t="s">
        <v>1830</v>
      </c>
      <c r="S4" s="589" t="s">
        <v>1829</v>
      </c>
      <c r="T4" s="589" t="s">
        <v>1830</v>
      </c>
    </row>
    <row r="5" spans="1:24" s="3" customFormat="1">
      <c r="A5" s="108"/>
      <c r="B5" s="112" t="s">
        <v>439</v>
      </c>
      <c r="C5" s="516">
        <f t="shared" ref="C5:E5" si="0">C6+C41+C91+C94</f>
        <v>388.5</v>
      </c>
      <c r="D5" s="516">
        <f t="shared" ref="D5" si="1">D6+D41+D91+D94</f>
        <v>390.5</v>
      </c>
      <c r="E5" s="441">
        <f t="shared" si="0"/>
        <v>0</v>
      </c>
      <c r="F5" s="441">
        <f t="shared" ref="F5" si="2">F6+F41+F91+F94</f>
        <v>0</v>
      </c>
      <c r="G5" s="33">
        <f>G6+G41+G91+G94</f>
        <v>4574939</v>
      </c>
      <c r="H5" s="33">
        <f>H6+H41+H91+H94</f>
        <v>4882033</v>
      </c>
      <c r="I5" s="33">
        <f t="shared" ref="I5:S5" si="3">I6+I41+I91+I94</f>
        <v>4574939</v>
      </c>
      <c r="J5" s="33">
        <f t="shared" ref="J5" si="4">J6+J41+J91+J94</f>
        <v>4882033</v>
      </c>
      <c r="K5" s="33">
        <f t="shared" si="3"/>
        <v>495867</v>
      </c>
      <c r="L5" s="33">
        <f t="shared" ref="L5" si="5">L6+L41+L91+L94</f>
        <v>656902</v>
      </c>
      <c r="M5" s="590">
        <f t="shared" si="3"/>
        <v>455591</v>
      </c>
      <c r="N5" s="590">
        <f t="shared" ref="N5" si="6">N6+N41+N91+N94</f>
        <v>460148</v>
      </c>
      <c r="O5" s="590">
        <f t="shared" si="3"/>
        <v>1272481</v>
      </c>
      <c r="P5" s="590">
        <f t="shared" ref="P5:R5" si="7">P6+P41+P91+P94</f>
        <v>589975</v>
      </c>
      <c r="Q5" s="590">
        <f t="shared" si="7"/>
        <v>0</v>
      </c>
      <c r="R5" s="590">
        <f t="shared" si="7"/>
        <v>822500</v>
      </c>
      <c r="S5" s="590">
        <f t="shared" si="3"/>
        <v>2351000</v>
      </c>
      <c r="T5" s="590">
        <f t="shared" ref="T5" si="8">T6+T41+T91+T94</f>
        <v>2352508</v>
      </c>
    </row>
    <row r="6" spans="1:24">
      <c r="A6" s="127" t="s">
        <v>1</v>
      </c>
      <c r="B6" s="38" t="s">
        <v>153</v>
      </c>
      <c r="C6" s="462">
        <f>SUM(C7:C40)</f>
        <v>382.5</v>
      </c>
      <c r="D6" s="462">
        <f>SUM(D7:D40)</f>
        <v>384.5</v>
      </c>
      <c r="E6" s="462">
        <f t="shared" ref="E6:F6" si="9">SUM(E7:E30)</f>
        <v>0</v>
      </c>
      <c r="F6" s="462">
        <f t="shared" si="9"/>
        <v>0</v>
      </c>
      <c r="G6" s="39">
        <f>SUM(G7:G40)</f>
        <v>3558628</v>
      </c>
      <c r="H6" s="39">
        <f>SUM(H7:H40)</f>
        <v>3657152</v>
      </c>
      <c r="I6" s="39">
        <f t="shared" ref="I6:S6" si="10">SUM(I7:I40)</f>
        <v>3558628</v>
      </c>
      <c r="J6" s="39">
        <f t="shared" ref="J6" si="11">SUM(J7:J40)</f>
        <v>3657152</v>
      </c>
      <c r="K6" s="39">
        <f t="shared" si="10"/>
        <v>464767</v>
      </c>
      <c r="L6" s="39">
        <f t="shared" ref="L6" si="12">SUM(L7:L40)</f>
        <v>488318</v>
      </c>
      <c r="M6" s="591">
        <f t="shared" si="10"/>
        <v>355591</v>
      </c>
      <c r="N6" s="591">
        <f t="shared" ref="N6" si="13">SUM(N7:N40)</f>
        <v>359101</v>
      </c>
      <c r="O6" s="591">
        <f t="shared" si="10"/>
        <v>1123775</v>
      </c>
      <c r="P6" s="591">
        <f t="shared" ref="P6:R6" si="14">SUM(P7:P40)</f>
        <v>423275</v>
      </c>
      <c r="Q6" s="591">
        <f t="shared" si="14"/>
        <v>0</v>
      </c>
      <c r="R6" s="591">
        <f t="shared" si="14"/>
        <v>822500</v>
      </c>
      <c r="S6" s="591">
        <f t="shared" si="10"/>
        <v>1614495</v>
      </c>
      <c r="T6" s="591">
        <f t="shared" ref="T6" si="15">SUM(T7:T40)</f>
        <v>1563958</v>
      </c>
    </row>
    <row r="7" spans="1:24">
      <c r="A7" s="74" t="s">
        <v>1677</v>
      </c>
      <c r="B7" s="75" t="s">
        <v>1443</v>
      </c>
      <c r="C7" s="456"/>
      <c r="D7" s="456"/>
      <c r="E7" s="522"/>
      <c r="F7" s="522"/>
      <c r="G7" s="156">
        <f>'2C Önk bev kiad fel'!G7</f>
        <v>34927</v>
      </c>
      <c r="H7" s="156">
        <f>'2C Önk bev kiad fel'!H7</f>
        <v>34927</v>
      </c>
      <c r="I7" s="156">
        <f t="shared" ref="I7:I40" si="16">K7+M7+O7+S7</f>
        <v>34927</v>
      </c>
      <c r="J7" s="156">
        <f t="shared" ref="J7:J11" si="17">L7+N7+P7+T7+R7</f>
        <v>34927</v>
      </c>
      <c r="K7" s="156"/>
      <c r="L7" s="156"/>
      <c r="M7" s="586"/>
      <c r="N7" s="586"/>
      <c r="O7" s="586"/>
      <c r="P7" s="586"/>
      <c r="Q7" s="586"/>
      <c r="R7" s="586"/>
      <c r="S7" s="586">
        <f>G7-K7-M7-O7</f>
        <v>34927</v>
      </c>
      <c r="T7" s="586">
        <f t="shared" ref="T7:T8" si="18">H7-L7-N7-P7-R7</f>
        <v>34927</v>
      </c>
    </row>
    <row r="8" spans="1:24">
      <c r="A8" s="74" t="s">
        <v>1678</v>
      </c>
      <c r="B8" s="75" t="s">
        <v>1444</v>
      </c>
      <c r="C8" s="456"/>
      <c r="D8" s="456"/>
      <c r="E8" s="522"/>
      <c r="F8" s="522"/>
      <c r="G8" s="156">
        <f>'2C Önk bev kiad fel'!G10</f>
        <v>14337</v>
      </c>
      <c r="H8" s="156">
        <f>'2C Önk bev kiad fel'!H10</f>
        <v>22285</v>
      </c>
      <c r="I8" s="156">
        <f t="shared" si="16"/>
        <v>14337</v>
      </c>
      <c r="J8" s="156">
        <f t="shared" si="17"/>
        <v>22285</v>
      </c>
      <c r="K8" s="156"/>
      <c r="L8" s="156"/>
      <c r="M8" s="586">
        <f>'2C Önk bev kiad fel'!M10</f>
        <v>28</v>
      </c>
      <c r="N8" s="586">
        <f>'2C Önk bev kiad fel'!N10+3510</f>
        <v>3538</v>
      </c>
      <c r="O8" s="586"/>
      <c r="P8" s="586"/>
      <c r="Q8" s="586"/>
      <c r="R8" s="586"/>
      <c r="S8" s="586">
        <f t="shared" ref="S8:S72" si="19">G8-K8-M8-O8</f>
        <v>14309</v>
      </c>
      <c r="T8" s="586">
        <f t="shared" si="18"/>
        <v>18747</v>
      </c>
    </row>
    <row r="9" spans="1:24">
      <c r="A9" s="74" t="s">
        <v>1679</v>
      </c>
      <c r="B9" s="75" t="s">
        <v>1445</v>
      </c>
      <c r="C9" s="456"/>
      <c r="D9" s="456"/>
      <c r="E9" s="522"/>
      <c r="F9" s="522"/>
      <c r="G9" s="156">
        <f>'2C Önk bev kiad fel'!G12</f>
        <v>18694</v>
      </c>
      <c r="H9" s="156">
        <f>'2C Önk bev kiad fel'!H12</f>
        <v>18694</v>
      </c>
      <c r="I9" s="156">
        <f t="shared" si="16"/>
        <v>18694</v>
      </c>
      <c r="J9" s="156">
        <f t="shared" si="17"/>
        <v>18694</v>
      </c>
      <c r="K9" s="156"/>
      <c r="L9" s="156"/>
      <c r="M9" s="586">
        <f>'2C Önk bev kiad fel'!M12</f>
        <v>18694</v>
      </c>
      <c r="N9" s="586">
        <f>'2C Önk bev kiad fel'!N12</f>
        <v>18694</v>
      </c>
      <c r="O9" s="586"/>
      <c r="P9" s="586"/>
      <c r="Q9" s="586"/>
      <c r="R9" s="586"/>
      <c r="S9" s="586">
        <f t="shared" si="19"/>
        <v>0</v>
      </c>
      <c r="T9" s="586">
        <f>H9-L9-N9-P9-R9</f>
        <v>0</v>
      </c>
    </row>
    <row r="10" spans="1:24">
      <c r="A10" s="74" t="s">
        <v>1680</v>
      </c>
      <c r="B10" s="75" t="s">
        <v>1446</v>
      </c>
      <c r="C10" s="456">
        <f>'3B PH fel'!C12</f>
        <v>7</v>
      </c>
      <c r="D10" s="456">
        <f>'3B PH fel'!D12</f>
        <v>7</v>
      </c>
      <c r="E10" s="522"/>
      <c r="F10" s="522"/>
      <c r="G10" s="156">
        <f>'2C Önk bev kiad fel'!G14+'3B PH fel'!I12</f>
        <v>28268</v>
      </c>
      <c r="H10" s="156">
        <f>'2C Önk bev kiad fel'!H14+'3B PH fel'!J12</f>
        <v>28314</v>
      </c>
      <c r="I10" s="156">
        <f t="shared" si="16"/>
        <v>28268</v>
      </c>
      <c r="J10" s="156">
        <f t="shared" si="17"/>
        <v>28314</v>
      </c>
      <c r="K10" s="156">
        <f>'2A Önk bev'!C17</f>
        <v>25634</v>
      </c>
      <c r="L10" s="156">
        <f>'2A Önk bev'!D17</f>
        <v>25634</v>
      </c>
      <c r="M10" s="586"/>
      <c r="N10" s="586"/>
      <c r="O10" s="586"/>
      <c r="P10" s="586"/>
      <c r="Q10" s="586"/>
      <c r="R10" s="586"/>
      <c r="S10" s="586">
        <f t="shared" si="19"/>
        <v>2634</v>
      </c>
      <c r="T10" s="586">
        <f t="shared" ref="T10:T40" si="20">H10-L10-N10-P10-R10</f>
        <v>2680</v>
      </c>
    </row>
    <row r="11" spans="1:24">
      <c r="A11" s="74" t="s">
        <v>1681</v>
      </c>
      <c r="B11" s="75" t="s">
        <v>1447</v>
      </c>
      <c r="C11" s="456"/>
      <c r="D11" s="456"/>
      <c r="E11" s="522"/>
      <c r="F11" s="522"/>
      <c r="G11" s="156">
        <f>'2C Önk bev kiad fel'!G16</f>
        <v>2185</v>
      </c>
      <c r="H11" s="156">
        <f>'2C Önk bev kiad fel'!H16</f>
        <v>2185</v>
      </c>
      <c r="I11" s="156">
        <f t="shared" si="16"/>
        <v>2185</v>
      </c>
      <c r="J11" s="156">
        <f t="shared" si="17"/>
        <v>2185</v>
      </c>
      <c r="K11" s="156"/>
      <c r="L11" s="156"/>
      <c r="M11" s="586"/>
      <c r="N11" s="586"/>
      <c r="O11" s="586"/>
      <c r="P11" s="586"/>
      <c r="Q11" s="586"/>
      <c r="R11" s="586"/>
      <c r="S11" s="586">
        <f t="shared" si="19"/>
        <v>2185</v>
      </c>
      <c r="T11" s="586">
        <f t="shared" si="20"/>
        <v>2185</v>
      </c>
    </row>
    <row r="12" spans="1:24">
      <c r="A12" s="74" t="s">
        <v>1682</v>
      </c>
      <c r="B12" s="75" t="s">
        <v>1448</v>
      </c>
      <c r="C12" s="456"/>
      <c r="D12" s="456"/>
      <c r="E12" s="522"/>
      <c r="F12" s="522"/>
      <c r="G12" s="156">
        <f>'2C Önk bev kiad fel'!G18+'3B PH fel'!I16</f>
        <v>6894</v>
      </c>
      <c r="H12" s="156">
        <f>'2C Önk bev kiad fel'!H18+'3B PH fel'!J16</f>
        <v>11734</v>
      </c>
      <c r="I12" s="156">
        <f t="shared" si="16"/>
        <v>6894</v>
      </c>
      <c r="J12" s="156">
        <f>L12+N12+P12+T12+R12</f>
        <v>11734</v>
      </c>
      <c r="K12" s="156"/>
      <c r="L12" s="156">
        <f>4840</f>
        <v>4840</v>
      </c>
      <c r="M12" s="586"/>
      <c r="N12" s="586"/>
      <c r="O12" s="586"/>
      <c r="P12" s="586"/>
      <c r="Q12" s="586"/>
      <c r="R12" s="586"/>
      <c r="S12" s="586">
        <f t="shared" si="19"/>
        <v>6894</v>
      </c>
      <c r="T12" s="586">
        <f t="shared" si="20"/>
        <v>6894</v>
      </c>
    </row>
    <row r="13" spans="1:24">
      <c r="A13" s="74" t="s">
        <v>1683</v>
      </c>
      <c r="B13" s="75" t="s">
        <v>1449</v>
      </c>
      <c r="C13" s="456"/>
      <c r="D13" s="456"/>
      <c r="E13" s="522"/>
      <c r="F13" s="522"/>
      <c r="G13" s="156">
        <f>'2C Önk bev kiad fel'!G21+'4B VG fel'!G39</f>
        <v>15360</v>
      </c>
      <c r="H13" s="156">
        <f>'2C Önk bev kiad fel'!H21+'4B VG fel'!H39</f>
        <v>15360</v>
      </c>
      <c r="I13" s="156">
        <f t="shared" si="16"/>
        <v>15360</v>
      </c>
      <c r="J13" s="156">
        <f t="shared" ref="J13:J76" si="21">L13+N13+P13+T13+R13</f>
        <v>15360</v>
      </c>
      <c r="K13" s="156"/>
      <c r="L13" s="156"/>
      <c r="M13" s="586">
        <f>'4B VG fel'!M39+'2C Önk bev kiad fel'!M21</f>
        <v>7500</v>
      </c>
      <c r="N13" s="586">
        <f>'4B VG fel'!N39+'2C Önk bev kiad fel'!N21</f>
        <v>7500</v>
      </c>
      <c r="O13" s="586"/>
      <c r="P13" s="586"/>
      <c r="Q13" s="586"/>
      <c r="R13" s="586"/>
      <c r="S13" s="586">
        <f t="shared" si="19"/>
        <v>7860</v>
      </c>
      <c r="T13" s="586">
        <f t="shared" si="20"/>
        <v>7860</v>
      </c>
    </row>
    <row r="14" spans="1:24">
      <c r="A14" s="74" t="s">
        <v>1684</v>
      </c>
      <c r="B14" s="155" t="s">
        <v>399</v>
      </c>
      <c r="C14" s="456"/>
      <c r="D14" s="456"/>
      <c r="E14" s="522"/>
      <c r="F14" s="522"/>
      <c r="G14" s="156">
        <f>'2C Önk bev kiad fel'!G23</f>
        <v>18281</v>
      </c>
      <c r="H14" s="156">
        <f>'2C Önk bev kiad fel'!H23</f>
        <v>18281</v>
      </c>
      <c r="I14" s="156">
        <f t="shared" si="16"/>
        <v>18281</v>
      </c>
      <c r="J14" s="156">
        <f t="shared" si="21"/>
        <v>18281</v>
      </c>
      <c r="K14" s="156"/>
      <c r="L14" s="156"/>
      <c r="M14" s="586"/>
      <c r="N14" s="586"/>
      <c r="O14" s="586"/>
      <c r="P14" s="586"/>
      <c r="Q14" s="586"/>
      <c r="R14" s="586"/>
      <c r="S14" s="586">
        <f t="shared" si="19"/>
        <v>18281</v>
      </c>
      <c r="T14" s="586">
        <f t="shared" si="20"/>
        <v>18281</v>
      </c>
    </row>
    <row r="15" spans="1:24">
      <c r="A15" s="74" t="s">
        <v>1685</v>
      </c>
      <c r="B15" s="75" t="s">
        <v>1450</v>
      </c>
      <c r="C15" s="456"/>
      <c r="D15" s="456"/>
      <c r="E15" s="522"/>
      <c r="F15" s="522"/>
      <c r="G15" s="156">
        <f>'2C Önk bev kiad fel'!G25</f>
        <v>6429</v>
      </c>
      <c r="H15" s="156">
        <f>'2C Önk bev kiad fel'!H25</f>
        <v>6429</v>
      </c>
      <c r="I15" s="156">
        <f t="shared" si="16"/>
        <v>6429</v>
      </c>
      <c r="J15" s="156">
        <f t="shared" si="21"/>
        <v>6429</v>
      </c>
      <c r="K15" s="156"/>
      <c r="L15" s="156"/>
      <c r="M15" s="586"/>
      <c r="N15" s="586"/>
      <c r="O15" s="586"/>
      <c r="P15" s="586"/>
      <c r="Q15" s="586"/>
      <c r="R15" s="586"/>
      <c r="S15" s="586">
        <f t="shared" si="19"/>
        <v>6429</v>
      </c>
      <c r="T15" s="586">
        <f t="shared" si="20"/>
        <v>6429</v>
      </c>
    </row>
    <row r="16" spans="1:24">
      <c r="A16" s="74" t="s">
        <v>1686</v>
      </c>
      <c r="B16" s="75" t="s">
        <v>1451</v>
      </c>
      <c r="C16" s="456">
        <f>'4B VG fel'!C42+'4B VG fel'!C50+'4B VG fel'!C53+'4B VG fel'!C58</f>
        <v>125</v>
      </c>
      <c r="D16" s="456">
        <f>'4B VG fel'!D42+'4B VG fel'!D50+'4B VG fel'!D53+'4B VG fel'!D58</f>
        <v>125</v>
      </c>
      <c r="E16" s="522"/>
      <c r="F16" s="522"/>
      <c r="G16" s="156">
        <f>'2C Önk bev kiad fel'!G27+'4B VG fel'!G47+'4B VG fel'!G50+'4B VG fel'!G53+'4B VG fel'!G58+'4B VG fel'!G42</f>
        <v>1577531</v>
      </c>
      <c r="H16" s="156">
        <f>'2C Önk bev kiad fel'!H27+'4B VG fel'!H47+'4B VG fel'!H50+'4B VG fel'!H53+'4B VG fel'!H58+'4B VG fel'!H42</f>
        <v>1550513</v>
      </c>
      <c r="I16" s="156">
        <f t="shared" si="16"/>
        <v>1577531</v>
      </c>
      <c r="J16" s="156">
        <f t="shared" si="21"/>
        <v>1550513</v>
      </c>
      <c r="K16" s="156">
        <f>'2A Önk bev'!C7+'2A Önk bev'!C11</f>
        <v>29042</v>
      </c>
      <c r="L16" s="156">
        <f>'2A Önk bev'!D7+'2A Önk bev'!D11+1142+1611+1461+1101+927-124+1340</f>
        <v>37642</v>
      </c>
      <c r="M16" s="586">
        <f>'4B VG fel'!M53+'4B VG fel'!M58+'4B VG fel'!M42+'2C Önk bev kiad fel'!M27</f>
        <v>190879</v>
      </c>
      <c r="N16" s="586">
        <f>'4B VG fel'!N53+'4B VG fel'!N58+'4B VG fel'!N42+'2C Önk bev kiad fel'!N27-460</f>
        <v>190879</v>
      </c>
      <c r="O16" s="586">
        <f>G16-'2C Önk bev kiad fel'!G27-17455-1100</f>
        <v>848798</v>
      </c>
      <c r="P16" s="586">
        <f>'2C Önk bev kiad fel'!P27+'4B VG fel'!P42</f>
        <v>362374</v>
      </c>
      <c r="Q16" s="586"/>
      <c r="R16" s="586">
        <f>822500</f>
        <v>822500</v>
      </c>
      <c r="S16" s="586">
        <f t="shared" si="19"/>
        <v>508812</v>
      </c>
      <c r="T16" s="586">
        <f t="shared" si="20"/>
        <v>137118</v>
      </c>
    </row>
    <row r="17" spans="1:20">
      <c r="A17" s="74" t="s">
        <v>1687</v>
      </c>
      <c r="B17" s="75" t="s">
        <v>1452</v>
      </c>
      <c r="C17" s="456"/>
      <c r="D17" s="456"/>
      <c r="E17" s="522"/>
      <c r="F17" s="522"/>
      <c r="G17" s="156">
        <f>'2C Önk bev kiad fel'!G31+'3B PH fel'!I21</f>
        <v>1881</v>
      </c>
      <c r="H17" s="156">
        <f>'2C Önk bev kiad fel'!H31+'3B PH fel'!J21</f>
        <v>1881</v>
      </c>
      <c r="I17" s="156">
        <f t="shared" si="16"/>
        <v>1881</v>
      </c>
      <c r="J17" s="156">
        <f t="shared" si="21"/>
        <v>1881</v>
      </c>
      <c r="K17" s="156"/>
      <c r="L17" s="156"/>
      <c r="M17" s="586"/>
      <c r="N17" s="586"/>
      <c r="O17" s="586"/>
      <c r="P17" s="586"/>
      <c r="Q17" s="586"/>
      <c r="R17" s="586"/>
      <c r="S17" s="586">
        <f t="shared" si="19"/>
        <v>1881</v>
      </c>
      <c r="T17" s="586">
        <f t="shared" si="20"/>
        <v>1881</v>
      </c>
    </row>
    <row r="18" spans="1:20" s="145" customFormat="1">
      <c r="A18" s="74" t="s">
        <v>1688</v>
      </c>
      <c r="B18" s="75" t="s">
        <v>1549</v>
      </c>
      <c r="C18" s="456"/>
      <c r="D18" s="456"/>
      <c r="E18" s="522"/>
      <c r="F18" s="522"/>
      <c r="G18" s="156">
        <f>'2C Önk bev kiad fel'!G33</f>
        <v>20767</v>
      </c>
      <c r="H18" s="156">
        <f>'2C Önk bev kiad fel'!H33</f>
        <v>20767</v>
      </c>
      <c r="I18" s="156">
        <f t="shared" si="16"/>
        <v>20767</v>
      </c>
      <c r="J18" s="156">
        <f t="shared" si="21"/>
        <v>20767</v>
      </c>
      <c r="K18" s="156">
        <f>ROUND('Állami tám'!G29/1000,0)</f>
        <v>9805</v>
      </c>
      <c r="L18" s="156">
        <f>9805+7007+1584</f>
        <v>18396</v>
      </c>
      <c r="M18" s="586"/>
      <c r="N18" s="586"/>
      <c r="O18" s="586"/>
      <c r="P18" s="586"/>
      <c r="Q18" s="586"/>
      <c r="R18" s="586"/>
      <c r="S18" s="586">
        <f t="shared" si="19"/>
        <v>10962</v>
      </c>
      <c r="T18" s="586">
        <f t="shared" si="20"/>
        <v>2371</v>
      </c>
    </row>
    <row r="19" spans="1:20" s="145" customFormat="1">
      <c r="A19" s="74" t="s">
        <v>1689</v>
      </c>
      <c r="B19" s="75" t="s">
        <v>1550</v>
      </c>
      <c r="C19" s="456">
        <f>'3B PH fel'!C7</f>
        <v>60</v>
      </c>
      <c r="D19" s="456">
        <f>'3B PH fel'!D7</f>
        <v>62</v>
      </c>
      <c r="E19" s="522"/>
      <c r="F19" s="522"/>
      <c r="G19" s="156">
        <f>'3B PH fel'!I7</f>
        <v>599740</v>
      </c>
      <c r="H19" s="156">
        <f>'3B PH fel'!J7</f>
        <v>670480</v>
      </c>
      <c r="I19" s="156">
        <f t="shared" si="16"/>
        <v>599740</v>
      </c>
      <c r="J19" s="156">
        <f t="shared" si="21"/>
        <v>670480</v>
      </c>
      <c r="K19" s="156"/>
      <c r="L19" s="156"/>
      <c r="M19" s="586"/>
      <c r="N19" s="586"/>
      <c r="O19" s="586">
        <v>274977</v>
      </c>
      <c r="P19" s="586">
        <f>'3B PH fel'!R7</f>
        <v>44904</v>
      </c>
      <c r="Q19" s="586"/>
      <c r="R19" s="586"/>
      <c r="S19" s="586">
        <f t="shared" si="19"/>
        <v>324763</v>
      </c>
      <c r="T19" s="586">
        <f t="shared" si="20"/>
        <v>625576</v>
      </c>
    </row>
    <row r="20" spans="1:20" s="145" customFormat="1">
      <c r="A20" s="74" t="s">
        <v>1690</v>
      </c>
      <c r="B20" s="75" t="s">
        <v>1761</v>
      </c>
      <c r="C20" s="456">
        <f>'3B PH fel'!C25</f>
        <v>0</v>
      </c>
      <c r="D20" s="456">
        <f>'3B PH fel'!D25</f>
        <v>0</v>
      </c>
      <c r="E20" s="523"/>
      <c r="F20" s="523"/>
      <c r="G20" s="156">
        <f>'3B PH fel'!I25</f>
        <v>15846</v>
      </c>
      <c r="H20" s="156">
        <f>'3B PH fel'!J25</f>
        <v>15846</v>
      </c>
      <c r="I20" s="156">
        <f t="shared" si="16"/>
        <v>15846</v>
      </c>
      <c r="J20" s="156">
        <f t="shared" si="21"/>
        <v>15846</v>
      </c>
      <c r="K20" s="156">
        <f>'2A Önk bev'!C20</f>
        <v>14161</v>
      </c>
      <c r="L20" s="156">
        <f>'2A Önk bev'!D20+180</f>
        <v>14341</v>
      </c>
      <c r="M20" s="586"/>
      <c r="N20" s="586"/>
      <c r="O20" s="586"/>
      <c r="P20" s="586"/>
      <c r="Q20" s="586"/>
      <c r="R20" s="586"/>
      <c r="S20" s="586">
        <f t="shared" si="19"/>
        <v>1685</v>
      </c>
      <c r="T20" s="586">
        <f t="shared" si="20"/>
        <v>1505</v>
      </c>
    </row>
    <row r="21" spans="1:20" s="145" customFormat="1">
      <c r="A21" s="74" t="s">
        <v>1691</v>
      </c>
      <c r="B21" s="75" t="s">
        <v>413</v>
      </c>
      <c r="C21" s="459">
        <f>'4B VG fel'!C7</f>
        <v>5</v>
      </c>
      <c r="D21" s="459">
        <f>'4B VG fel'!D7</f>
        <v>5</v>
      </c>
      <c r="E21" s="522"/>
      <c r="F21" s="522"/>
      <c r="G21" s="156">
        <f>'4B VG fel'!G7</f>
        <v>30196</v>
      </c>
      <c r="H21" s="156">
        <f>'4B VG fel'!H7</f>
        <v>34522</v>
      </c>
      <c r="I21" s="156">
        <f t="shared" si="16"/>
        <v>30196</v>
      </c>
      <c r="J21" s="156">
        <f t="shared" si="21"/>
        <v>34522</v>
      </c>
      <c r="K21" s="156"/>
      <c r="L21" s="156"/>
      <c r="M21" s="586"/>
      <c r="N21" s="586"/>
      <c r="O21" s="586"/>
      <c r="P21" s="586"/>
      <c r="Q21" s="586"/>
      <c r="R21" s="586"/>
      <c r="S21" s="586">
        <f t="shared" si="19"/>
        <v>30196</v>
      </c>
      <c r="T21" s="586">
        <f t="shared" si="20"/>
        <v>34522</v>
      </c>
    </row>
    <row r="22" spans="1:20" s="145" customFormat="1">
      <c r="A22" s="74" t="s">
        <v>1692</v>
      </c>
      <c r="B22" s="75" t="s">
        <v>416</v>
      </c>
      <c r="C22" s="456">
        <f>'4B VG fel'!C12</f>
        <v>22</v>
      </c>
      <c r="D22" s="456">
        <f>'4B VG fel'!D12</f>
        <v>22</v>
      </c>
      <c r="E22" s="522"/>
      <c r="F22" s="522"/>
      <c r="G22" s="156">
        <f>'4B VG fel'!G12</f>
        <v>69573</v>
      </c>
      <c r="H22" s="156">
        <f>'4B VG fel'!H12</f>
        <v>69913</v>
      </c>
      <c r="I22" s="156">
        <f t="shared" si="16"/>
        <v>69573</v>
      </c>
      <c r="J22" s="156">
        <f t="shared" si="21"/>
        <v>69913</v>
      </c>
      <c r="K22" s="156"/>
      <c r="L22" s="156"/>
      <c r="M22" s="586"/>
      <c r="N22" s="586"/>
      <c r="O22" s="586"/>
      <c r="P22" s="586"/>
      <c r="Q22" s="586"/>
      <c r="R22" s="586"/>
      <c r="S22" s="586">
        <f t="shared" si="19"/>
        <v>69573</v>
      </c>
      <c r="T22" s="586">
        <f t="shared" si="20"/>
        <v>69913</v>
      </c>
    </row>
    <row r="23" spans="1:20" s="145" customFormat="1">
      <c r="A23" s="74" t="s">
        <v>1693</v>
      </c>
      <c r="B23" s="75" t="s">
        <v>417</v>
      </c>
      <c r="C23" s="456"/>
      <c r="D23" s="456"/>
      <c r="E23" s="522"/>
      <c r="F23" s="522"/>
      <c r="G23" s="156">
        <f>'4B VG fel'!G17</f>
        <v>46990</v>
      </c>
      <c r="H23" s="156">
        <f>'4B VG fel'!H17</f>
        <v>48750</v>
      </c>
      <c r="I23" s="156">
        <f t="shared" si="16"/>
        <v>46990</v>
      </c>
      <c r="J23" s="156">
        <f t="shared" si="21"/>
        <v>48750</v>
      </c>
      <c r="K23" s="156"/>
      <c r="L23" s="156"/>
      <c r="M23" s="586"/>
      <c r="N23" s="586"/>
      <c r="O23" s="586"/>
      <c r="P23" s="586">
        <f>'4B VG fel'!P17</f>
        <v>1760</v>
      </c>
      <c r="Q23" s="586"/>
      <c r="R23" s="586"/>
      <c r="S23" s="586">
        <f t="shared" si="19"/>
        <v>46990</v>
      </c>
      <c r="T23" s="586">
        <f t="shared" si="20"/>
        <v>46990</v>
      </c>
    </row>
    <row r="24" spans="1:20" s="145" customFormat="1">
      <c r="A24" s="74" t="s">
        <v>1694</v>
      </c>
      <c r="B24" s="75" t="s">
        <v>418</v>
      </c>
      <c r="C24" s="456"/>
      <c r="D24" s="456"/>
      <c r="E24" s="522"/>
      <c r="F24" s="522"/>
      <c r="G24" s="156">
        <f>'4B VG fel'!G20</f>
        <v>58163</v>
      </c>
      <c r="H24" s="156">
        <f>'4B VG fel'!H20</f>
        <v>75538</v>
      </c>
      <c r="I24" s="156">
        <f t="shared" si="16"/>
        <v>58163</v>
      </c>
      <c r="J24" s="156">
        <f t="shared" si="21"/>
        <v>75538</v>
      </c>
      <c r="K24" s="156"/>
      <c r="L24" s="156"/>
      <c r="M24" s="586"/>
      <c r="N24" s="586"/>
      <c r="O24" s="586"/>
      <c r="P24" s="586">
        <f>'4B VG fel'!P20</f>
        <v>8404</v>
      </c>
      <c r="Q24" s="586"/>
      <c r="R24" s="586"/>
      <c r="S24" s="586">
        <f t="shared" si="19"/>
        <v>58163</v>
      </c>
      <c r="T24" s="586">
        <f t="shared" si="20"/>
        <v>67134</v>
      </c>
    </row>
    <row r="25" spans="1:20" s="145" customFormat="1">
      <c r="A25" s="74" t="s">
        <v>1695</v>
      </c>
      <c r="B25" s="75" t="s">
        <v>1551</v>
      </c>
      <c r="C25" s="456"/>
      <c r="D25" s="456"/>
      <c r="E25" s="522"/>
      <c r="F25" s="522"/>
      <c r="G25" s="156">
        <f>'4B VG fel'!G23</f>
        <v>8702</v>
      </c>
      <c r="H25" s="156">
        <f>'4B VG fel'!H23</f>
        <v>8702</v>
      </c>
      <c r="I25" s="156">
        <f t="shared" si="16"/>
        <v>8702</v>
      </c>
      <c r="J25" s="156">
        <f t="shared" si="21"/>
        <v>8702</v>
      </c>
      <c r="K25" s="156"/>
      <c r="L25" s="156"/>
      <c r="M25" s="586">
        <f>'4B VG fel'!M23</f>
        <v>4826</v>
      </c>
      <c r="N25" s="586">
        <f>'4B VG fel'!N23</f>
        <v>4826</v>
      </c>
      <c r="O25" s="586"/>
      <c r="P25" s="586"/>
      <c r="Q25" s="586"/>
      <c r="R25" s="586"/>
      <c r="S25" s="586">
        <f t="shared" si="19"/>
        <v>3876</v>
      </c>
      <c r="T25" s="586">
        <f t="shared" si="20"/>
        <v>3876</v>
      </c>
    </row>
    <row r="26" spans="1:20" s="145" customFormat="1">
      <c r="A26" s="74" t="s">
        <v>1696</v>
      </c>
      <c r="B26" s="75" t="s">
        <v>420</v>
      </c>
      <c r="C26" s="456">
        <f>'4B VG fel'!C26</f>
        <v>3</v>
      </c>
      <c r="D26" s="456">
        <f>'4B VG fel'!D26</f>
        <v>3</v>
      </c>
      <c r="E26" s="522"/>
      <c r="F26" s="522"/>
      <c r="G26" s="156">
        <f>'4B VG fel'!G26</f>
        <v>16149</v>
      </c>
      <c r="H26" s="156">
        <f>'4B VG fel'!H26</f>
        <v>16149</v>
      </c>
      <c r="I26" s="156">
        <f t="shared" si="16"/>
        <v>16149</v>
      </c>
      <c r="J26" s="156">
        <f t="shared" si="21"/>
        <v>16149</v>
      </c>
      <c r="K26" s="156"/>
      <c r="L26" s="156"/>
      <c r="M26" s="586"/>
      <c r="N26" s="586"/>
      <c r="O26" s="586"/>
      <c r="P26" s="586"/>
      <c r="Q26" s="586"/>
      <c r="R26" s="586"/>
      <c r="S26" s="586">
        <f t="shared" si="19"/>
        <v>16149</v>
      </c>
      <c r="T26" s="586">
        <f t="shared" si="20"/>
        <v>16149</v>
      </c>
    </row>
    <row r="27" spans="1:20" s="145" customFormat="1">
      <c r="A27" s="74" t="s">
        <v>1697</v>
      </c>
      <c r="B27" s="75" t="s">
        <v>421</v>
      </c>
      <c r="C27" s="456">
        <f>'4B VG fel'!C31</f>
        <v>2</v>
      </c>
      <c r="D27" s="456">
        <f>'4B VG fel'!D31</f>
        <v>2</v>
      </c>
      <c r="E27" s="522"/>
      <c r="F27" s="522"/>
      <c r="G27" s="156">
        <f>'4B VG fel'!G31</f>
        <v>16353</v>
      </c>
      <c r="H27" s="156">
        <f>'4B VG fel'!H31</f>
        <v>16353</v>
      </c>
      <c r="I27" s="156">
        <f t="shared" si="16"/>
        <v>16353</v>
      </c>
      <c r="J27" s="156">
        <f t="shared" si="21"/>
        <v>16353</v>
      </c>
      <c r="K27" s="156"/>
      <c r="L27" s="156"/>
      <c r="M27" s="586"/>
      <c r="N27" s="586"/>
      <c r="O27" s="586"/>
      <c r="P27" s="586"/>
      <c r="Q27" s="586"/>
      <c r="R27" s="586"/>
      <c r="S27" s="586">
        <f t="shared" si="19"/>
        <v>16353</v>
      </c>
      <c r="T27" s="586">
        <f t="shared" si="20"/>
        <v>16353</v>
      </c>
    </row>
    <row r="28" spans="1:20" s="145" customFormat="1">
      <c r="A28" s="74" t="s">
        <v>1698</v>
      </c>
      <c r="B28" s="75" t="s">
        <v>422</v>
      </c>
      <c r="C28" s="456">
        <f>'4B VG fel'!C36</f>
        <v>1</v>
      </c>
      <c r="D28" s="456">
        <f>'4B VG fel'!D36</f>
        <v>1</v>
      </c>
      <c r="E28" s="522"/>
      <c r="F28" s="522"/>
      <c r="G28" s="156">
        <f>'4B VG fel'!G36</f>
        <v>2769</v>
      </c>
      <c r="H28" s="156">
        <f>'4B VG fel'!H36</f>
        <v>2769</v>
      </c>
      <c r="I28" s="156">
        <f t="shared" si="16"/>
        <v>2769</v>
      </c>
      <c r="J28" s="156">
        <f t="shared" si="21"/>
        <v>2769</v>
      </c>
      <c r="K28" s="156"/>
      <c r="L28" s="156"/>
      <c r="M28" s="586"/>
      <c r="N28" s="586"/>
      <c r="O28" s="586"/>
      <c r="P28" s="586"/>
      <c r="Q28" s="586"/>
      <c r="R28" s="586"/>
      <c r="S28" s="586">
        <f t="shared" si="19"/>
        <v>2769</v>
      </c>
      <c r="T28" s="586">
        <f t="shared" si="20"/>
        <v>2769</v>
      </c>
    </row>
    <row r="29" spans="1:20" s="145" customFormat="1">
      <c r="A29" s="74" t="s">
        <v>1699</v>
      </c>
      <c r="B29" s="75" t="s">
        <v>428</v>
      </c>
      <c r="C29" s="456"/>
      <c r="D29" s="456"/>
      <c r="E29" s="522"/>
      <c r="F29" s="522"/>
      <c r="G29" s="156">
        <f>'4B VG fel'!G63</f>
        <v>120650</v>
      </c>
      <c r="H29" s="156">
        <f>'4B VG fel'!H63</f>
        <v>120650</v>
      </c>
      <c r="I29" s="156">
        <f t="shared" si="16"/>
        <v>120650</v>
      </c>
      <c r="J29" s="156">
        <f t="shared" si="21"/>
        <v>120650</v>
      </c>
      <c r="K29" s="156">
        <v>38395</v>
      </c>
      <c r="L29" s="156">
        <v>38395</v>
      </c>
      <c r="M29" s="586">
        <f>'4B VG fel'!M63</f>
        <v>62535</v>
      </c>
      <c r="N29" s="586">
        <f>'4B VG fel'!N63</f>
        <v>62535</v>
      </c>
      <c r="O29" s="586"/>
      <c r="P29" s="586"/>
      <c r="Q29" s="586"/>
      <c r="R29" s="586"/>
      <c r="S29" s="586">
        <f t="shared" si="19"/>
        <v>19720</v>
      </c>
      <c r="T29" s="586">
        <f t="shared" si="20"/>
        <v>19720</v>
      </c>
    </row>
    <row r="30" spans="1:20" s="145" customFormat="1">
      <c r="A30" s="74" t="s">
        <v>1700</v>
      </c>
      <c r="B30" s="75" t="s">
        <v>1442</v>
      </c>
      <c r="C30" s="456">
        <f>'5G GSZNR fel'!C8+'5G GSZNR fel'!C21+'5G GSZNR fel'!C35</f>
        <v>99.5</v>
      </c>
      <c r="D30" s="456">
        <f>'5G GSZNR fel'!D8+'5G GSZNR fel'!D21+'5G GSZNR fel'!D35</f>
        <v>99.5</v>
      </c>
      <c r="E30" s="522"/>
      <c r="F30" s="522"/>
      <c r="G30" s="156">
        <f>'5G GSZNR fel'!G8+'5G GSZNR fel'!G21+'5G GSZNR fel'!G35</f>
        <v>416189</v>
      </c>
      <c r="H30" s="156">
        <f>'5G GSZNR fel'!H8+'5G GSZNR fel'!H21+'5G GSZNR fel'!H35</f>
        <v>420372</v>
      </c>
      <c r="I30" s="156">
        <f t="shared" si="16"/>
        <v>416189</v>
      </c>
      <c r="J30" s="156">
        <f t="shared" si="21"/>
        <v>420372</v>
      </c>
      <c r="K30" s="156">
        <f>ROUND('Állami tám'!G28/1000,0)</f>
        <v>274594</v>
      </c>
      <c r="L30" s="156">
        <v>274594</v>
      </c>
      <c r="M30" s="586"/>
      <c r="N30" s="586"/>
      <c r="O30" s="586"/>
      <c r="P30" s="586">
        <f>'5G GSZNR fel'!P8+'5G GSZNR fel'!P21+'5G GSZNR fel'!P35</f>
        <v>2542</v>
      </c>
      <c r="Q30" s="586"/>
      <c r="R30" s="586"/>
      <c r="S30" s="586">
        <f t="shared" si="19"/>
        <v>141595</v>
      </c>
      <c r="T30" s="586">
        <f t="shared" si="20"/>
        <v>143236</v>
      </c>
    </row>
    <row r="31" spans="1:20" s="145" customFormat="1">
      <c r="A31" s="74" t="s">
        <v>1701</v>
      </c>
      <c r="B31" s="75" t="s">
        <v>1398</v>
      </c>
      <c r="C31" s="456">
        <f>'5G GSZNR fel'!C13+'5G GSZNR fel'!C27+'5G GSZNR fel'!C41</f>
        <v>0</v>
      </c>
      <c r="D31" s="456">
        <f>'5G GSZNR fel'!D13+'5G GSZNR fel'!D27+'5G GSZNR fel'!D41</f>
        <v>0</v>
      </c>
      <c r="E31" s="522"/>
      <c r="F31" s="522"/>
      <c r="G31" s="156">
        <f>'5G GSZNR fel'!G13+'5G GSZNR fel'!G27+'5G GSZNR fel'!G41</f>
        <v>50032</v>
      </c>
      <c r="H31" s="156">
        <f>'5G GSZNR fel'!H13+'5G GSZNR fel'!H27+'5G GSZNR fel'!H41</f>
        <v>50032</v>
      </c>
      <c r="I31" s="156">
        <f t="shared" si="16"/>
        <v>50032</v>
      </c>
      <c r="J31" s="156">
        <f t="shared" si="21"/>
        <v>50032</v>
      </c>
      <c r="K31" s="156">
        <v>19797</v>
      </c>
      <c r="L31" s="156">
        <v>19797</v>
      </c>
      <c r="M31" s="586">
        <f>'5G GSZNR fel'!M13+'5G GSZNR fel'!M27+'5G GSZNR fel'!M41</f>
        <v>25048</v>
      </c>
      <c r="N31" s="586">
        <f>'5G GSZNR fel'!N13+'5G GSZNR fel'!N27+'5G GSZNR fel'!N41</f>
        <v>25048</v>
      </c>
      <c r="O31" s="586"/>
      <c r="P31" s="586"/>
      <c r="Q31" s="586"/>
      <c r="R31" s="586"/>
      <c r="S31" s="586">
        <f t="shared" si="19"/>
        <v>5187</v>
      </c>
      <c r="T31" s="586">
        <f t="shared" si="20"/>
        <v>5187</v>
      </c>
    </row>
    <row r="32" spans="1:20" s="145" customFormat="1">
      <c r="A32" s="74" t="s">
        <v>1702</v>
      </c>
      <c r="B32" s="75" t="s">
        <v>1492</v>
      </c>
      <c r="C32" s="456">
        <f>'5G GSZNR fel'!C49</f>
        <v>0</v>
      </c>
      <c r="D32" s="456">
        <f>'5G GSZNR fel'!D49</f>
        <v>0</v>
      </c>
      <c r="E32" s="522"/>
      <c r="F32" s="522"/>
      <c r="G32" s="156">
        <f>'5G GSZNR fel'!G49</f>
        <v>34180</v>
      </c>
      <c r="H32" s="156">
        <f>'5G GSZNR fel'!H49</f>
        <v>36709</v>
      </c>
      <c r="I32" s="156">
        <f t="shared" si="16"/>
        <v>34180</v>
      </c>
      <c r="J32" s="156">
        <f t="shared" si="21"/>
        <v>36709</v>
      </c>
      <c r="K32" s="156"/>
      <c r="L32" s="156"/>
      <c r="M32" s="586">
        <f>'5G GSZNR fel'!M49</f>
        <v>34002</v>
      </c>
      <c r="N32" s="586">
        <f>'5G GSZNR fel'!N49</f>
        <v>34002</v>
      </c>
      <c r="O32" s="586"/>
      <c r="P32" s="586">
        <f>'5G GSZNR fel'!P49</f>
        <v>2185</v>
      </c>
      <c r="Q32" s="586"/>
      <c r="R32" s="586"/>
      <c r="S32" s="586">
        <f>G32-K32-M32-O32</f>
        <v>178</v>
      </c>
      <c r="T32" s="586">
        <f t="shared" si="20"/>
        <v>522</v>
      </c>
    </row>
    <row r="33" spans="1:20" s="145" customFormat="1">
      <c r="A33" s="74" t="s">
        <v>1703</v>
      </c>
      <c r="B33" s="75" t="s">
        <v>1552</v>
      </c>
      <c r="C33" s="456">
        <f>'5G GSZNR fel'!C55</f>
        <v>12.5</v>
      </c>
      <c r="D33" s="456">
        <f>'5G GSZNR fel'!D55</f>
        <v>12.5</v>
      </c>
      <c r="E33" s="522"/>
      <c r="F33" s="522"/>
      <c r="G33" s="156">
        <f>'5G GSZNR fel'!G55</f>
        <v>100853</v>
      </c>
      <c r="H33" s="156">
        <f>'5G GSZNR fel'!H55</f>
        <v>102769</v>
      </c>
      <c r="I33" s="156">
        <f t="shared" si="16"/>
        <v>100853</v>
      </c>
      <c r="J33" s="156">
        <f t="shared" si="21"/>
        <v>102769</v>
      </c>
      <c r="K33" s="156">
        <f>ROUND('Állami tám'!G59/1000,0)</f>
        <v>15471</v>
      </c>
      <c r="L33" s="156">
        <f>15471+344</f>
        <v>15815</v>
      </c>
      <c r="M33" s="586"/>
      <c r="N33" s="586"/>
      <c r="O33" s="586"/>
      <c r="P33" s="586"/>
      <c r="Q33" s="586"/>
      <c r="R33" s="586"/>
      <c r="S33" s="586">
        <f>G33-K33-M33-O33</f>
        <v>85382</v>
      </c>
      <c r="T33" s="586">
        <f t="shared" si="20"/>
        <v>86954</v>
      </c>
    </row>
    <row r="34" spans="1:20" s="145" customFormat="1">
      <c r="A34" s="74" t="s">
        <v>1704</v>
      </c>
      <c r="B34" s="75" t="s">
        <v>1494</v>
      </c>
      <c r="C34" s="456">
        <f>'5G GSZNR fel'!C63</f>
        <v>4.5</v>
      </c>
      <c r="D34" s="456">
        <f>'5G GSZNR fel'!D63</f>
        <v>4.5</v>
      </c>
      <c r="E34" s="522"/>
      <c r="F34" s="522"/>
      <c r="G34" s="156">
        <f>'5G GSZNR fel'!G63</f>
        <v>30596</v>
      </c>
      <c r="H34" s="156">
        <f>'5G GSZNR fel'!H63</f>
        <v>32211</v>
      </c>
      <c r="I34" s="156">
        <f t="shared" si="16"/>
        <v>30596</v>
      </c>
      <c r="J34" s="156">
        <f t="shared" si="21"/>
        <v>32211</v>
      </c>
      <c r="K34" s="156"/>
      <c r="L34" s="156"/>
      <c r="M34" s="586">
        <f>'5G GSZNR fel'!M63</f>
        <v>300</v>
      </c>
      <c r="N34" s="586">
        <f>'5G GSZNR fel'!N63</f>
        <v>300</v>
      </c>
      <c r="O34" s="586"/>
      <c r="P34" s="586">
        <f>'5G GSZNR fel'!P63</f>
        <v>167</v>
      </c>
      <c r="Q34" s="586"/>
      <c r="R34" s="586"/>
      <c r="S34" s="586">
        <f t="shared" si="19"/>
        <v>30296</v>
      </c>
      <c r="T34" s="586">
        <f t="shared" si="20"/>
        <v>31744</v>
      </c>
    </row>
    <row r="35" spans="1:20" s="145" customFormat="1">
      <c r="A35" s="74" t="s">
        <v>1705</v>
      </c>
      <c r="B35" s="75" t="s">
        <v>1553</v>
      </c>
      <c r="C35" s="456">
        <f>'5G GSZNR fel'!C68</f>
        <v>0</v>
      </c>
      <c r="D35" s="456">
        <f>'5G GSZNR fel'!D68</f>
        <v>0</v>
      </c>
      <c r="E35" s="522"/>
      <c r="F35" s="522"/>
      <c r="G35" s="156">
        <f>'5G GSZNR fel'!G68</f>
        <v>2757</v>
      </c>
      <c r="H35" s="156">
        <f>'5G GSZNR fel'!H68</f>
        <v>3753</v>
      </c>
      <c r="I35" s="156">
        <f t="shared" si="16"/>
        <v>2757</v>
      </c>
      <c r="J35" s="156">
        <f t="shared" si="21"/>
        <v>3753</v>
      </c>
      <c r="K35" s="156"/>
      <c r="L35" s="156">
        <f>996</f>
        <v>996</v>
      </c>
      <c r="M35" s="586"/>
      <c r="N35" s="586"/>
      <c r="O35" s="586"/>
      <c r="P35" s="586"/>
      <c r="Q35" s="586"/>
      <c r="R35" s="586"/>
      <c r="S35" s="586">
        <f t="shared" si="19"/>
        <v>2757</v>
      </c>
      <c r="T35" s="586">
        <f t="shared" si="20"/>
        <v>2757</v>
      </c>
    </row>
    <row r="36" spans="1:20" s="145" customFormat="1">
      <c r="A36" s="74" t="s">
        <v>1706</v>
      </c>
      <c r="B36" s="75" t="s">
        <v>1496</v>
      </c>
      <c r="C36" s="456">
        <f>'5G GSZNR fel'!C76</f>
        <v>11</v>
      </c>
      <c r="D36" s="456">
        <f>'5G GSZNR fel'!D76</f>
        <v>11</v>
      </c>
      <c r="E36" s="522"/>
      <c r="F36" s="522"/>
      <c r="G36" s="156">
        <f>'5G GSZNR fel'!G76</f>
        <v>64579</v>
      </c>
      <c r="H36" s="156">
        <f>'5G GSZNR fel'!H76</f>
        <v>65109</v>
      </c>
      <c r="I36" s="156">
        <f t="shared" si="16"/>
        <v>64579</v>
      </c>
      <c r="J36" s="156">
        <f t="shared" si="21"/>
        <v>65109</v>
      </c>
      <c r="K36" s="156">
        <f>ROUND('Állami tám'!G30/1000,0)</f>
        <v>10721</v>
      </c>
      <c r="L36" s="156">
        <v>10721</v>
      </c>
      <c r="M36" s="586"/>
      <c r="N36" s="586"/>
      <c r="O36" s="586"/>
      <c r="P36" s="586"/>
      <c r="Q36" s="586"/>
      <c r="R36" s="586"/>
      <c r="S36" s="586">
        <f t="shared" si="19"/>
        <v>53858</v>
      </c>
      <c r="T36" s="586">
        <f t="shared" si="20"/>
        <v>54388</v>
      </c>
    </row>
    <row r="37" spans="1:20" s="145" customFormat="1">
      <c r="A37" s="74" t="s">
        <v>1707</v>
      </c>
      <c r="B37" s="75" t="s">
        <v>1497</v>
      </c>
      <c r="C37" s="456">
        <f>'5G GSZNR fel'!C81</f>
        <v>6</v>
      </c>
      <c r="D37" s="456">
        <f>'5G GSZNR fel'!D81</f>
        <v>6</v>
      </c>
      <c r="E37" s="522"/>
      <c r="F37" s="522"/>
      <c r="G37" s="156">
        <f>'5G GSZNR fel'!G81</f>
        <v>20069</v>
      </c>
      <c r="H37" s="156">
        <f>'5G GSZNR fel'!H81</f>
        <v>20082</v>
      </c>
      <c r="I37" s="156">
        <f t="shared" si="16"/>
        <v>20069</v>
      </c>
      <c r="J37" s="156">
        <f t="shared" si="21"/>
        <v>20082</v>
      </c>
      <c r="K37" s="156">
        <f>ROUND('Állami tám'!G33/1000,0)</f>
        <v>1450</v>
      </c>
      <c r="L37" s="156">
        <v>1450</v>
      </c>
      <c r="M37" s="586"/>
      <c r="N37" s="586"/>
      <c r="O37" s="586"/>
      <c r="P37" s="586"/>
      <c r="Q37" s="586"/>
      <c r="R37" s="586"/>
      <c r="S37" s="586">
        <f t="shared" si="19"/>
        <v>18619</v>
      </c>
      <c r="T37" s="586">
        <f t="shared" si="20"/>
        <v>18632</v>
      </c>
    </row>
    <row r="38" spans="1:20" s="145" customFormat="1">
      <c r="A38" s="74" t="s">
        <v>1708</v>
      </c>
      <c r="B38" s="75" t="s">
        <v>1499</v>
      </c>
      <c r="C38" s="456">
        <f>'5G GSZNR fel'!C86</f>
        <v>0</v>
      </c>
      <c r="D38" s="456">
        <f>'5G GSZNR fel'!D86</f>
        <v>0</v>
      </c>
      <c r="E38" s="522"/>
      <c r="F38" s="522"/>
      <c r="G38" s="156">
        <f>'5G GSZNR fel'!G86</f>
        <v>15367</v>
      </c>
      <c r="H38" s="156">
        <f>'5G GSZNR fel'!H86</f>
        <v>20867</v>
      </c>
      <c r="I38" s="156">
        <f t="shared" si="16"/>
        <v>15367</v>
      </c>
      <c r="J38" s="156">
        <f t="shared" si="21"/>
        <v>20867</v>
      </c>
      <c r="K38" s="156">
        <f>ROUND('Állami tám'!G32/1000,0)</f>
        <v>4429</v>
      </c>
      <c r="L38" s="156">
        <v>4429</v>
      </c>
      <c r="M38" s="586">
        <f>'5G GSZNR fel'!M86</f>
        <v>6200</v>
      </c>
      <c r="N38" s="586">
        <f>'5G GSZNR fel'!N86</f>
        <v>6200</v>
      </c>
      <c r="O38" s="586"/>
      <c r="P38" s="586">
        <f>'5G GSZNR fel'!P86</f>
        <v>939</v>
      </c>
      <c r="Q38" s="586"/>
      <c r="R38" s="586"/>
      <c r="S38" s="586">
        <f t="shared" si="19"/>
        <v>4738</v>
      </c>
      <c r="T38" s="586">
        <f t="shared" si="20"/>
        <v>9299</v>
      </c>
    </row>
    <row r="39" spans="1:20" s="145" customFormat="1">
      <c r="A39" s="74" t="s">
        <v>1709</v>
      </c>
      <c r="B39" s="75" t="s">
        <v>1498</v>
      </c>
      <c r="C39" s="456">
        <f>'5G GSZNR fel'!C91</f>
        <v>24</v>
      </c>
      <c r="D39" s="456">
        <f>'5G GSZNR fel'!D91</f>
        <v>24</v>
      </c>
      <c r="E39" s="522"/>
      <c r="F39" s="522"/>
      <c r="G39" s="156">
        <f>'5G GSZNR fel'!G91</f>
        <v>85453</v>
      </c>
      <c r="H39" s="156">
        <f>'5G GSZNR fel'!H91</f>
        <v>86338</v>
      </c>
      <c r="I39" s="156">
        <f t="shared" si="16"/>
        <v>85453</v>
      </c>
      <c r="J39" s="156">
        <f t="shared" si="21"/>
        <v>86338</v>
      </c>
      <c r="K39" s="156">
        <f>ROUND('Állami tám'!G39/1000,0)</f>
        <v>19468</v>
      </c>
      <c r="L39" s="156">
        <v>19468</v>
      </c>
      <c r="M39" s="156"/>
      <c r="N39" s="156"/>
      <c r="O39" s="156"/>
      <c r="P39" s="156"/>
      <c r="Q39" s="156"/>
      <c r="R39" s="156"/>
      <c r="S39" s="156">
        <f t="shared" si="19"/>
        <v>65985</v>
      </c>
      <c r="T39" s="156">
        <f t="shared" si="20"/>
        <v>66870</v>
      </c>
    </row>
    <row r="40" spans="1:20" s="145" customFormat="1">
      <c r="A40" s="74" t="s">
        <v>1762</v>
      </c>
      <c r="B40" s="75" t="s">
        <v>1500</v>
      </c>
      <c r="C40" s="456">
        <f>'5G GSZNR fel'!C96</f>
        <v>0</v>
      </c>
      <c r="D40" s="456">
        <f>'5G GSZNR fel'!D96</f>
        <v>0</v>
      </c>
      <c r="E40" s="522"/>
      <c r="F40" s="522"/>
      <c r="G40" s="156">
        <f>'5G GSZNR fel'!G96</f>
        <v>7868</v>
      </c>
      <c r="H40" s="156">
        <f>'5G GSZNR fel'!H96</f>
        <v>7868</v>
      </c>
      <c r="I40" s="156">
        <f t="shared" si="16"/>
        <v>7868</v>
      </c>
      <c r="J40" s="156">
        <f t="shared" si="21"/>
        <v>7868</v>
      </c>
      <c r="K40" s="156">
        <v>1800</v>
      </c>
      <c r="L40" s="156">
        <v>1800</v>
      </c>
      <c r="M40" s="156">
        <f>'5G GSZNR fel'!M96</f>
        <v>5579</v>
      </c>
      <c r="N40" s="156">
        <f>'5G GSZNR fel'!N96</f>
        <v>5579</v>
      </c>
      <c r="O40" s="156"/>
      <c r="P40" s="156"/>
      <c r="Q40" s="156"/>
      <c r="R40" s="156"/>
      <c r="S40" s="156">
        <f t="shared" si="19"/>
        <v>489</v>
      </c>
      <c r="T40" s="156">
        <f t="shared" si="20"/>
        <v>489</v>
      </c>
    </row>
    <row r="41" spans="1:20">
      <c r="A41" s="127" t="s">
        <v>13</v>
      </c>
      <c r="B41" s="38" t="s">
        <v>155</v>
      </c>
      <c r="C41" s="39">
        <f t="shared" ref="C41:E41" si="22">SUM(C42:C87)</f>
        <v>6</v>
      </c>
      <c r="D41" s="39">
        <f t="shared" ref="D41" si="23">SUM(D42:D87)</f>
        <v>6</v>
      </c>
      <c r="E41" s="462">
        <f t="shared" si="22"/>
        <v>0</v>
      </c>
      <c r="F41" s="462">
        <f t="shared" ref="F41" si="24">SUM(F42:F87)</f>
        <v>0</v>
      </c>
      <c r="G41" s="39">
        <f>SUM(G42:G89)</f>
        <v>970216</v>
      </c>
      <c r="H41" s="39">
        <f>SUM(H42:H90)</f>
        <v>1041302</v>
      </c>
      <c r="I41" s="39">
        <f t="shared" ref="I41:T41" si="25">SUM(I42:I90)</f>
        <v>970216</v>
      </c>
      <c r="J41" s="39">
        <f t="shared" si="25"/>
        <v>1041302</v>
      </c>
      <c r="K41" s="39">
        <f t="shared" si="25"/>
        <v>31100</v>
      </c>
      <c r="L41" s="39">
        <f t="shared" si="25"/>
        <v>31100</v>
      </c>
      <c r="M41" s="39">
        <f t="shared" si="25"/>
        <v>100000</v>
      </c>
      <c r="N41" s="39">
        <f t="shared" si="25"/>
        <v>101047</v>
      </c>
      <c r="O41" s="39">
        <f t="shared" si="25"/>
        <v>137249</v>
      </c>
      <c r="P41" s="39">
        <f t="shared" si="25"/>
        <v>166700</v>
      </c>
      <c r="Q41" s="39">
        <f t="shared" si="25"/>
        <v>0</v>
      </c>
      <c r="R41" s="39">
        <f t="shared" si="25"/>
        <v>0</v>
      </c>
      <c r="S41" s="39">
        <f t="shared" si="25"/>
        <v>701867</v>
      </c>
      <c r="T41" s="39">
        <f t="shared" si="25"/>
        <v>742455</v>
      </c>
    </row>
    <row r="42" spans="1:20" s="145" customFormat="1">
      <c r="A42" s="74" t="s">
        <v>1710</v>
      </c>
      <c r="B42" s="75" t="s">
        <v>1454</v>
      </c>
      <c r="C42" s="456"/>
      <c r="D42" s="456"/>
      <c r="E42" s="522"/>
      <c r="F42" s="522"/>
      <c r="G42" s="156">
        <f>'2C Önk bev kiad fel'!G36</f>
        <v>3744</v>
      </c>
      <c r="H42" s="156">
        <f>'2C Önk bev kiad fel'!H36</f>
        <v>3744</v>
      </c>
      <c r="I42" s="156">
        <f t="shared" ref="I42:I89" si="26">K42+M42+O42+S42</f>
        <v>3744</v>
      </c>
      <c r="J42" s="156">
        <f t="shared" si="21"/>
        <v>3744</v>
      </c>
      <c r="K42" s="156"/>
      <c r="L42" s="156"/>
      <c r="M42" s="156"/>
      <c r="N42" s="156"/>
      <c r="O42" s="156"/>
      <c r="P42" s="156"/>
      <c r="Q42" s="156"/>
      <c r="R42" s="156"/>
      <c r="S42" s="156">
        <f t="shared" si="19"/>
        <v>3744</v>
      </c>
      <c r="T42" s="156">
        <f t="shared" ref="T42:T90" si="27">H42-L42-N42-P42-R42</f>
        <v>3744</v>
      </c>
    </row>
    <row r="43" spans="1:20" s="145" customFormat="1">
      <c r="A43" s="74" t="s">
        <v>1711</v>
      </c>
      <c r="B43" s="75" t="s">
        <v>1455</v>
      </c>
      <c r="C43" s="456"/>
      <c r="D43" s="456"/>
      <c r="E43" s="522"/>
      <c r="F43" s="522"/>
      <c r="G43" s="156">
        <f>'2C Önk bev kiad fel'!G38</f>
        <v>100000</v>
      </c>
      <c r="H43" s="156">
        <f>'2C Önk bev kiad fel'!H38</f>
        <v>100000</v>
      </c>
      <c r="I43" s="156">
        <f t="shared" si="26"/>
        <v>100000</v>
      </c>
      <c r="J43" s="156">
        <f t="shared" si="21"/>
        <v>100000</v>
      </c>
      <c r="K43" s="156"/>
      <c r="L43" s="156"/>
      <c r="M43" s="156">
        <f>'2C Önk bev kiad fel'!M38</f>
        <v>100000</v>
      </c>
      <c r="N43" s="156">
        <f>'2C Önk bev kiad fel'!N38</f>
        <v>100000</v>
      </c>
      <c r="O43" s="156"/>
      <c r="P43" s="156"/>
      <c r="Q43" s="156"/>
      <c r="R43" s="156"/>
      <c r="S43" s="156">
        <f t="shared" si="19"/>
        <v>0</v>
      </c>
      <c r="T43" s="156">
        <f t="shared" si="27"/>
        <v>0</v>
      </c>
    </row>
    <row r="44" spans="1:20" s="145" customFormat="1">
      <c r="A44" s="74" t="s">
        <v>1712</v>
      </c>
      <c r="B44" s="75" t="s">
        <v>1821</v>
      </c>
      <c r="C44" s="456"/>
      <c r="D44" s="456"/>
      <c r="E44" s="522"/>
      <c r="F44" s="522"/>
      <c r="G44" s="156">
        <f>'2C Önk bev kiad fel'!G40</f>
        <v>6500</v>
      </c>
      <c r="H44" s="156">
        <f>'2C Önk bev kiad fel'!H40</f>
        <v>6500</v>
      </c>
      <c r="I44" s="156">
        <f t="shared" si="26"/>
        <v>6500</v>
      </c>
      <c r="J44" s="156">
        <f t="shared" si="21"/>
        <v>6500</v>
      </c>
      <c r="K44" s="156"/>
      <c r="L44" s="156"/>
      <c r="M44" s="156"/>
      <c r="N44" s="156"/>
      <c r="O44" s="156"/>
      <c r="P44" s="156"/>
      <c r="Q44" s="156"/>
      <c r="R44" s="156"/>
      <c r="S44" s="156">
        <f t="shared" si="19"/>
        <v>6500</v>
      </c>
      <c r="T44" s="156">
        <f t="shared" si="27"/>
        <v>6500</v>
      </c>
    </row>
    <row r="45" spans="1:20" s="145" customFormat="1" hidden="1">
      <c r="A45" s="74" t="s">
        <v>1713</v>
      </c>
      <c r="B45" s="157" t="s">
        <v>211</v>
      </c>
      <c r="C45" s="460"/>
      <c r="D45" s="460"/>
      <c r="E45" s="524"/>
      <c r="F45" s="524"/>
      <c r="G45" s="56"/>
      <c r="H45" s="56"/>
      <c r="I45" s="156">
        <f t="shared" si="26"/>
        <v>0</v>
      </c>
      <c r="J45" s="156">
        <f t="shared" si="21"/>
        <v>0</v>
      </c>
      <c r="K45" s="56"/>
      <c r="L45" s="56"/>
      <c r="M45" s="56"/>
      <c r="N45" s="56"/>
      <c r="O45" s="56"/>
      <c r="P45" s="56"/>
      <c r="Q45" s="56"/>
      <c r="R45" s="56"/>
      <c r="S45" s="156">
        <f t="shared" si="19"/>
        <v>0</v>
      </c>
      <c r="T45" s="156">
        <f t="shared" si="27"/>
        <v>0</v>
      </c>
    </row>
    <row r="46" spans="1:20" hidden="1">
      <c r="A46" s="74" t="s">
        <v>1714</v>
      </c>
      <c r="B46" s="157" t="s">
        <v>214</v>
      </c>
      <c r="C46" s="460"/>
      <c r="D46" s="460"/>
      <c r="E46" s="524"/>
      <c r="F46" s="524"/>
      <c r="G46" s="56"/>
      <c r="H46" s="56"/>
      <c r="I46" s="156">
        <f t="shared" si="26"/>
        <v>0</v>
      </c>
      <c r="J46" s="156">
        <f t="shared" si="21"/>
        <v>0</v>
      </c>
      <c r="K46" s="56"/>
      <c r="L46" s="56"/>
      <c r="M46" s="56"/>
      <c r="N46" s="56"/>
      <c r="O46" s="56"/>
      <c r="P46" s="56"/>
      <c r="Q46" s="56"/>
      <c r="R46" s="56"/>
      <c r="S46" s="156">
        <f t="shared" si="19"/>
        <v>0</v>
      </c>
      <c r="T46" s="156">
        <f t="shared" si="27"/>
        <v>0</v>
      </c>
    </row>
    <row r="47" spans="1:20" s="145" customFormat="1">
      <c r="A47" s="74" t="s">
        <v>1713</v>
      </c>
      <c r="B47" s="111" t="s">
        <v>1664</v>
      </c>
      <c r="C47" s="460"/>
      <c r="D47" s="460"/>
      <c r="E47" s="524"/>
      <c r="F47" s="524"/>
      <c r="G47" s="56">
        <f>'2C Önk bev kiad fel'!G45</f>
        <v>1802</v>
      </c>
      <c r="H47" s="56">
        <f>'2C Önk bev kiad fel'!H45</f>
        <v>1802</v>
      </c>
      <c r="I47" s="156">
        <f t="shared" si="26"/>
        <v>1802</v>
      </c>
      <c r="J47" s="156">
        <f t="shared" si="21"/>
        <v>1802</v>
      </c>
      <c r="K47" s="56"/>
      <c r="L47" s="56"/>
      <c r="M47" s="56"/>
      <c r="N47" s="56"/>
      <c r="O47" s="56"/>
      <c r="P47" s="56"/>
      <c r="Q47" s="56"/>
      <c r="R47" s="56"/>
      <c r="S47" s="156">
        <f t="shared" si="19"/>
        <v>1802</v>
      </c>
      <c r="T47" s="156">
        <f t="shared" si="27"/>
        <v>1802</v>
      </c>
    </row>
    <row r="48" spans="1:20" s="145" customFormat="1">
      <c r="A48" s="74" t="s">
        <v>1714</v>
      </c>
      <c r="B48" s="75" t="s">
        <v>1665</v>
      </c>
      <c r="C48" s="456"/>
      <c r="D48" s="456"/>
      <c r="E48" s="522"/>
      <c r="F48" s="522"/>
      <c r="G48" s="156">
        <f>'2C Önk bev kiad fel'!G47</f>
        <v>1000</v>
      </c>
      <c r="H48" s="156">
        <f>'2C Önk bev kiad fel'!H47</f>
        <v>1000</v>
      </c>
      <c r="I48" s="156">
        <f t="shared" si="26"/>
        <v>1000</v>
      </c>
      <c r="J48" s="156">
        <f t="shared" si="21"/>
        <v>1000</v>
      </c>
      <c r="K48" s="156"/>
      <c r="L48" s="156"/>
      <c r="M48" s="156"/>
      <c r="N48" s="156"/>
      <c r="O48" s="156"/>
      <c r="P48" s="156"/>
      <c r="Q48" s="156"/>
      <c r="R48" s="156"/>
      <c r="S48" s="156">
        <f t="shared" si="19"/>
        <v>1000</v>
      </c>
      <c r="T48" s="156">
        <f t="shared" si="27"/>
        <v>1000</v>
      </c>
    </row>
    <row r="49" spans="1:20" s="145" customFormat="1">
      <c r="A49" s="74" t="s">
        <v>1715</v>
      </c>
      <c r="B49" s="75" t="s">
        <v>1458</v>
      </c>
      <c r="C49" s="456"/>
      <c r="D49" s="456"/>
      <c r="E49" s="522"/>
      <c r="F49" s="522"/>
      <c r="G49" s="156">
        <f>'2C Önk bev kiad fel'!G49</f>
        <v>1334</v>
      </c>
      <c r="H49" s="156">
        <f>'2C Önk bev kiad fel'!H49</f>
        <v>1334</v>
      </c>
      <c r="I49" s="156">
        <f t="shared" si="26"/>
        <v>1334</v>
      </c>
      <c r="J49" s="156">
        <f t="shared" si="21"/>
        <v>1334</v>
      </c>
      <c r="K49" s="156"/>
      <c r="L49" s="156"/>
      <c r="M49" s="156"/>
      <c r="N49" s="156"/>
      <c r="O49" s="156"/>
      <c r="P49" s="156"/>
      <c r="Q49" s="156"/>
      <c r="R49" s="156"/>
      <c r="S49" s="156">
        <f t="shared" si="19"/>
        <v>1334</v>
      </c>
      <c r="T49" s="156">
        <f t="shared" si="27"/>
        <v>1334</v>
      </c>
    </row>
    <row r="50" spans="1:20" s="145" customFormat="1">
      <c r="A50" s="74" t="s">
        <v>1716</v>
      </c>
      <c r="B50" s="75" t="s">
        <v>174</v>
      </c>
      <c r="C50" s="456"/>
      <c r="D50" s="456"/>
      <c r="E50" s="522"/>
      <c r="F50" s="522"/>
      <c r="G50" s="156">
        <f>'2C Önk bev kiad fel'!G51</f>
        <v>3811</v>
      </c>
      <c r="H50" s="156">
        <f>'2C Önk bev kiad fel'!H51</f>
        <v>3811</v>
      </c>
      <c r="I50" s="156">
        <f t="shared" si="26"/>
        <v>3811</v>
      </c>
      <c r="J50" s="156">
        <f t="shared" si="21"/>
        <v>3811</v>
      </c>
      <c r="K50" s="156"/>
      <c r="L50" s="156"/>
      <c r="M50" s="156"/>
      <c r="N50" s="156"/>
      <c r="O50" s="156"/>
      <c r="P50" s="156"/>
      <c r="Q50" s="156"/>
      <c r="R50" s="156"/>
      <c r="S50" s="156">
        <f t="shared" si="19"/>
        <v>3811</v>
      </c>
      <c r="T50" s="156">
        <f t="shared" si="27"/>
        <v>3811</v>
      </c>
    </row>
    <row r="51" spans="1:20" s="145" customFormat="1">
      <c r="A51" s="74" t="s">
        <v>1717</v>
      </c>
      <c r="B51" s="75" t="s">
        <v>176</v>
      </c>
      <c r="C51" s="456"/>
      <c r="D51" s="456"/>
      <c r="E51" s="522"/>
      <c r="F51" s="522"/>
      <c r="G51" s="156">
        <f>'2C Önk bev kiad fel'!G53</f>
        <v>2500</v>
      </c>
      <c r="H51" s="156">
        <f>'2C Önk bev kiad fel'!H53</f>
        <v>2500</v>
      </c>
      <c r="I51" s="156">
        <f t="shared" si="26"/>
        <v>2500</v>
      </c>
      <c r="J51" s="156">
        <f t="shared" si="21"/>
        <v>2500</v>
      </c>
      <c r="K51" s="156"/>
      <c r="L51" s="156"/>
      <c r="M51" s="156"/>
      <c r="N51" s="156"/>
      <c r="O51" s="156"/>
      <c r="P51" s="156"/>
      <c r="Q51" s="156"/>
      <c r="R51" s="156"/>
      <c r="S51" s="156">
        <f t="shared" si="19"/>
        <v>2500</v>
      </c>
      <c r="T51" s="156">
        <f t="shared" si="27"/>
        <v>2500</v>
      </c>
    </row>
    <row r="52" spans="1:20" s="145" customFormat="1">
      <c r="A52" s="74" t="s">
        <v>1718</v>
      </c>
      <c r="B52" s="75" t="s">
        <v>1666</v>
      </c>
      <c r="C52" s="456"/>
      <c r="D52" s="456"/>
      <c r="E52" s="522"/>
      <c r="F52" s="522"/>
      <c r="G52" s="156">
        <f>'2C Önk bev kiad fel'!G55</f>
        <v>11430</v>
      </c>
      <c r="H52" s="156">
        <f>'2C Önk bev kiad fel'!H55</f>
        <v>11430</v>
      </c>
      <c r="I52" s="156">
        <f t="shared" si="26"/>
        <v>11430</v>
      </c>
      <c r="J52" s="156">
        <f t="shared" si="21"/>
        <v>11430</v>
      </c>
      <c r="K52" s="156"/>
      <c r="L52" s="156"/>
      <c r="M52" s="156"/>
      <c r="N52" s="156"/>
      <c r="O52" s="156"/>
      <c r="P52" s="156"/>
      <c r="Q52" s="156"/>
      <c r="R52" s="156"/>
      <c r="S52" s="156">
        <f t="shared" si="19"/>
        <v>11430</v>
      </c>
      <c r="T52" s="156">
        <f t="shared" si="27"/>
        <v>11430</v>
      </c>
    </row>
    <row r="53" spans="1:20" s="147" customFormat="1">
      <c r="A53" s="74" t="s">
        <v>1719</v>
      </c>
      <c r="B53" s="111" t="s">
        <v>180</v>
      </c>
      <c r="C53" s="460"/>
      <c r="D53" s="460"/>
      <c r="E53" s="524"/>
      <c r="F53" s="524"/>
      <c r="G53" s="56">
        <f>'2C Önk bev kiad fel'!G57</f>
        <v>999</v>
      </c>
      <c r="H53" s="56">
        <f>'2C Önk bev kiad fel'!H57</f>
        <v>999</v>
      </c>
      <c r="I53" s="156">
        <f t="shared" si="26"/>
        <v>999</v>
      </c>
      <c r="J53" s="156">
        <f t="shared" si="21"/>
        <v>999</v>
      </c>
      <c r="K53" s="56"/>
      <c r="L53" s="56"/>
      <c r="M53" s="56"/>
      <c r="N53" s="56"/>
      <c r="O53" s="56"/>
      <c r="P53" s="56"/>
      <c r="Q53" s="56"/>
      <c r="R53" s="56"/>
      <c r="S53" s="156">
        <f t="shared" si="19"/>
        <v>999</v>
      </c>
      <c r="T53" s="156">
        <f t="shared" si="27"/>
        <v>999</v>
      </c>
    </row>
    <row r="54" spans="1:20" s="145" customFormat="1">
      <c r="A54" s="74" t="s">
        <v>1720</v>
      </c>
      <c r="B54" s="75" t="s">
        <v>1462</v>
      </c>
      <c r="C54" s="456"/>
      <c r="D54" s="456"/>
      <c r="E54" s="522"/>
      <c r="F54" s="522"/>
      <c r="G54" s="156">
        <f>'2C Önk bev kiad fel'!G59</f>
        <v>1750</v>
      </c>
      <c r="H54" s="156">
        <f>'2C Önk bev kiad fel'!H59</f>
        <v>1750</v>
      </c>
      <c r="I54" s="156">
        <f t="shared" si="26"/>
        <v>1750</v>
      </c>
      <c r="J54" s="156">
        <f t="shared" si="21"/>
        <v>1750</v>
      </c>
      <c r="K54" s="156"/>
      <c r="L54" s="156"/>
      <c r="M54" s="156"/>
      <c r="N54" s="156"/>
      <c r="O54" s="156"/>
      <c r="P54" s="156"/>
      <c r="Q54" s="156"/>
      <c r="R54" s="156"/>
      <c r="S54" s="156">
        <f t="shared" si="19"/>
        <v>1750</v>
      </c>
      <c r="T54" s="156">
        <f t="shared" si="27"/>
        <v>1750</v>
      </c>
    </row>
    <row r="55" spans="1:20" s="145" customFormat="1">
      <c r="A55" s="74" t="s">
        <v>1721</v>
      </c>
      <c r="B55" s="75" t="s">
        <v>182</v>
      </c>
      <c r="C55" s="456"/>
      <c r="D55" s="456"/>
      <c r="E55" s="522"/>
      <c r="F55" s="522"/>
      <c r="G55" s="156">
        <f>'2C Önk bev kiad fel'!G61</f>
        <v>914</v>
      </c>
      <c r="H55" s="156">
        <f>'2C Önk bev kiad fel'!H61</f>
        <v>914</v>
      </c>
      <c r="I55" s="156">
        <f t="shared" si="26"/>
        <v>914</v>
      </c>
      <c r="J55" s="156">
        <f t="shared" si="21"/>
        <v>914</v>
      </c>
      <c r="K55" s="156"/>
      <c r="L55" s="156"/>
      <c r="M55" s="156"/>
      <c r="N55" s="156"/>
      <c r="O55" s="156"/>
      <c r="P55" s="156"/>
      <c r="Q55" s="156"/>
      <c r="R55" s="156"/>
      <c r="S55" s="156">
        <f t="shared" si="19"/>
        <v>914</v>
      </c>
      <c r="T55" s="156">
        <f t="shared" si="27"/>
        <v>914</v>
      </c>
    </row>
    <row r="56" spans="1:20" s="145" customFormat="1">
      <c r="A56" s="74" t="s">
        <v>1722</v>
      </c>
      <c r="B56" s="75" t="s">
        <v>184</v>
      </c>
      <c r="C56" s="456"/>
      <c r="D56" s="456"/>
      <c r="E56" s="522"/>
      <c r="F56" s="522"/>
      <c r="G56" s="156">
        <f>'2C Önk bev kiad fel'!G63</f>
        <v>2093</v>
      </c>
      <c r="H56" s="156">
        <f>'2C Önk bev kiad fel'!H63</f>
        <v>2093</v>
      </c>
      <c r="I56" s="156">
        <f t="shared" si="26"/>
        <v>2093</v>
      </c>
      <c r="J56" s="156">
        <f t="shared" si="21"/>
        <v>2093</v>
      </c>
      <c r="K56" s="156"/>
      <c r="L56" s="156"/>
      <c r="M56" s="156"/>
      <c r="N56" s="156"/>
      <c r="O56" s="156"/>
      <c r="P56" s="156"/>
      <c r="Q56" s="156"/>
      <c r="R56" s="156"/>
      <c r="S56" s="156">
        <f t="shared" si="19"/>
        <v>2093</v>
      </c>
      <c r="T56" s="156">
        <f t="shared" si="27"/>
        <v>2093</v>
      </c>
    </row>
    <row r="57" spans="1:20" s="145" customFormat="1">
      <c r="A57" s="74" t="s">
        <v>1723</v>
      </c>
      <c r="B57" s="75" t="s">
        <v>1463</v>
      </c>
      <c r="C57" s="456"/>
      <c r="D57" s="456"/>
      <c r="E57" s="522"/>
      <c r="F57" s="522"/>
      <c r="G57" s="156">
        <f>'2C Önk bev kiad fel'!G65</f>
        <v>2400</v>
      </c>
      <c r="H57" s="156">
        <f>'2C Önk bev kiad fel'!H65</f>
        <v>2400</v>
      </c>
      <c r="I57" s="156">
        <f t="shared" si="26"/>
        <v>2400</v>
      </c>
      <c r="J57" s="156">
        <f t="shared" si="21"/>
        <v>2400</v>
      </c>
      <c r="K57" s="156"/>
      <c r="L57" s="156"/>
      <c r="M57" s="156"/>
      <c r="N57" s="156"/>
      <c r="O57" s="156"/>
      <c r="P57" s="156"/>
      <c r="Q57" s="156"/>
      <c r="R57" s="156"/>
      <c r="S57" s="156">
        <f t="shared" si="19"/>
        <v>2400</v>
      </c>
      <c r="T57" s="156">
        <f t="shared" si="27"/>
        <v>2400</v>
      </c>
    </row>
    <row r="58" spans="1:20" s="145" customFormat="1">
      <c r="A58" s="74" t="s">
        <v>1724</v>
      </c>
      <c r="B58" s="75" t="s">
        <v>1667</v>
      </c>
      <c r="C58" s="456"/>
      <c r="D58" s="456"/>
      <c r="E58" s="522"/>
      <c r="F58" s="522"/>
      <c r="G58" s="156">
        <f>'2C Önk bev kiad fel'!G67</f>
        <v>1500</v>
      </c>
      <c r="H58" s="156">
        <f>'2C Önk bev kiad fel'!H67</f>
        <v>1500</v>
      </c>
      <c r="I58" s="156">
        <f t="shared" si="26"/>
        <v>1500</v>
      </c>
      <c r="J58" s="156">
        <f t="shared" si="21"/>
        <v>1500</v>
      </c>
      <c r="K58" s="156"/>
      <c r="L58" s="156"/>
      <c r="M58" s="156"/>
      <c r="N58" s="156"/>
      <c r="O58" s="156"/>
      <c r="P58" s="156"/>
      <c r="Q58" s="156"/>
      <c r="R58" s="156"/>
      <c r="S58" s="156">
        <f t="shared" si="19"/>
        <v>1500</v>
      </c>
      <c r="T58" s="156">
        <f t="shared" si="27"/>
        <v>1500</v>
      </c>
    </row>
    <row r="59" spans="1:20" s="145" customFormat="1">
      <c r="A59" s="74" t="s">
        <v>1725</v>
      </c>
      <c r="B59" s="75" t="s">
        <v>1465</v>
      </c>
      <c r="C59" s="456"/>
      <c r="D59" s="456"/>
      <c r="E59" s="522"/>
      <c r="F59" s="522"/>
      <c r="G59" s="156">
        <f>'2C Önk bev kiad fel'!G69</f>
        <v>25210</v>
      </c>
      <c r="H59" s="156">
        <f>'2C Önk bev kiad fel'!H69</f>
        <v>25210</v>
      </c>
      <c r="I59" s="156">
        <f t="shared" si="26"/>
        <v>25210</v>
      </c>
      <c r="J59" s="156">
        <f t="shared" si="21"/>
        <v>25210</v>
      </c>
      <c r="K59" s="156"/>
      <c r="L59" s="156"/>
      <c r="M59" s="156"/>
      <c r="N59" s="156"/>
      <c r="O59" s="156"/>
      <c r="P59" s="156"/>
      <c r="Q59" s="156"/>
      <c r="R59" s="156"/>
      <c r="S59" s="156">
        <f t="shared" si="19"/>
        <v>25210</v>
      </c>
      <c r="T59" s="156">
        <f t="shared" si="27"/>
        <v>25210</v>
      </c>
    </row>
    <row r="60" spans="1:20" s="147" customFormat="1" ht="18" customHeight="1">
      <c r="A60" s="74" t="s">
        <v>1726</v>
      </c>
      <c r="B60" s="111" t="s">
        <v>1668</v>
      </c>
      <c r="C60" s="460"/>
      <c r="D60" s="460"/>
      <c r="E60" s="524"/>
      <c r="F60" s="524"/>
      <c r="G60" s="56">
        <f>'2C Önk bev kiad fel'!G71</f>
        <v>10153</v>
      </c>
      <c r="H60" s="56">
        <f>'2C Önk bev kiad fel'!H71</f>
        <v>10153</v>
      </c>
      <c r="I60" s="56">
        <f t="shared" si="26"/>
        <v>10153</v>
      </c>
      <c r="J60" s="156">
        <f t="shared" si="21"/>
        <v>10153</v>
      </c>
      <c r="K60" s="56"/>
      <c r="L60" s="56"/>
      <c r="M60" s="56"/>
      <c r="N60" s="56"/>
      <c r="O60" s="56"/>
      <c r="P60" s="56"/>
      <c r="Q60" s="56"/>
      <c r="R60" s="56"/>
      <c r="S60" s="56">
        <f t="shared" si="19"/>
        <v>10153</v>
      </c>
      <c r="T60" s="156">
        <f t="shared" si="27"/>
        <v>10153</v>
      </c>
    </row>
    <row r="61" spans="1:20" s="145" customFormat="1">
      <c r="A61" s="74" t="s">
        <v>1727</v>
      </c>
      <c r="B61" s="75" t="s">
        <v>1669</v>
      </c>
      <c r="C61" s="456"/>
      <c r="D61" s="456"/>
      <c r="E61" s="522"/>
      <c r="F61" s="522"/>
      <c r="G61" s="156">
        <f>'2C Önk bev kiad fel'!G73</f>
        <v>2000</v>
      </c>
      <c r="H61" s="156">
        <f>'2C Önk bev kiad fel'!H73</f>
        <v>2000</v>
      </c>
      <c r="I61" s="156">
        <f t="shared" si="26"/>
        <v>2000</v>
      </c>
      <c r="J61" s="156">
        <f t="shared" si="21"/>
        <v>2000</v>
      </c>
      <c r="K61" s="156"/>
      <c r="L61" s="156"/>
      <c r="M61" s="156"/>
      <c r="N61" s="156"/>
      <c r="O61" s="156"/>
      <c r="P61" s="156"/>
      <c r="Q61" s="156"/>
      <c r="R61" s="156"/>
      <c r="S61" s="156">
        <f t="shared" si="19"/>
        <v>2000</v>
      </c>
      <c r="T61" s="156">
        <f t="shared" si="27"/>
        <v>2000</v>
      </c>
    </row>
    <row r="62" spans="1:20" s="145" customFormat="1">
      <c r="A62" s="74" t="s">
        <v>1728</v>
      </c>
      <c r="B62" s="75" t="s">
        <v>1670</v>
      </c>
      <c r="C62" s="456"/>
      <c r="D62" s="456"/>
      <c r="E62" s="522"/>
      <c r="F62" s="522"/>
      <c r="G62" s="156">
        <f>'2C Önk bev kiad fel'!G75</f>
        <v>0</v>
      </c>
      <c r="H62" s="156">
        <f>'2C Önk bev kiad fel'!H75</f>
        <v>0</v>
      </c>
      <c r="I62" s="156">
        <f t="shared" si="26"/>
        <v>0</v>
      </c>
      <c r="J62" s="156">
        <f t="shared" si="21"/>
        <v>0</v>
      </c>
      <c r="K62" s="156"/>
      <c r="L62" s="156"/>
      <c r="M62" s="156"/>
      <c r="N62" s="156"/>
      <c r="O62" s="156"/>
      <c r="P62" s="156"/>
      <c r="Q62" s="156"/>
      <c r="R62" s="156"/>
      <c r="S62" s="156">
        <f t="shared" si="19"/>
        <v>0</v>
      </c>
      <c r="T62" s="156">
        <f t="shared" si="27"/>
        <v>0</v>
      </c>
    </row>
    <row r="63" spans="1:20" s="145" customFormat="1">
      <c r="A63" s="74" t="s">
        <v>1729</v>
      </c>
      <c r="B63" s="75" t="s">
        <v>1671</v>
      </c>
      <c r="C63" s="456"/>
      <c r="D63" s="456"/>
      <c r="E63" s="522"/>
      <c r="F63" s="522"/>
      <c r="G63" s="156">
        <f>'2C Önk bev kiad fel'!G77</f>
        <v>27535</v>
      </c>
      <c r="H63" s="156">
        <f>'2C Önk bev kiad fel'!H77</f>
        <v>27739</v>
      </c>
      <c r="I63" s="156">
        <f t="shared" si="26"/>
        <v>27535</v>
      </c>
      <c r="J63" s="156">
        <f t="shared" si="21"/>
        <v>27739</v>
      </c>
      <c r="K63" s="156"/>
      <c r="L63" s="156"/>
      <c r="M63" s="156"/>
      <c r="N63" s="156"/>
      <c r="O63" s="156"/>
      <c r="P63" s="156"/>
      <c r="Q63" s="156"/>
      <c r="R63" s="156"/>
      <c r="S63" s="156">
        <f t="shared" si="19"/>
        <v>27535</v>
      </c>
      <c r="T63" s="156">
        <f t="shared" si="27"/>
        <v>27739</v>
      </c>
    </row>
    <row r="64" spans="1:20" s="145" customFormat="1">
      <c r="A64" s="74" t="s">
        <v>1730</v>
      </c>
      <c r="B64" s="75" t="s">
        <v>1672</v>
      </c>
      <c r="C64" s="456"/>
      <c r="D64" s="456"/>
      <c r="E64" s="522"/>
      <c r="F64" s="522"/>
      <c r="G64" s="156">
        <f>'2C Önk bev kiad fel'!G79</f>
        <v>3904</v>
      </c>
      <c r="H64" s="156">
        <f>'2C Önk bev kiad fel'!H79</f>
        <v>3904</v>
      </c>
      <c r="I64" s="156">
        <f t="shared" si="26"/>
        <v>3904</v>
      </c>
      <c r="J64" s="156">
        <f t="shared" si="21"/>
        <v>3904</v>
      </c>
      <c r="K64" s="156"/>
      <c r="L64" s="156"/>
      <c r="M64" s="156"/>
      <c r="N64" s="156"/>
      <c r="O64" s="156"/>
      <c r="P64" s="156"/>
      <c r="Q64" s="156"/>
      <c r="R64" s="156"/>
      <c r="S64" s="156">
        <f t="shared" si="19"/>
        <v>3904</v>
      </c>
      <c r="T64" s="156">
        <f t="shared" si="27"/>
        <v>3904</v>
      </c>
    </row>
    <row r="65" spans="1:20" s="145" customFormat="1">
      <c r="A65" s="74" t="s">
        <v>1731</v>
      </c>
      <c r="B65" s="75" t="s">
        <v>1471</v>
      </c>
      <c r="C65" s="456"/>
      <c r="D65" s="456"/>
      <c r="E65" s="522"/>
      <c r="F65" s="522"/>
      <c r="G65" s="156">
        <f>'2C Önk bev kiad fel'!G81</f>
        <v>5145</v>
      </c>
      <c r="H65" s="156">
        <f>'2C Önk bev kiad fel'!H81</f>
        <v>5145</v>
      </c>
      <c r="I65" s="156">
        <f t="shared" si="26"/>
        <v>5145</v>
      </c>
      <c r="J65" s="156">
        <f t="shared" si="21"/>
        <v>5145</v>
      </c>
      <c r="K65" s="156"/>
      <c r="L65" s="156"/>
      <c r="M65" s="156"/>
      <c r="N65" s="156"/>
      <c r="O65" s="156"/>
      <c r="P65" s="156"/>
      <c r="Q65" s="156"/>
      <c r="R65" s="156"/>
      <c r="S65" s="156">
        <f t="shared" si="19"/>
        <v>5145</v>
      </c>
      <c r="T65" s="156">
        <f t="shared" si="27"/>
        <v>5145</v>
      </c>
    </row>
    <row r="66" spans="1:20" s="145" customFormat="1">
      <c r="A66" s="74" t="s">
        <v>1732</v>
      </c>
      <c r="B66" s="75" t="s">
        <v>1472</v>
      </c>
      <c r="C66" s="456"/>
      <c r="D66" s="456"/>
      <c r="E66" s="522"/>
      <c r="F66" s="522"/>
      <c r="G66" s="156">
        <f>'2C Önk bev kiad fel'!G83</f>
        <v>7560</v>
      </c>
      <c r="H66" s="156">
        <f>'2C Önk bev kiad fel'!H83</f>
        <v>7560</v>
      </c>
      <c r="I66" s="156">
        <f t="shared" si="26"/>
        <v>7560</v>
      </c>
      <c r="J66" s="156">
        <f t="shared" si="21"/>
        <v>7560</v>
      </c>
      <c r="K66" s="156"/>
      <c r="L66" s="156"/>
      <c r="M66" s="156"/>
      <c r="N66" s="156"/>
      <c r="O66" s="156"/>
      <c r="P66" s="156"/>
      <c r="Q66" s="156"/>
      <c r="R66" s="156"/>
      <c r="S66" s="156">
        <f t="shared" si="19"/>
        <v>7560</v>
      </c>
      <c r="T66" s="156">
        <f t="shared" si="27"/>
        <v>7560</v>
      </c>
    </row>
    <row r="67" spans="1:20" s="145" customFormat="1">
      <c r="A67" s="74" t="s">
        <v>1733</v>
      </c>
      <c r="B67" s="75" t="s">
        <v>1772</v>
      </c>
      <c r="C67" s="456"/>
      <c r="D67" s="456"/>
      <c r="E67" s="522"/>
      <c r="F67" s="522"/>
      <c r="G67" s="156">
        <f>'2C Önk bev kiad fel'!G85</f>
        <v>6175</v>
      </c>
      <c r="H67" s="156">
        <f>'2C Önk bev kiad fel'!H85</f>
        <v>6675</v>
      </c>
      <c r="I67" s="156">
        <f t="shared" si="26"/>
        <v>6175</v>
      </c>
      <c r="J67" s="156">
        <f t="shared" si="21"/>
        <v>6675</v>
      </c>
      <c r="K67" s="156"/>
      <c r="L67" s="156"/>
      <c r="M67" s="156"/>
      <c r="N67" s="156"/>
      <c r="O67" s="156"/>
      <c r="P67" s="156"/>
      <c r="Q67" s="156"/>
      <c r="R67" s="156"/>
      <c r="S67" s="156">
        <f t="shared" si="19"/>
        <v>6175</v>
      </c>
      <c r="T67" s="156">
        <f t="shared" si="27"/>
        <v>6675</v>
      </c>
    </row>
    <row r="68" spans="1:20" s="145" customFormat="1">
      <c r="A68" s="74" t="s">
        <v>1734</v>
      </c>
      <c r="B68" s="75" t="s">
        <v>1473</v>
      </c>
      <c r="C68" s="456"/>
      <c r="D68" s="456"/>
      <c r="E68" s="522"/>
      <c r="F68" s="522"/>
      <c r="G68" s="156">
        <f>'2C Önk bev kiad fel'!G87</f>
        <v>1631</v>
      </c>
      <c r="H68" s="156">
        <f>'2C Önk bev kiad fel'!H87</f>
        <v>1631</v>
      </c>
      <c r="I68" s="156">
        <f t="shared" si="26"/>
        <v>1631</v>
      </c>
      <c r="J68" s="156">
        <f t="shared" si="21"/>
        <v>1631</v>
      </c>
      <c r="K68" s="156"/>
      <c r="L68" s="156"/>
      <c r="M68" s="156"/>
      <c r="N68" s="156"/>
      <c r="O68" s="156"/>
      <c r="P68" s="156"/>
      <c r="Q68" s="156"/>
      <c r="R68" s="156"/>
      <c r="S68" s="156">
        <f t="shared" si="19"/>
        <v>1631</v>
      </c>
      <c r="T68" s="156">
        <f t="shared" si="27"/>
        <v>1631</v>
      </c>
    </row>
    <row r="69" spans="1:20" s="145" customFormat="1">
      <c r="A69" s="74" t="s">
        <v>1735</v>
      </c>
      <c r="B69" s="75" t="s">
        <v>1673</v>
      </c>
      <c r="C69" s="456"/>
      <c r="D69" s="456"/>
      <c r="E69" s="522"/>
      <c r="F69" s="522"/>
      <c r="G69" s="156">
        <f>'2C Önk bev kiad fel'!G89</f>
        <v>319306</v>
      </c>
      <c r="H69" s="156">
        <f>'2C Önk bev kiad fel'!H89</f>
        <v>319306</v>
      </c>
      <c r="I69" s="156">
        <f t="shared" si="26"/>
        <v>319306</v>
      </c>
      <c r="J69" s="156">
        <f t="shared" si="21"/>
        <v>319306</v>
      </c>
      <c r="K69" s="156"/>
      <c r="L69" s="156"/>
      <c r="M69" s="156"/>
      <c r="N69" s="156"/>
      <c r="O69" s="156"/>
      <c r="P69" s="156"/>
      <c r="Q69" s="156"/>
      <c r="R69" s="156"/>
      <c r="S69" s="156">
        <f t="shared" si="19"/>
        <v>319306</v>
      </c>
      <c r="T69" s="156">
        <f t="shared" si="27"/>
        <v>319306</v>
      </c>
    </row>
    <row r="70" spans="1:20" s="145" customFormat="1">
      <c r="A70" s="74" t="s">
        <v>1736</v>
      </c>
      <c r="B70" s="75" t="s">
        <v>1475</v>
      </c>
      <c r="C70" s="456"/>
      <c r="D70" s="456"/>
      <c r="E70" s="522"/>
      <c r="F70" s="522"/>
      <c r="G70" s="156">
        <f>'2C Önk bev kiad fel'!G92</f>
        <v>27150</v>
      </c>
      <c r="H70" s="156">
        <f>'2C Önk bev kiad fel'!H92</f>
        <v>27150</v>
      </c>
      <c r="I70" s="156">
        <f t="shared" si="26"/>
        <v>27150</v>
      </c>
      <c r="J70" s="156">
        <f t="shared" si="21"/>
        <v>27150</v>
      </c>
      <c r="K70" s="156"/>
      <c r="L70" s="156"/>
      <c r="M70" s="156"/>
      <c r="N70" s="156"/>
      <c r="O70" s="156"/>
      <c r="P70" s="156"/>
      <c r="Q70" s="156"/>
      <c r="R70" s="156"/>
      <c r="S70" s="156">
        <f t="shared" si="19"/>
        <v>27150</v>
      </c>
      <c r="T70" s="156">
        <f t="shared" si="27"/>
        <v>27150</v>
      </c>
    </row>
    <row r="71" spans="1:20" s="145" customFormat="1">
      <c r="A71" s="74" t="s">
        <v>1737</v>
      </c>
      <c r="B71" s="75" t="s">
        <v>1773</v>
      </c>
      <c r="C71" s="456"/>
      <c r="D71" s="456"/>
      <c r="E71" s="522"/>
      <c r="F71" s="522"/>
      <c r="G71" s="156">
        <f>'2C Önk bev kiad fel'!G95</f>
        <v>3000</v>
      </c>
      <c r="H71" s="156">
        <f>'2C Önk bev kiad fel'!H95</f>
        <v>3000</v>
      </c>
      <c r="I71" s="156">
        <f t="shared" si="26"/>
        <v>3000</v>
      </c>
      <c r="J71" s="156">
        <f t="shared" si="21"/>
        <v>3000</v>
      </c>
      <c r="K71" s="156"/>
      <c r="L71" s="156"/>
      <c r="M71" s="156"/>
      <c r="N71" s="156"/>
      <c r="O71" s="156"/>
      <c r="P71" s="156"/>
      <c r="Q71" s="156"/>
      <c r="R71" s="156"/>
      <c r="S71" s="156">
        <f t="shared" si="19"/>
        <v>3000</v>
      </c>
      <c r="T71" s="156">
        <f t="shared" si="27"/>
        <v>3000</v>
      </c>
    </row>
    <row r="72" spans="1:20" s="145" customFormat="1">
      <c r="A72" s="74" t="s">
        <v>1738</v>
      </c>
      <c r="B72" s="75" t="s">
        <v>1476</v>
      </c>
      <c r="C72" s="456"/>
      <c r="D72" s="456"/>
      <c r="E72" s="522"/>
      <c r="F72" s="522"/>
      <c r="G72" s="156">
        <f>'2C Önk bev kiad fel'!G97</f>
        <v>26975</v>
      </c>
      <c r="H72" s="156">
        <f>'2C Önk bev kiad fel'!H97</f>
        <v>27655</v>
      </c>
      <c r="I72" s="156">
        <f t="shared" si="26"/>
        <v>26975</v>
      </c>
      <c r="J72" s="156">
        <f t="shared" si="21"/>
        <v>27655</v>
      </c>
      <c r="K72" s="156"/>
      <c r="L72" s="156"/>
      <c r="M72" s="156"/>
      <c r="N72" s="156"/>
      <c r="O72" s="156"/>
      <c r="P72" s="156"/>
      <c r="Q72" s="156"/>
      <c r="R72" s="156"/>
      <c r="S72" s="156">
        <f t="shared" si="19"/>
        <v>26975</v>
      </c>
      <c r="T72" s="156">
        <f t="shared" si="27"/>
        <v>27655</v>
      </c>
    </row>
    <row r="73" spans="1:20" s="145" customFormat="1">
      <c r="A73" s="74" t="s">
        <v>1739</v>
      </c>
      <c r="B73" s="75" t="s">
        <v>1674</v>
      </c>
      <c r="C73" s="456"/>
      <c r="D73" s="456"/>
      <c r="E73" s="522"/>
      <c r="F73" s="522"/>
      <c r="G73" s="156">
        <f>'2C Önk bev kiad fel'!G99</f>
        <v>2858</v>
      </c>
      <c r="H73" s="156">
        <f>'2C Önk bev kiad fel'!H99</f>
        <v>2858</v>
      </c>
      <c r="I73" s="156">
        <f t="shared" si="26"/>
        <v>2858</v>
      </c>
      <c r="J73" s="156">
        <f t="shared" si="21"/>
        <v>2858</v>
      </c>
      <c r="K73" s="156"/>
      <c r="L73" s="156"/>
      <c r="M73" s="156"/>
      <c r="N73" s="156"/>
      <c r="O73" s="156"/>
      <c r="P73" s="156"/>
      <c r="Q73" s="156"/>
      <c r="R73" s="156"/>
      <c r="S73" s="156">
        <f t="shared" ref="S73:S95" si="28">G73-K73-M73-O73</f>
        <v>2858</v>
      </c>
      <c r="T73" s="156">
        <f t="shared" si="27"/>
        <v>2858</v>
      </c>
    </row>
    <row r="74" spans="1:20" s="145" customFormat="1" hidden="1">
      <c r="A74" s="74" t="s">
        <v>1740</v>
      </c>
      <c r="B74" s="75" t="s">
        <v>1478</v>
      </c>
      <c r="C74" s="456"/>
      <c r="D74" s="456"/>
      <c r="E74" s="522"/>
      <c r="F74" s="522"/>
      <c r="G74" s="156">
        <f>'2C Önk bev kiad fel'!G101</f>
        <v>0</v>
      </c>
      <c r="H74" s="156">
        <f>'2C Önk bev kiad fel'!H101</f>
        <v>0</v>
      </c>
      <c r="I74" s="156">
        <f t="shared" si="26"/>
        <v>0</v>
      </c>
      <c r="J74" s="156">
        <f t="shared" si="21"/>
        <v>0</v>
      </c>
      <c r="K74" s="156"/>
      <c r="L74" s="156"/>
      <c r="M74" s="156"/>
      <c r="N74" s="156"/>
      <c r="O74" s="156"/>
      <c r="P74" s="156"/>
      <c r="Q74" s="156"/>
      <c r="R74" s="156"/>
      <c r="S74" s="156">
        <f t="shared" si="28"/>
        <v>0</v>
      </c>
      <c r="T74" s="156">
        <f t="shared" si="27"/>
        <v>0</v>
      </c>
    </row>
    <row r="75" spans="1:20" s="145" customFormat="1">
      <c r="A75" s="74" t="s">
        <v>1740</v>
      </c>
      <c r="B75" s="75" t="s">
        <v>1479</v>
      </c>
      <c r="C75" s="456"/>
      <c r="D75" s="456"/>
      <c r="E75" s="522"/>
      <c r="F75" s="522"/>
      <c r="G75" s="156">
        <f>'2C Önk bev kiad fel'!G103</f>
        <v>6000</v>
      </c>
      <c r="H75" s="156">
        <f>'2C Önk bev kiad fel'!H103</f>
        <v>6000</v>
      </c>
      <c r="I75" s="156">
        <f t="shared" si="26"/>
        <v>6000</v>
      </c>
      <c r="J75" s="156">
        <f t="shared" si="21"/>
        <v>6000</v>
      </c>
      <c r="K75" s="156"/>
      <c r="L75" s="156"/>
      <c r="M75" s="156"/>
      <c r="N75" s="156"/>
      <c r="O75" s="156"/>
      <c r="P75" s="156"/>
      <c r="Q75" s="156"/>
      <c r="R75" s="156"/>
      <c r="S75" s="156">
        <f t="shared" si="28"/>
        <v>6000</v>
      </c>
      <c r="T75" s="156">
        <f t="shared" si="27"/>
        <v>6000</v>
      </c>
    </row>
    <row r="76" spans="1:20" s="145" customFormat="1">
      <c r="A76" s="74" t="s">
        <v>1741</v>
      </c>
      <c r="B76" s="75" t="s">
        <v>1675</v>
      </c>
      <c r="C76" s="456"/>
      <c r="D76" s="456"/>
      <c r="E76" s="522"/>
      <c r="F76" s="522"/>
      <c r="G76" s="156">
        <f>'2C Önk bev kiad fel'!G105</f>
        <v>8500</v>
      </c>
      <c r="H76" s="156">
        <f>'2C Önk bev kiad fel'!H105</f>
        <v>8500</v>
      </c>
      <c r="I76" s="156">
        <f t="shared" si="26"/>
        <v>8500</v>
      </c>
      <c r="J76" s="156">
        <f t="shared" si="21"/>
        <v>8500</v>
      </c>
      <c r="K76" s="156">
        <v>8500</v>
      </c>
      <c r="L76" s="156">
        <v>8500</v>
      </c>
      <c r="M76" s="156"/>
      <c r="N76" s="156"/>
      <c r="O76" s="156"/>
      <c r="P76" s="156"/>
      <c r="Q76" s="156"/>
      <c r="R76" s="156"/>
      <c r="S76" s="156">
        <f t="shared" si="28"/>
        <v>0</v>
      </c>
      <c r="T76" s="156">
        <f t="shared" si="27"/>
        <v>0</v>
      </c>
    </row>
    <row r="77" spans="1:20" s="145" customFormat="1" hidden="1">
      <c r="A77" s="74" t="s">
        <v>1743</v>
      </c>
      <c r="B77" s="75" t="s">
        <v>1481</v>
      </c>
      <c r="C77" s="456"/>
      <c r="D77" s="456"/>
      <c r="E77" s="522"/>
      <c r="F77" s="522"/>
      <c r="G77" s="156">
        <f>'2C Önk bev kiad fel'!G107</f>
        <v>0</v>
      </c>
      <c r="H77" s="156">
        <f>'2C Önk bev kiad fel'!H107</f>
        <v>0</v>
      </c>
      <c r="I77" s="156">
        <f t="shared" si="26"/>
        <v>0</v>
      </c>
      <c r="J77" s="156">
        <f t="shared" ref="J77:J90" si="29">L77+N77+P77+T77+R77</f>
        <v>0</v>
      </c>
      <c r="K77" s="156"/>
      <c r="L77" s="156"/>
      <c r="M77" s="156"/>
      <c r="N77" s="156"/>
      <c r="O77" s="156"/>
      <c r="P77" s="156"/>
      <c r="Q77" s="156"/>
      <c r="R77" s="156"/>
      <c r="S77" s="156">
        <f t="shared" si="28"/>
        <v>0</v>
      </c>
      <c r="T77" s="156">
        <f t="shared" si="27"/>
        <v>0</v>
      </c>
    </row>
    <row r="78" spans="1:20" s="145" customFormat="1">
      <c r="A78" s="74" t="s">
        <v>1742</v>
      </c>
      <c r="B78" s="75" t="s">
        <v>212</v>
      </c>
      <c r="C78" s="456"/>
      <c r="D78" s="456"/>
      <c r="E78" s="522"/>
      <c r="F78" s="522"/>
      <c r="G78" s="156">
        <f>'2C Önk bev kiad fel'!G109</f>
        <v>0</v>
      </c>
      <c r="H78" s="156">
        <f>'2C Önk bev kiad fel'!H109</f>
        <v>360</v>
      </c>
      <c r="I78" s="156">
        <f t="shared" si="26"/>
        <v>0</v>
      </c>
      <c r="J78" s="156">
        <f t="shared" si="29"/>
        <v>360</v>
      </c>
      <c r="K78" s="156"/>
      <c r="L78" s="156"/>
      <c r="M78" s="156"/>
      <c r="N78" s="156"/>
      <c r="O78" s="156"/>
      <c r="P78" s="156"/>
      <c r="Q78" s="156"/>
      <c r="R78" s="156"/>
      <c r="S78" s="156">
        <f t="shared" si="28"/>
        <v>0</v>
      </c>
      <c r="T78" s="156">
        <f t="shared" si="27"/>
        <v>360</v>
      </c>
    </row>
    <row r="79" spans="1:20" s="145" customFormat="1">
      <c r="A79" s="74" t="s">
        <v>1743</v>
      </c>
      <c r="B79" s="75" t="s">
        <v>1483</v>
      </c>
      <c r="C79" s="456"/>
      <c r="D79" s="456"/>
      <c r="E79" s="522"/>
      <c r="F79" s="522"/>
      <c r="G79" s="156">
        <f>'2C Önk bev kiad fel'!G111</f>
        <v>20048</v>
      </c>
      <c r="H79" s="156">
        <f>'2C Önk bev kiad fel'!H111</f>
        <v>20048</v>
      </c>
      <c r="I79" s="156">
        <f t="shared" si="26"/>
        <v>20048</v>
      </c>
      <c r="J79" s="156">
        <f t="shared" si="29"/>
        <v>20048</v>
      </c>
      <c r="K79" s="156"/>
      <c r="L79" s="156"/>
      <c r="M79" s="156"/>
      <c r="N79" s="156"/>
      <c r="O79" s="156"/>
      <c r="P79" s="156"/>
      <c r="Q79" s="156"/>
      <c r="R79" s="156"/>
      <c r="S79" s="156">
        <f t="shared" si="28"/>
        <v>20048</v>
      </c>
      <c r="T79" s="156">
        <f t="shared" si="27"/>
        <v>20048</v>
      </c>
    </row>
    <row r="80" spans="1:20" s="158" customFormat="1">
      <c r="A80" s="74" t="s">
        <v>1744</v>
      </c>
      <c r="B80" s="75" t="s">
        <v>1676</v>
      </c>
      <c r="C80" s="456"/>
      <c r="D80" s="456"/>
      <c r="E80" s="522"/>
      <c r="F80" s="522"/>
      <c r="G80" s="156">
        <f>'2C Önk bev kiad fel'!G113</f>
        <v>0</v>
      </c>
      <c r="H80" s="156">
        <f>'2C Önk bev kiad fel'!H113</f>
        <v>4211</v>
      </c>
      <c r="I80" s="156">
        <f t="shared" si="26"/>
        <v>0</v>
      </c>
      <c r="J80" s="156">
        <f t="shared" si="29"/>
        <v>4211</v>
      </c>
      <c r="K80" s="156"/>
      <c r="L80" s="156"/>
      <c r="M80" s="156"/>
      <c r="N80" s="156"/>
      <c r="O80" s="156"/>
      <c r="P80" s="156"/>
      <c r="Q80" s="156"/>
      <c r="R80" s="156"/>
      <c r="S80" s="156">
        <f t="shared" si="28"/>
        <v>0</v>
      </c>
      <c r="T80" s="156">
        <f t="shared" si="27"/>
        <v>4211</v>
      </c>
    </row>
    <row r="81" spans="1:20" s="158" customFormat="1">
      <c r="A81" s="74" t="s">
        <v>1745</v>
      </c>
      <c r="B81" s="75" t="s">
        <v>1408</v>
      </c>
      <c r="C81" s="456"/>
      <c r="D81" s="456"/>
      <c r="E81" s="522"/>
      <c r="F81" s="522"/>
      <c r="G81" s="156">
        <f>'2C Önk bev kiad fel'!G117</f>
        <v>180605</v>
      </c>
      <c r="H81" s="156">
        <f>'2C Önk bev kiad fel'!H117</f>
        <v>234869</v>
      </c>
      <c r="I81" s="156">
        <f t="shared" si="26"/>
        <v>180605</v>
      </c>
      <c r="J81" s="156">
        <f t="shared" si="29"/>
        <v>234869</v>
      </c>
      <c r="K81" s="156"/>
      <c r="L81" s="156"/>
      <c r="M81" s="156"/>
      <c r="N81" s="156"/>
      <c r="O81" s="156">
        <f>'2C Önk bev kiad fel'!O117</f>
        <v>137249</v>
      </c>
      <c r="P81" s="586">
        <f>'2C Önk bev kiad fel'!P117</f>
        <v>158557</v>
      </c>
      <c r="Q81" s="586"/>
      <c r="R81" s="586"/>
      <c r="S81" s="586">
        <f t="shared" si="28"/>
        <v>43356</v>
      </c>
      <c r="T81" s="156">
        <f t="shared" si="27"/>
        <v>76312</v>
      </c>
    </row>
    <row r="82" spans="1:20" s="158" customFormat="1">
      <c r="A82" s="74" t="s">
        <v>1746</v>
      </c>
      <c r="B82" s="75" t="s">
        <v>1823</v>
      </c>
      <c r="C82" s="456">
        <f>'3B PH fel'!C29</f>
        <v>6</v>
      </c>
      <c r="D82" s="456">
        <f>'3B PH fel'!D29</f>
        <v>6</v>
      </c>
      <c r="E82" s="522"/>
      <c r="F82" s="522"/>
      <c r="G82" s="156">
        <f>'3B PH fel'!I29</f>
        <v>30085</v>
      </c>
      <c r="H82" s="156">
        <f>'3B PH fel'!J29</f>
        <v>30112</v>
      </c>
      <c r="I82" s="156">
        <f t="shared" si="26"/>
        <v>30085</v>
      </c>
      <c r="J82" s="156">
        <f t="shared" si="29"/>
        <v>30112</v>
      </c>
      <c r="K82" s="156">
        <f>'2A Önk bev'!C19</f>
        <v>600</v>
      </c>
      <c r="L82" s="156">
        <f>'2A Önk bev'!D19</f>
        <v>600</v>
      </c>
      <c r="M82" s="156"/>
      <c r="N82" s="156"/>
      <c r="O82" s="156"/>
      <c r="P82" s="586"/>
      <c r="Q82" s="586"/>
      <c r="R82" s="586"/>
      <c r="S82" s="586">
        <f t="shared" si="28"/>
        <v>29485</v>
      </c>
      <c r="T82" s="156">
        <f t="shared" si="27"/>
        <v>29512</v>
      </c>
    </row>
    <row r="83" spans="1:20" s="158" customFormat="1" hidden="1">
      <c r="A83" s="74" t="s">
        <v>1747</v>
      </c>
      <c r="B83" s="75" t="s">
        <v>1487</v>
      </c>
      <c r="C83" s="456">
        <f>'3B PH fel'!C33</f>
        <v>0</v>
      </c>
      <c r="D83" s="456">
        <f>'3B PH fel'!D33</f>
        <v>0</v>
      </c>
      <c r="E83" s="522"/>
      <c r="F83" s="522"/>
      <c r="G83" s="156">
        <f>'3B PH fel'!I33</f>
        <v>0</v>
      </c>
      <c r="H83" s="156">
        <f>'3B PH fel'!J33</f>
        <v>0</v>
      </c>
      <c r="I83" s="156">
        <f t="shared" si="26"/>
        <v>0</v>
      </c>
      <c r="J83" s="156">
        <f t="shared" si="29"/>
        <v>0</v>
      </c>
      <c r="K83" s="156"/>
      <c r="L83" s="156"/>
      <c r="M83" s="156"/>
      <c r="N83" s="156"/>
      <c r="O83" s="156"/>
      <c r="P83" s="586"/>
      <c r="Q83" s="586"/>
      <c r="R83" s="586"/>
      <c r="S83" s="586">
        <f t="shared" si="28"/>
        <v>0</v>
      </c>
      <c r="T83" s="156">
        <f t="shared" si="27"/>
        <v>0</v>
      </c>
    </row>
    <row r="84" spans="1:20" s="158" customFormat="1">
      <c r="A84" s="74" t="s">
        <v>1747</v>
      </c>
      <c r="B84" s="75" t="s">
        <v>1769</v>
      </c>
      <c r="C84" s="456"/>
      <c r="D84" s="456"/>
      <c r="E84" s="522"/>
      <c r="F84" s="522"/>
      <c r="G84" s="156">
        <f>'3B PH fel'!I37</f>
        <v>66599</v>
      </c>
      <c r="H84" s="156">
        <f>'3B PH fel'!J37</f>
        <v>66599</v>
      </c>
      <c r="I84" s="156">
        <f t="shared" si="26"/>
        <v>66599</v>
      </c>
      <c r="J84" s="156">
        <f t="shared" si="29"/>
        <v>66599</v>
      </c>
      <c r="K84" s="156"/>
      <c r="L84" s="156"/>
      <c r="M84" s="156"/>
      <c r="N84" s="156"/>
      <c r="O84" s="156"/>
      <c r="P84" s="586"/>
      <c r="Q84" s="586"/>
      <c r="R84" s="586"/>
      <c r="S84" s="586">
        <f t="shared" si="28"/>
        <v>66599</v>
      </c>
      <c r="T84" s="156">
        <f t="shared" si="27"/>
        <v>66599</v>
      </c>
    </row>
    <row r="85" spans="1:20" s="158" customFormat="1">
      <c r="A85" s="74" t="s">
        <v>1755</v>
      </c>
      <c r="B85" s="75" t="s">
        <v>429</v>
      </c>
      <c r="C85" s="456"/>
      <c r="D85" s="456"/>
      <c r="E85" s="522"/>
      <c r="F85" s="522"/>
      <c r="G85" s="156">
        <f>'4B VG fel'!G68</f>
        <v>9000</v>
      </c>
      <c r="H85" s="156">
        <f>'4B VG fel'!H68</f>
        <v>10047</v>
      </c>
      <c r="I85" s="156">
        <f t="shared" si="26"/>
        <v>9000</v>
      </c>
      <c r="J85" s="156">
        <f t="shared" si="29"/>
        <v>10047</v>
      </c>
      <c r="K85" s="156"/>
      <c r="L85" s="156"/>
      <c r="M85" s="156"/>
      <c r="N85" s="156">
        <f>1047</f>
        <v>1047</v>
      </c>
      <c r="O85" s="156"/>
      <c r="P85" s="586"/>
      <c r="Q85" s="586"/>
      <c r="R85" s="586"/>
      <c r="S85" s="586">
        <f t="shared" si="28"/>
        <v>9000</v>
      </c>
      <c r="T85" s="156">
        <f t="shared" si="27"/>
        <v>9000</v>
      </c>
    </row>
    <row r="86" spans="1:20" s="158" customFormat="1">
      <c r="A86" s="74" t="s">
        <v>1756</v>
      </c>
      <c r="B86" s="75" t="s">
        <v>430</v>
      </c>
      <c r="C86" s="456"/>
      <c r="D86" s="456"/>
      <c r="E86" s="522"/>
      <c r="F86" s="522"/>
      <c r="G86" s="156">
        <f>'4B VG fel'!G74</f>
        <v>10000</v>
      </c>
      <c r="H86" s="156">
        <f>'4B VG fel'!H74</f>
        <v>10000</v>
      </c>
      <c r="I86" s="156">
        <f t="shared" si="26"/>
        <v>10000</v>
      </c>
      <c r="J86" s="156">
        <f t="shared" si="29"/>
        <v>10000</v>
      </c>
      <c r="K86" s="156"/>
      <c r="L86" s="156"/>
      <c r="M86" s="156"/>
      <c r="N86" s="156"/>
      <c r="O86" s="156"/>
      <c r="P86" s="586"/>
      <c r="Q86" s="586"/>
      <c r="R86" s="586"/>
      <c r="S86" s="586">
        <f t="shared" si="28"/>
        <v>10000</v>
      </c>
      <c r="T86" s="156">
        <f t="shared" si="27"/>
        <v>10000</v>
      </c>
    </row>
    <row r="87" spans="1:20" s="158" customFormat="1">
      <c r="A87" s="74" t="s">
        <v>1757</v>
      </c>
      <c r="B87" s="75" t="s">
        <v>1754</v>
      </c>
      <c r="C87" s="456"/>
      <c r="D87" s="456"/>
      <c r="E87" s="522"/>
      <c r="F87" s="522"/>
      <c r="G87" s="156">
        <f>'4B VG fel'!G77</f>
        <v>1000</v>
      </c>
      <c r="H87" s="156">
        <f>'4B VG fel'!H77</f>
        <v>1450</v>
      </c>
      <c r="I87" s="156">
        <f t="shared" si="26"/>
        <v>1000</v>
      </c>
      <c r="J87" s="156">
        <f t="shared" si="29"/>
        <v>1450</v>
      </c>
      <c r="K87" s="156"/>
      <c r="L87" s="156"/>
      <c r="M87" s="156"/>
      <c r="N87" s="156"/>
      <c r="O87" s="156"/>
      <c r="P87" s="586"/>
      <c r="Q87" s="586"/>
      <c r="R87" s="586"/>
      <c r="S87" s="586">
        <f t="shared" si="28"/>
        <v>1000</v>
      </c>
      <c r="T87" s="156">
        <f t="shared" si="27"/>
        <v>1450</v>
      </c>
    </row>
    <row r="88" spans="1:20" s="158" customFormat="1">
      <c r="A88" s="74" t="s">
        <v>1758</v>
      </c>
      <c r="B88" s="75" t="s">
        <v>1794</v>
      </c>
      <c r="C88" s="456"/>
      <c r="D88" s="456"/>
      <c r="E88" s="522"/>
      <c r="F88" s="522"/>
      <c r="G88" s="156">
        <f>'2C Önk bev kiad fel'!G120+'3B PH fel'!I40</f>
        <v>22000</v>
      </c>
      <c r="H88" s="156">
        <f>'2C Önk bev kiad fel'!H120+'3B PH fel'!J40</f>
        <v>22000</v>
      </c>
      <c r="I88" s="156">
        <f t="shared" si="26"/>
        <v>22000</v>
      </c>
      <c r="J88" s="156">
        <f t="shared" si="29"/>
        <v>22000</v>
      </c>
      <c r="K88" s="156">
        <v>22000</v>
      </c>
      <c r="L88" s="156">
        <v>22000</v>
      </c>
      <c r="M88" s="156"/>
      <c r="N88" s="156"/>
      <c r="O88" s="156"/>
      <c r="P88" s="586"/>
      <c r="Q88" s="586"/>
      <c r="R88" s="586"/>
      <c r="S88" s="586">
        <f t="shared" si="28"/>
        <v>0</v>
      </c>
      <c r="T88" s="156">
        <f t="shared" si="27"/>
        <v>0</v>
      </c>
    </row>
    <row r="89" spans="1:20" s="158" customFormat="1">
      <c r="A89" s="74" t="s">
        <v>1796</v>
      </c>
      <c r="B89" s="592" t="s">
        <v>1863</v>
      </c>
      <c r="C89" s="456"/>
      <c r="D89" s="456"/>
      <c r="E89" s="522"/>
      <c r="F89" s="522"/>
      <c r="G89" s="156">
        <f>'2C Önk bev kiad fel'!G122</f>
        <v>6000</v>
      </c>
      <c r="H89" s="156">
        <f>'2C Önk bev kiad fel'!H122</f>
        <v>6000</v>
      </c>
      <c r="I89" s="156">
        <f t="shared" si="26"/>
        <v>6000</v>
      </c>
      <c r="J89" s="156">
        <f t="shared" si="29"/>
        <v>6000</v>
      </c>
      <c r="K89" s="156"/>
      <c r="L89" s="156"/>
      <c r="M89" s="156"/>
      <c r="N89" s="156"/>
      <c r="O89" s="156"/>
      <c r="P89" s="586"/>
      <c r="Q89" s="586"/>
      <c r="R89" s="586"/>
      <c r="S89" s="586">
        <f t="shared" si="28"/>
        <v>6000</v>
      </c>
      <c r="T89" s="156">
        <f t="shared" si="27"/>
        <v>6000</v>
      </c>
    </row>
    <row r="90" spans="1:20" s="158" customFormat="1">
      <c r="A90" s="74" t="s">
        <v>1847</v>
      </c>
      <c r="B90" s="75" t="s">
        <v>1848</v>
      </c>
      <c r="C90" s="456"/>
      <c r="D90" s="456"/>
      <c r="E90" s="522"/>
      <c r="F90" s="522"/>
      <c r="G90" s="156"/>
      <c r="H90" s="156">
        <f>'4B VG fel'!H80</f>
        <v>9343</v>
      </c>
      <c r="I90" s="156">
        <f t="shared" ref="I90" si="30">K90+M90+O90+S90</f>
        <v>0</v>
      </c>
      <c r="J90" s="156">
        <f t="shared" si="29"/>
        <v>9343</v>
      </c>
      <c r="K90" s="156"/>
      <c r="L90" s="156"/>
      <c r="M90" s="156"/>
      <c r="N90" s="156"/>
      <c r="O90" s="156"/>
      <c r="P90" s="586">
        <f>'4B VG fel'!P80</f>
        <v>8143</v>
      </c>
      <c r="Q90" s="586"/>
      <c r="R90" s="586"/>
      <c r="S90" s="586">
        <f t="shared" ref="S90" si="31">G90-K90-M90-O90</f>
        <v>0</v>
      </c>
      <c r="T90" s="156">
        <f t="shared" si="27"/>
        <v>1200</v>
      </c>
    </row>
    <row r="91" spans="1:20">
      <c r="A91" s="127" t="s">
        <v>44</v>
      </c>
      <c r="B91" s="38" t="s">
        <v>1358</v>
      </c>
      <c r="C91" s="458"/>
      <c r="D91" s="458"/>
      <c r="E91" s="462"/>
      <c r="F91" s="462"/>
      <c r="G91" s="39">
        <f>SUM(G92:G93)</f>
        <v>34638</v>
      </c>
      <c r="H91" s="39">
        <f>SUM(H92:H93)</f>
        <v>34638</v>
      </c>
      <c r="I91" s="39">
        <f t="shared" ref="I91:S91" si="32">SUM(I92:I93)</f>
        <v>34638</v>
      </c>
      <c r="J91" s="39">
        <f t="shared" ref="J91" si="33">SUM(J92:J93)</f>
        <v>34638</v>
      </c>
      <c r="K91" s="39">
        <f t="shared" si="32"/>
        <v>0</v>
      </c>
      <c r="L91" s="39">
        <f t="shared" ref="L91" si="34">SUM(L92:L93)</f>
        <v>0</v>
      </c>
      <c r="M91" s="39">
        <f t="shared" si="32"/>
        <v>0</v>
      </c>
      <c r="N91" s="39">
        <f t="shared" ref="N91" si="35">SUM(N92:N93)</f>
        <v>0</v>
      </c>
      <c r="O91" s="39">
        <f t="shared" si="32"/>
        <v>0</v>
      </c>
      <c r="P91" s="39">
        <f t="shared" ref="P91:R91" si="36">SUM(P92:P93)</f>
        <v>0</v>
      </c>
      <c r="Q91" s="39">
        <f t="shared" si="36"/>
        <v>0</v>
      </c>
      <c r="R91" s="39">
        <f t="shared" si="36"/>
        <v>0</v>
      </c>
      <c r="S91" s="39">
        <f t="shared" si="32"/>
        <v>34638</v>
      </c>
      <c r="T91" s="39">
        <f t="shared" ref="T91" si="37">SUM(T92:T93)</f>
        <v>34638</v>
      </c>
    </row>
    <row r="92" spans="1:20">
      <c r="A92" s="74" t="s">
        <v>1749</v>
      </c>
      <c r="B92" s="75" t="s">
        <v>1751</v>
      </c>
      <c r="C92" s="459"/>
      <c r="D92" s="459"/>
      <c r="E92" s="523"/>
      <c r="F92" s="523"/>
      <c r="G92" s="17">
        <f>'3B PH fel'!I44</f>
        <v>34638</v>
      </c>
      <c r="H92" s="17">
        <f>'3B PH fel'!J44</f>
        <v>34638</v>
      </c>
      <c r="I92" s="156">
        <f>K92+M92+O92+S92</f>
        <v>34638</v>
      </c>
      <c r="J92" s="156">
        <f t="shared" ref="J92:J93" si="38">L92+N92+P92+T92+R92</f>
        <v>34638</v>
      </c>
      <c r="K92" s="17"/>
      <c r="L92" s="17"/>
      <c r="M92" s="17"/>
      <c r="N92" s="17"/>
      <c r="O92" s="17"/>
      <c r="P92" s="17"/>
      <c r="Q92" s="17"/>
      <c r="R92" s="17"/>
      <c r="S92" s="156">
        <f t="shared" si="28"/>
        <v>34638</v>
      </c>
      <c r="T92" s="156">
        <f t="shared" ref="T92:T93" si="39">H92-L92-N92-P92-R92</f>
        <v>34638</v>
      </c>
    </row>
    <row r="93" spans="1:20">
      <c r="A93" s="74" t="s">
        <v>1750</v>
      </c>
      <c r="B93" s="75" t="s">
        <v>1752</v>
      </c>
      <c r="C93" s="459"/>
      <c r="D93" s="459"/>
      <c r="E93" s="523"/>
      <c r="F93" s="523"/>
      <c r="G93" s="17">
        <f>'3B PH fel'!I46</f>
        <v>0</v>
      </c>
      <c r="H93" s="17">
        <f>'3B PH fel'!J46</f>
        <v>0</v>
      </c>
      <c r="I93" s="156">
        <f>K93+M93+O93+S93</f>
        <v>0</v>
      </c>
      <c r="J93" s="156">
        <f t="shared" si="38"/>
        <v>0</v>
      </c>
      <c r="K93" s="17"/>
      <c r="L93" s="17"/>
      <c r="M93" s="17"/>
      <c r="N93" s="17"/>
      <c r="O93" s="17"/>
      <c r="P93" s="17"/>
      <c r="Q93" s="17"/>
      <c r="R93" s="17"/>
      <c r="S93" s="156">
        <f t="shared" si="28"/>
        <v>0</v>
      </c>
      <c r="T93" s="156">
        <f t="shared" si="39"/>
        <v>0</v>
      </c>
    </row>
    <row r="94" spans="1:20">
      <c r="A94" s="127" t="s">
        <v>1611</v>
      </c>
      <c r="B94" s="38" t="s">
        <v>123</v>
      </c>
      <c r="C94" s="458"/>
      <c r="D94" s="458"/>
      <c r="E94" s="462"/>
      <c r="F94" s="462"/>
      <c r="G94" s="39">
        <f>G95</f>
        <v>11457</v>
      </c>
      <c r="H94" s="39">
        <f>H95</f>
        <v>148941</v>
      </c>
      <c r="I94" s="39">
        <f t="shared" ref="I94:T94" si="40">I95</f>
        <v>11457</v>
      </c>
      <c r="J94" s="39">
        <f t="shared" si="40"/>
        <v>148941</v>
      </c>
      <c r="K94" s="39">
        <f t="shared" si="40"/>
        <v>0</v>
      </c>
      <c r="L94" s="39">
        <f t="shared" si="40"/>
        <v>137484</v>
      </c>
      <c r="M94" s="39">
        <f t="shared" si="40"/>
        <v>0</v>
      </c>
      <c r="N94" s="39">
        <f t="shared" si="40"/>
        <v>0</v>
      </c>
      <c r="O94" s="39">
        <f t="shared" si="40"/>
        <v>11457</v>
      </c>
      <c r="P94" s="39">
        <f t="shared" si="40"/>
        <v>0</v>
      </c>
      <c r="Q94" s="39">
        <f t="shared" si="40"/>
        <v>0</v>
      </c>
      <c r="R94" s="39">
        <f t="shared" si="40"/>
        <v>0</v>
      </c>
      <c r="S94" s="39">
        <f t="shared" si="40"/>
        <v>0</v>
      </c>
      <c r="T94" s="39">
        <f t="shared" si="40"/>
        <v>11457</v>
      </c>
    </row>
    <row r="95" spans="1:20">
      <c r="A95" s="74" t="s">
        <v>1759</v>
      </c>
      <c r="B95" s="75" t="s">
        <v>1748</v>
      </c>
      <c r="C95" s="459"/>
      <c r="D95" s="459"/>
      <c r="E95" s="523"/>
      <c r="F95" s="523"/>
      <c r="G95" s="17">
        <f>'2C Önk bev kiad fel'!G126</f>
        <v>11457</v>
      </c>
      <c r="H95" s="17">
        <f>'2C Önk bev kiad fel'!H126</f>
        <v>148941</v>
      </c>
      <c r="I95" s="156">
        <f>K95+M95+O95+S95</f>
        <v>11457</v>
      </c>
      <c r="J95" s="156">
        <f t="shared" ref="J95" si="41">L95+N95+P95+T95+R95</f>
        <v>148941</v>
      </c>
      <c r="K95" s="17"/>
      <c r="L95" s="17">
        <f>137484</f>
        <v>137484</v>
      </c>
      <c r="M95" s="17"/>
      <c r="N95" s="17"/>
      <c r="O95" s="17">
        <v>11457</v>
      </c>
      <c r="P95" s="17"/>
      <c r="Q95" s="17"/>
      <c r="R95" s="17"/>
      <c r="S95" s="156">
        <f t="shared" si="28"/>
        <v>0</v>
      </c>
      <c r="T95" s="156">
        <f>H95-L95-N95-P95-R95</f>
        <v>11457</v>
      </c>
    </row>
  </sheetData>
  <mergeCells count="12">
    <mergeCell ref="I2:T2"/>
    <mergeCell ref="A2:A4"/>
    <mergeCell ref="B2:B4"/>
    <mergeCell ref="C2:D3"/>
    <mergeCell ref="E2:F3"/>
    <mergeCell ref="G2:H3"/>
    <mergeCell ref="I3:J3"/>
    <mergeCell ref="K3:L3"/>
    <mergeCell ref="M3:N3"/>
    <mergeCell ref="O3:P3"/>
    <mergeCell ref="S3:T3"/>
    <mergeCell ref="Q3:R3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68" pageOrder="overThenDown" orientation="portrait" r:id="rId1"/>
  <headerFooter>
    <oddHeader xml:space="preserve">&amp;L1/C. melléklet a 20/2014. (VI.30.) önkormányzati rendelethez&amp;C&amp;"-,Félkövér"&amp;16
Az Önkormányzat 2014. évi összevont bevételei és kiadásai feladatonként
</oddHeader>
    <oddFooter>&amp;C&amp;P</oddFooter>
  </headerFooter>
  <rowBreaks count="1" manualBreakCount="1">
    <brk id="75" max="17" man="1"/>
  </rowBreaks>
  <colBreaks count="1" manualBreakCount="1">
    <brk id="8" max="93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F96"/>
  <sheetViews>
    <sheetView view="pageLayout" zoomScaleNormal="100" zoomScaleSheetLayoutView="100" workbookViewId="0">
      <selection activeCell="E1" sqref="E1"/>
    </sheetView>
  </sheetViews>
  <sheetFormatPr defaultRowHeight="15"/>
  <cols>
    <col min="1" max="1" width="5.7109375" style="3" customWidth="1"/>
    <col min="2" max="2" width="71.5703125" bestFit="1" customWidth="1"/>
    <col min="3" max="4" width="11.42578125" customWidth="1"/>
    <col min="5" max="5" width="67.85546875" customWidth="1"/>
    <col min="6" max="6" width="46.42578125" customWidth="1"/>
  </cols>
  <sheetData>
    <row r="1" spans="1:6">
      <c r="C1" s="1"/>
      <c r="D1" s="1" t="s">
        <v>0</v>
      </c>
    </row>
    <row r="2" spans="1:6">
      <c r="A2" s="570" t="s">
        <v>1797</v>
      </c>
      <c r="B2" s="570" t="s">
        <v>1798</v>
      </c>
      <c r="C2" s="571"/>
      <c r="D2" s="571"/>
    </row>
    <row r="3" spans="1:6" ht="30">
      <c r="A3" s="4" t="s">
        <v>60</v>
      </c>
      <c r="B3" s="5" t="s">
        <v>59</v>
      </c>
      <c r="C3" s="4" t="s">
        <v>437</v>
      </c>
      <c r="D3" s="4" t="s">
        <v>1827</v>
      </c>
    </row>
    <row r="4" spans="1:6">
      <c r="A4" s="6" t="s">
        <v>1</v>
      </c>
      <c r="B4" s="7" t="s">
        <v>2</v>
      </c>
      <c r="C4" s="14">
        <f>C5+C23+C39+C53</f>
        <v>2934919</v>
      </c>
      <c r="D4" s="14">
        <f>D5+D23+D39+D53</f>
        <v>2956201</v>
      </c>
    </row>
    <row r="5" spans="1:6">
      <c r="A5" s="8" t="s">
        <v>3</v>
      </c>
      <c r="B5" s="9" t="s">
        <v>7</v>
      </c>
      <c r="C5" s="15">
        <f>C6+C14+C15+C16</f>
        <v>495867</v>
      </c>
      <c r="D5" s="15">
        <f>D6+D14+D15+D16</f>
        <v>512131</v>
      </c>
    </row>
    <row r="6" spans="1:6" s="2" customFormat="1">
      <c r="A6" s="10"/>
      <c r="B6" s="20" t="s">
        <v>15</v>
      </c>
      <c r="C6" s="21">
        <f>SUM(C7:C13)</f>
        <v>433472</v>
      </c>
      <c r="D6" s="21">
        <f>SUM(D7:D13)</f>
        <v>449736</v>
      </c>
      <c r="F6" s="2">
        <f>SUM(F7:F11)</f>
        <v>421383</v>
      </c>
    </row>
    <row r="7" spans="1:6" s="2" customFormat="1">
      <c r="A7" s="10"/>
      <c r="B7" s="12" t="s">
        <v>8</v>
      </c>
      <c r="C7" s="16">
        <f>ROUND('Állami tám'!G13/1000,0)</f>
        <v>18321</v>
      </c>
      <c r="D7" s="16">
        <v>18321</v>
      </c>
      <c r="F7" s="2">
        <v>18321</v>
      </c>
    </row>
    <row r="8" spans="1:6" s="2" customFormat="1">
      <c r="A8" s="10"/>
      <c r="B8" s="12" t="s">
        <v>9</v>
      </c>
      <c r="C8" s="16">
        <f>ROUND('Állami tám'!G28/1000,0)</f>
        <v>274594</v>
      </c>
      <c r="D8" s="16">
        <v>274594</v>
      </c>
      <c r="F8" s="2">
        <v>274594</v>
      </c>
    </row>
    <row r="9" spans="1:6" s="2" customFormat="1" ht="15.75" customHeight="1">
      <c r="A9" s="10"/>
      <c r="B9" s="12" t="s">
        <v>10</v>
      </c>
      <c r="C9" s="16">
        <f>ROUND('Állami tám'!G50/1000,0)</f>
        <v>105865</v>
      </c>
      <c r="D9" s="16">
        <f>105865+8590</f>
        <v>114455</v>
      </c>
      <c r="F9" s="2">
        <v>105865</v>
      </c>
    </row>
    <row r="10" spans="1:6" s="2" customFormat="1">
      <c r="A10" s="10"/>
      <c r="B10" s="12" t="s">
        <v>11</v>
      </c>
      <c r="C10" s="16">
        <f>ROUND('Állami tám'!G80/1000,0)</f>
        <v>23971</v>
      </c>
      <c r="D10" s="16">
        <v>23971</v>
      </c>
      <c r="F10" s="2">
        <v>15471</v>
      </c>
    </row>
    <row r="11" spans="1:6">
      <c r="A11" s="10"/>
      <c r="B11" s="12" t="s">
        <v>12</v>
      </c>
      <c r="C11" s="17">
        <f>ROUND(('Állami tám'!G84+'Állami tám'!G88)/1000,0)</f>
        <v>10721</v>
      </c>
      <c r="D11" s="586">
        <f>10721+1142</f>
        <v>11863</v>
      </c>
      <c r="E11" s="2"/>
      <c r="F11" s="2">
        <v>7132</v>
      </c>
    </row>
    <row r="12" spans="1:6">
      <c r="A12" s="10"/>
      <c r="B12" s="12" t="s">
        <v>66</v>
      </c>
      <c r="C12" s="17"/>
      <c r="D12" s="586"/>
    </row>
    <row r="13" spans="1:6">
      <c r="A13" s="10"/>
      <c r="B13" s="12" t="s">
        <v>16</v>
      </c>
      <c r="C13" s="17"/>
      <c r="D13" s="586">
        <f>4173+2359</f>
        <v>6532</v>
      </c>
    </row>
    <row r="14" spans="1:6">
      <c r="A14" s="10"/>
      <c r="B14" s="20" t="s">
        <v>17</v>
      </c>
      <c r="C14" s="22"/>
      <c r="D14" s="593"/>
    </row>
    <row r="15" spans="1:6">
      <c r="A15" s="10"/>
      <c r="B15" s="20" t="s">
        <v>1501</v>
      </c>
      <c r="C15" s="22"/>
      <c r="D15" s="593"/>
    </row>
    <row r="16" spans="1:6" ht="19.5" customHeight="1">
      <c r="A16" s="10"/>
      <c r="B16" s="20" t="s">
        <v>1502</v>
      </c>
      <c r="C16" s="22">
        <f>C17+C18+C21+C22</f>
        <v>62395</v>
      </c>
      <c r="D16" s="593">
        <f>D17+D18+D21+D22</f>
        <v>62395</v>
      </c>
    </row>
    <row r="17" spans="1:6" ht="19.5" customHeight="1">
      <c r="A17" s="10"/>
      <c r="B17" s="12" t="s">
        <v>77</v>
      </c>
      <c r="C17" s="17">
        <v>25634</v>
      </c>
      <c r="D17" s="586">
        <v>25634</v>
      </c>
      <c r="F17" t="s">
        <v>406</v>
      </c>
    </row>
    <row r="18" spans="1:6" ht="19.5" customHeight="1">
      <c r="A18" s="10"/>
      <c r="B18" s="12" t="s">
        <v>1766</v>
      </c>
      <c r="C18" s="17">
        <f>C19+C20</f>
        <v>14761</v>
      </c>
      <c r="D18" s="586">
        <f>D19+D20</f>
        <v>14761</v>
      </c>
    </row>
    <row r="19" spans="1:6" ht="19.5" customHeight="1">
      <c r="A19" s="10"/>
      <c r="B19" s="521" t="s">
        <v>1767</v>
      </c>
      <c r="C19" s="17">
        <v>600</v>
      </c>
      <c r="D19" s="586">
        <v>600</v>
      </c>
    </row>
    <row r="20" spans="1:6" ht="19.5" customHeight="1">
      <c r="A20" s="10"/>
      <c r="B20" s="521" t="s">
        <v>1768</v>
      </c>
      <c r="C20" s="17">
        <v>14161</v>
      </c>
      <c r="D20" s="586">
        <v>14161</v>
      </c>
    </row>
    <row r="21" spans="1:6" ht="19.5" customHeight="1">
      <c r="A21" s="10"/>
      <c r="B21" s="12" t="s">
        <v>407</v>
      </c>
      <c r="C21" s="17">
        <f>22000</f>
        <v>22000</v>
      </c>
      <c r="D21" s="586">
        <v>22000</v>
      </c>
    </row>
    <row r="22" spans="1:6" ht="19.5" customHeight="1">
      <c r="A22" s="10"/>
      <c r="B22" s="12" t="s">
        <v>78</v>
      </c>
      <c r="C22" s="17"/>
      <c r="D22" s="586"/>
    </row>
    <row r="23" spans="1:6">
      <c r="A23" s="8" t="s">
        <v>4</v>
      </c>
      <c r="B23" s="9" t="s">
        <v>20</v>
      </c>
      <c r="C23" s="15">
        <f>C24+C27+C30+C34</f>
        <v>2350000</v>
      </c>
      <c r="D23" s="594">
        <f>D24+D27+D30+D34</f>
        <v>2351508</v>
      </c>
    </row>
    <row r="24" spans="1:6">
      <c r="A24" s="23"/>
      <c r="B24" s="20" t="s">
        <v>21</v>
      </c>
      <c r="C24" s="22">
        <f>SUM(C25:C26)</f>
        <v>580000</v>
      </c>
      <c r="D24" s="593">
        <f>SUM(D25:D26)</f>
        <v>580000</v>
      </c>
    </row>
    <row r="25" spans="1:6">
      <c r="A25" s="10"/>
      <c r="B25" s="12" t="s">
        <v>22</v>
      </c>
      <c r="C25" s="17">
        <v>400000</v>
      </c>
      <c r="D25" s="586">
        <v>400000</v>
      </c>
    </row>
    <row r="26" spans="1:6">
      <c r="A26" s="10"/>
      <c r="B26" s="12" t="s">
        <v>23</v>
      </c>
      <c r="C26" s="17">
        <v>180000</v>
      </c>
      <c r="D26" s="586">
        <v>180000</v>
      </c>
    </row>
    <row r="27" spans="1:6">
      <c r="A27" s="10"/>
      <c r="B27" s="20" t="s">
        <v>24</v>
      </c>
      <c r="C27" s="22">
        <f>SUM(C28:C29)</f>
        <v>1764000</v>
      </c>
      <c r="D27" s="593">
        <f>SUM(D28:D29)</f>
        <v>1764000</v>
      </c>
    </row>
    <row r="28" spans="1:6">
      <c r="A28" s="10"/>
      <c r="B28" s="12" t="s">
        <v>25</v>
      </c>
      <c r="C28" s="17">
        <f>1600000+100000</f>
        <v>1700000</v>
      </c>
      <c r="D28" s="586">
        <f>1600000+100000</f>
        <v>1700000</v>
      </c>
    </row>
    <row r="29" spans="1:6">
      <c r="A29" s="10"/>
      <c r="B29" s="12" t="s">
        <v>1503</v>
      </c>
      <c r="C29" s="17">
        <v>64000</v>
      </c>
      <c r="D29" s="586">
        <v>64000</v>
      </c>
    </row>
    <row r="30" spans="1:6">
      <c r="A30" s="10"/>
      <c r="B30" s="20" t="s">
        <v>1504</v>
      </c>
      <c r="C30" s="22">
        <f>SUM(C31:C33)</f>
        <v>6000</v>
      </c>
      <c r="D30" s="593">
        <f>SUM(D31:D33)</f>
        <v>6460</v>
      </c>
    </row>
    <row r="31" spans="1:6">
      <c r="A31" s="10"/>
      <c r="B31" s="12" t="s">
        <v>26</v>
      </c>
      <c r="C31" s="17">
        <v>2000</v>
      </c>
      <c r="D31" s="586">
        <f>2000+460</f>
        <v>2460</v>
      </c>
    </row>
    <row r="32" spans="1:6">
      <c r="A32" s="10"/>
      <c r="B32" s="12" t="s">
        <v>73</v>
      </c>
      <c r="C32" s="17">
        <v>4000</v>
      </c>
      <c r="D32" s="586">
        <v>4000</v>
      </c>
    </row>
    <row r="33" spans="1:4">
      <c r="A33" s="10"/>
      <c r="B33" s="12" t="s">
        <v>27</v>
      </c>
      <c r="C33" s="17"/>
      <c r="D33" s="586"/>
    </row>
    <row r="34" spans="1:4">
      <c r="A34" s="10"/>
      <c r="B34" s="20" t="s">
        <v>1505</v>
      </c>
      <c r="C34" s="22">
        <f>SUM(C35:C38)</f>
        <v>0</v>
      </c>
      <c r="D34" s="593">
        <f>SUM(D35:D38)</f>
        <v>1048</v>
      </c>
    </row>
    <row r="35" spans="1:4">
      <c r="A35" s="10"/>
      <c r="B35" s="12" t="s">
        <v>28</v>
      </c>
      <c r="C35" s="17"/>
      <c r="D35" s="586"/>
    </row>
    <row r="36" spans="1:4">
      <c r="A36" s="10"/>
      <c r="B36" s="12" t="s">
        <v>29</v>
      </c>
      <c r="C36" s="17"/>
      <c r="D36" s="586"/>
    </row>
    <row r="37" spans="1:4">
      <c r="A37" s="10"/>
      <c r="B37" s="12" t="s">
        <v>30</v>
      </c>
      <c r="C37" s="17"/>
      <c r="D37" s="586"/>
    </row>
    <row r="38" spans="1:4">
      <c r="A38" s="10"/>
      <c r="B38" s="12" t="s">
        <v>31</v>
      </c>
      <c r="C38" s="17"/>
      <c r="D38" s="586">
        <f>1048</f>
        <v>1048</v>
      </c>
    </row>
    <row r="39" spans="1:4">
      <c r="A39" s="8" t="s">
        <v>5</v>
      </c>
      <c r="B39" s="9" t="s">
        <v>32</v>
      </c>
      <c r="C39" s="15">
        <f>C40+C41+C44+C48+C49+C50+C51+C52</f>
        <v>89052</v>
      </c>
      <c r="D39" s="594">
        <f>D40+D41+D44+D48+D49+D50+D51+D52</f>
        <v>89052</v>
      </c>
    </row>
    <row r="40" spans="1:4">
      <c r="A40" s="10"/>
      <c r="B40" s="20" t="s">
        <v>1506</v>
      </c>
      <c r="C40" s="22"/>
      <c r="D40" s="593"/>
    </row>
    <row r="41" spans="1:4">
      <c r="A41" s="10"/>
      <c r="B41" s="20" t="s">
        <v>33</v>
      </c>
      <c r="C41" s="22">
        <f>SUM(C42:C43)</f>
        <v>0</v>
      </c>
      <c r="D41" s="593">
        <f>SUM(D42:D43)</f>
        <v>0</v>
      </c>
    </row>
    <row r="42" spans="1:4">
      <c r="A42" s="10"/>
      <c r="B42" s="12" t="s">
        <v>72</v>
      </c>
      <c r="C42" s="17"/>
      <c r="D42" s="586"/>
    </row>
    <row r="43" spans="1:4">
      <c r="A43" s="10"/>
      <c r="B43" s="12" t="s">
        <v>71</v>
      </c>
      <c r="C43" s="17"/>
      <c r="D43" s="586"/>
    </row>
    <row r="44" spans="1:4">
      <c r="A44" s="10"/>
      <c r="B44" s="20" t="s">
        <v>34</v>
      </c>
      <c r="C44" s="22">
        <f>SUM(C45:C47)</f>
        <v>55337</v>
      </c>
      <c r="D44" s="593">
        <f>SUM(D45:D47)</f>
        <v>55337</v>
      </c>
    </row>
    <row r="45" spans="1:4">
      <c r="A45" s="10"/>
      <c r="B45" s="12" t="s">
        <v>68</v>
      </c>
      <c r="C45" s="17">
        <v>1600</v>
      </c>
      <c r="D45" s="586">
        <v>1600</v>
      </c>
    </row>
    <row r="46" spans="1:4">
      <c r="A46" s="10"/>
      <c r="B46" s="12" t="s">
        <v>69</v>
      </c>
      <c r="C46" s="17">
        <v>46494</v>
      </c>
      <c r="D46" s="586">
        <v>46494</v>
      </c>
    </row>
    <row r="47" spans="1:4">
      <c r="A47" s="10"/>
      <c r="B47" s="12" t="s">
        <v>70</v>
      </c>
      <c r="C47" s="17">
        <v>7243</v>
      </c>
      <c r="D47" s="586">
        <v>7243</v>
      </c>
    </row>
    <row r="48" spans="1:4">
      <c r="A48" s="10"/>
      <c r="B48" s="20" t="s">
        <v>35</v>
      </c>
      <c r="C48" s="22"/>
      <c r="D48" s="593"/>
    </row>
    <row r="49" spans="1:4">
      <c r="A49" s="10"/>
      <c r="B49" s="20" t="s">
        <v>36</v>
      </c>
      <c r="C49" s="22">
        <v>13715</v>
      </c>
      <c r="D49" s="593">
        <v>13715</v>
      </c>
    </row>
    <row r="50" spans="1:4">
      <c r="A50" s="10"/>
      <c r="B50" s="20" t="s">
        <v>37</v>
      </c>
      <c r="C50" s="22"/>
      <c r="D50" s="593"/>
    </row>
    <row r="51" spans="1:4">
      <c r="A51" s="10"/>
      <c r="B51" s="20" t="s">
        <v>38</v>
      </c>
      <c r="C51" s="22">
        <v>20000</v>
      </c>
      <c r="D51" s="593">
        <v>20000</v>
      </c>
    </row>
    <row r="52" spans="1:4">
      <c r="A52" s="10"/>
      <c r="B52" s="20" t="s">
        <v>39</v>
      </c>
      <c r="C52" s="22"/>
      <c r="D52" s="593"/>
    </row>
    <row r="53" spans="1:4">
      <c r="A53" s="8" t="s">
        <v>6</v>
      </c>
      <c r="B53" s="9" t="s">
        <v>41</v>
      </c>
      <c r="C53" s="15">
        <f>C54+C55</f>
        <v>0</v>
      </c>
      <c r="D53" s="594">
        <f>D54+D55</f>
        <v>3510</v>
      </c>
    </row>
    <row r="54" spans="1:4">
      <c r="A54" s="10"/>
      <c r="B54" s="20" t="s">
        <v>1507</v>
      </c>
      <c r="C54" s="22"/>
      <c r="D54" s="593"/>
    </row>
    <row r="55" spans="1:4">
      <c r="A55" s="10"/>
      <c r="B55" s="20" t="s">
        <v>42</v>
      </c>
      <c r="C55" s="22"/>
      <c r="D55" s="593">
        <f>3510</f>
        <v>3510</v>
      </c>
    </row>
    <row r="56" spans="1:4">
      <c r="A56" s="6" t="s">
        <v>13</v>
      </c>
      <c r="B56" s="7" t="s">
        <v>14</v>
      </c>
      <c r="C56" s="14">
        <f>C57+C61+C69</f>
        <v>118722</v>
      </c>
      <c r="D56" s="595">
        <f>D57+D61+D69</f>
        <v>258473</v>
      </c>
    </row>
    <row r="57" spans="1:4">
      <c r="A57" s="8" t="s">
        <v>3</v>
      </c>
      <c r="B57" s="9" t="s">
        <v>18</v>
      </c>
      <c r="C57" s="15">
        <f>C58+C59+C60</f>
        <v>0</v>
      </c>
      <c r="D57" s="594">
        <f>D58+D59+D60</f>
        <v>139751</v>
      </c>
    </row>
    <row r="58" spans="1:4">
      <c r="A58" s="10"/>
      <c r="B58" s="24" t="s">
        <v>19</v>
      </c>
      <c r="C58" s="22"/>
      <c r="D58" s="593">
        <f>138411+996+344</f>
        <v>139751</v>
      </c>
    </row>
    <row r="59" spans="1:4">
      <c r="A59" s="10"/>
      <c r="B59" s="24" t="s">
        <v>1512</v>
      </c>
      <c r="C59" s="22"/>
      <c r="D59" s="593"/>
    </row>
    <row r="60" spans="1:4">
      <c r="A60" s="10"/>
      <c r="B60" s="24" t="s">
        <v>1508</v>
      </c>
      <c r="C60" s="22"/>
      <c r="D60" s="593"/>
    </row>
    <row r="61" spans="1:4">
      <c r="A61" s="8" t="s">
        <v>4</v>
      </c>
      <c r="B61" s="9" t="s">
        <v>40</v>
      </c>
      <c r="C61" s="15">
        <f>C62+C63+C67+C68</f>
        <v>100000</v>
      </c>
      <c r="D61" s="594">
        <f>D62+D63+D67+D68</f>
        <v>100000</v>
      </c>
    </row>
    <row r="62" spans="1:4">
      <c r="A62" s="10"/>
      <c r="B62" s="24" t="s">
        <v>62</v>
      </c>
      <c r="C62" s="22"/>
      <c r="D62" s="593"/>
    </row>
    <row r="63" spans="1:4">
      <c r="A63" s="10"/>
      <c r="B63" s="24" t="s">
        <v>63</v>
      </c>
      <c r="C63" s="22">
        <f>SUM(C64:C66)</f>
        <v>100000</v>
      </c>
      <c r="D63" s="593">
        <f>SUM(D64:D66)</f>
        <v>100000</v>
      </c>
    </row>
    <row r="64" spans="1:4">
      <c r="A64" s="10"/>
      <c r="B64" s="12" t="s">
        <v>74</v>
      </c>
      <c r="C64" s="17"/>
      <c r="D64" s="586"/>
    </row>
    <row r="65" spans="1:4">
      <c r="A65" s="10"/>
      <c r="B65" s="12" t="s">
        <v>75</v>
      </c>
      <c r="C65" s="17"/>
      <c r="D65" s="586"/>
    </row>
    <row r="66" spans="1:4">
      <c r="A66" s="10"/>
      <c r="B66" s="12" t="s">
        <v>76</v>
      </c>
      <c r="C66" s="17">
        <v>100000</v>
      </c>
      <c r="D66" s="586">
        <v>100000</v>
      </c>
    </row>
    <row r="67" spans="1:4">
      <c r="A67" s="10"/>
      <c r="B67" s="24" t="s">
        <v>64</v>
      </c>
      <c r="C67" s="22"/>
      <c r="D67" s="593"/>
    </row>
    <row r="68" spans="1:4">
      <c r="A68" s="10"/>
      <c r="B68" s="24" t="s">
        <v>65</v>
      </c>
      <c r="C68" s="22"/>
      <c r="D68" s="593"/>
    </row>
    <row r="69" spans="1:4">
      <c r="A69" s="8" t="s">
        <v>5</v>
      </c>
      <c r="B69" s="9" t="s">
        <v>43</v>
      </c>
      <c r="C69" s="15">
        <f>C70+C74</f>
        <v>18722</v>
      </c>
      <c r="D69" s="594">
        <f>D70+D74</f>
        <v>18722</v>
      </c>
    </row>
    <row r="70" spans="1:4">
      <c r="A70" s="10"/>
      <c r="B70" s="24" t="s">
        <v>1509</v>
      </c>
      <c r="C70" s="22">
        <f>SUM(C71:C73)</f>
        <v>9824</v>
      </c>
      <c r="D70" s="593">
        <f>SUM(D71:D73)</f>
        <v>9824</v>
      </c>
    </row>
    <row r="71" spans="1:4">
      <c r="A71" s="10"/>
      <c r="B71" s="12" t="s">
        <v>80</v>
      </c>
      <c r="C71" s="17">
        <v>5622</v>
      </c>
      <c r="D71" s="586">
        <v>5622</v>
      </c>
    </row>
    <row r="72" spans="1:4">
      <c r="A72" s="10"/>
      <c r="B72" s="12" t="s">
        <v>86</v>
      </c>
      <c r="C72" s="17">
        <v>2902</v>
      </c>
      <c r="D72" s="586">
        <v>2902</v>
      </c>
    </row>
    <row r="73" spans="1:4">
      <c r="A73" s="10"/>
      <c r="B73" s="12" t="s">
        <v>410</v>
      </c>
      <c r="C73" s="17">
        <v>1300</v>
      </c>
      <c r="D73" s="586">
        <v>1300</v>
      </c>
    </row>
    <row r="74" spans="1:4">
      <c r="A74" s="10"/>
      <c r="B74" s="24" t="s">
        <v>79</v>
      </c>
      <c r="C74" s="22">
        <f>SUM(C75:C79)</f>
        <v>8898</v>
      </c>
      <c r="D74" s="593">
        <f>SUM(D75:D79)</f>
        <v>8898</v>
      </c>
    </row>
    <row r="75" spans="1:4">
      <c r="A75" s="10"/>
      <c r="B75" s="12" t="s">
        <v>81</v>
      </c>
      <c r="C75" s="17">
        <v>3560</v>
      </c>
      <c r="D75" s="586">
        <v>3560</v>
      </c>
    </row>
    <row r="76" spans="1:4">
      <c r="A76" s="10"/>
      <c r="B76" s="12" t="s">
        <v>82</v>
      </c>
      <c r="C76" s="17">
        <v>3255</v>
      </c>
      <c r="D76" s="586">
        <v>3255</v>
      </c>
    </row>
    <row r="77" spans="1:4">
      <c r="A77" s="10"/>
      <c r="B77" s="12" t="s">
        <v>83</v>
      </c>
      <c r="C77" s="17">
        <v>953</v>
      </c>
      <c r="D77" s="586">
        <v>953</v>
      </c>
    </row>
    <row r="78" spans="1:4">
      <c r="A78" s="10"/>
      <c r="B78" s="12" t="s">
        <v>84</v>
      </c>
      <c r="C78" s="17">
        <v>1130</v>
      </c>
      <c r="D78" s="586">
        <v>1130</v>
      </c>
    </row>
    <row r="79" spans="1:4">
      <c r="A79" s="10"/>
      <c r="B79" s="12" t="s">
        <v>85</v>
      </c>
      <c r="C79" s="17"/>
      <c r="D79" s="586"/>
    </row>
    <row r="80" spans="1:4">
      <c r="A80" s="5"/>
      <c r="B80" s="29" t="s">
        <v>100</v>
      </c>
      <c r="C80" s="19">
        <f>C4+C56</f>
        <v>3053641</v>
      </c>
      <c r="D80" s="596">
        <f>D4+D56</f>
        <v>3214674</v>
      </c>
    </row>
    <row r="81" spans="1:4">
      <c r="A81" s="6" t="s">
        <v>44</v>
      </c>
      <c r="B81" s="7" t="s">
        <v>45</v>
      </c>
      <c r="C81" s="14">
        <f>C82+C93</f>
        <v>1272481</v>
      </c>
      <c r="D81" s="595">
        <f>D82+D93</f>
        <v>1340973</v>
      </c>
    </row>
    <row r="82" spans="1:4">
      <c r="A82" s="8" t="s">
        <v>3</v>
      </c>
      <c r="B82" s="9" t="s">
        <v>46</v>
      </c>
      <c r="C82" s="15">
        <f>C83+C87+C88+C91+C92</f>
        <v>1272481</v>
      </c>
      <c r="D82" s="594">
        <f>D83+D87+D88+D91+D92</f>
        <v>1340973</v>
      </c>
    </row>
    <row r="83" spans="1:4">
      <c r="A83" s="10"/>
      <c r="B83" s="24" t="s">
        <v>47</v>
      </c>
      <c r="C83" s="22">
        <f>SUM(C84:C86)</f>
        <v>0</v>
      </c>
      <c r="D83" s="593">
        <f>SUM(D84:D86)</f>
        <v>0</v>
      </c>
    </row>
    <row r="84" spans="1:4">
      <c r="A84" s="10"/>
      <c r="B84" s="12" t="s">
        <v>48</v>
      </c>
      <c r="C84" s="17"/>
      <c r="D84" s="586"/>
    </row>
    <row r="85" spans="1:4">
      <c r="A85" s="10"/>
      <c r="B85" s="12" t="s">
        <v>1511</v>
      </c>
      <c r="C85" s="17"/>
      <c r="D85" s="586"/>
    </row>
    <row r="86" spans="1:4">
      <c r="A86" s="10"/>
      <c r="B86" s="12" t="s">
        <v>49</v>
      </c>
      <c r="C86" s="17"/>
      <c r="D86" s="586"/>
    </row>
    <row r="87" spans="1:4">
      <c r="A87" s="10"/>
      <c r="B87" s="24" t="s">
        <v>1510</v>
      </c>
      <c r="C87" s="22"/>
      <c r="D87" s="593"/>
    </row>
    <row r="88" spans="1:4">
      <c r="A88" s="10"/>
      <c r="B88" s="24" t="s">
        <v>50</v>
      </c>
      <c r="C88" s="22">
        <f>C89+C90</f>
        <v>1272481</v>
      </c>
      <c r="D88" s="593">
        <f>D89+D90</f>
        <v>518473</v>
      </c>
    </row>
    <row r="89" spans="1:4">
      <c r="A89" s="10"/>
      <c r="B89" s="12" t="s">
        <v>525</v>
      </c>
      <c r="C89" s="17">
        <v>1123775</v>
      </c>
      <c r="D89" s="586">
        <v>359916</v>
      </c>
    </row>
    <row r="90" spans="1:4">
      <c r="A90" s="10"/>
      <c r="B90" s="12" t="s">
        <v>526</v>
      </c>
      <c r="C90" s="17">
        <v>148706</v>
      </c>
      <c r="D90" s="586">
        <f>148706+9851</f>
        <v>158557</v>
      </c>
    </row>
    <row r="91" spans="1:4">
      <c r="A91" s="10"/>
      <c r="B91" s="24" t="s">
        <v>51</v>
      </c>
      <c r="C91" s="22"/>
      <c r="D91" s="593"/>
    </row>
    <row r="92" spans="1:4">
      <c r="A92" s="10"/>
      <c r="B92" s="24" t="s">
        <v>52</v>
      </c>
      <c r="C92" s="22"/>
      <c r="D92" s="593">
        <v>822500</v>
      </c>
    </row>
    <row r="93" spans="1:4">
      <c r="A93" s="8" t="s">
        <v>4</v>
      </c>
      <c r="B93" s="9" t="s">
        <v>53</v>
      </c>
      <c r="C93" s="15">
        <f>C94+C95</f>
        <v>0</v>
      </c>
      <c r="D93" s="594">
        <f>D94+D95</f>
        <v>0</v>
      </c>
    </row>
    <row r="94" spans="1:4">
      <c r="A94" s="10"/>
      <c r="B94" s="24" t="s">
        <v>136</v>
      </c>
      <c r="C94" s="22"/>
      <c r="D94" s="22"/>
    </row>
    <row r="95" spans="1:4">
      <c r="A95" s="10"/>
      <c r="B95" s="24" t="s">
        <v>55</v>
      </c>
      <c r="C95" s="22"/>
      <c r="D95" s="22"/>
    </row>
    <row r="96" spans="1:4">
      <c r="A96" s="31"/>
      <c r="B96" s="32" t="s">
        <v>56</v>
      </c>
      <c r="C96" s="34">
        <f>C81+C56+C4</f>
        <v>4326122</v>
      </c>
      <c r="D96" s="34">
        <f>D81+D56+D4</f>
        <v>4555647</v>
      </c>
    </row>
  </sheetData>
  <printOptions horizontalCentered="1"/>
  <pageMargins left="0.70866141732283472" right="0.70866141732283472" top="1.0166666666666666" bottom="0.74803149606299213" header="0.31496062992125984" footer="0.31496062992125984"/>
  <pageSetup paperSize="9" scale="87" orientation="portrait" r:id="rId1"/>
  <headerFooter>
    <oddHeader>&amp;L2/A. melléklet a 20/2014. (VI.30.) önkormányzati rendelethez&amp;C&amp;"-,Félkövér"&amp;16
Az Önkormányzat 2014. évi bevételei forrásonként</oddHeader>
    <oddFooter>&amp;C&amp;P</oddFooter>
  </headerFooter>
  <rowBreaks count="2" manualBreakCount="2">
    <brk id="43" max="3" man="1"/>
    <brk id="80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D39"/>
  <sheetViews>
    <sheetView view="pageLayout" topLeftCell="B1" zoomScaleNormal="100" zoomScaleSheetLayoutView="100" workbookViewId="0">
      <selection activeCell="E6" sqref="E6"/>
    </sheetView>
  </sheetViews>
  <sheetFormatPr defaultRowHeight="15"/>
  <cols>
    <col min="1" max="1" width="5.7109375" style="3" customWidth="1"/>
    <col min="2" max="2" width="67.7109375" style="2" bestFit="1" customWidth="1"/>
    <col min="3" max="4" width="11.42578125" style="2" customWidth="1"/>
    <col min="5" max="5" width="67.85546875" customWidth="1"/>
  </cols>
  <sheetData>
    <row r="1" spans="1:4">
      <c r="C1" s="37"/>
      <c r="D1" s="37" t="s">
        <v>0</v>
      </c>
    </row>
    <row r="2" spans="1:4">
      <c r="A2" s="570" t="s">
        <v>1797</v>
      </c>
      <c r="B2" s="570" t="s">
        <v>1798</v>
      </c>
      <c r="C2" s="571"/>
      <c r="D2" s="571"/>
    </row>
    <row r="3" spans="1:4" ht="30">
      <c r="A3" s="4" t="s">
        <v>60</v>
      </c>
      <c r="B3" s="5" t="s">
        <v>138</v>
      </c>
      <c r="C3" s="4" t="s">
        <v>437</v>
      </c>
      <c r="D3" s="4" t="s">
        <v>1827</v>
      </c>
    </row>
    <row r="4" spans="1:4">
      <c r="A4" s="6" t="s">
        <v>1</v>
      </c>
      <c r="B4" s="38" t="s">
        <v>101</v>
      </c>
      <c r="C4" s="39">
        <f>C5+C6+C7+C8+C9</f>
        <v>1472020</v>
      </c>
      <c r="D4" s="39">
        <f>D5+D6+D7+D8+D9</f>
        <v>1451012</v>
      </c>
    </row>
    <row r="5" spans="1:4">
      <c r="A5" s="8" t="s">
        <v>3</v>
      </c>
      <c r="B5" s="40" t="s">
        <v>102</v>
      </c>
      <c r="C5" s="41">
        <v>0</v>
      </c>
      <c r="D5" s="41">
        <f>'2C Önk bev kiad fel'!H114</f>
        <v>893</v>
      </c>
    </row>
    <row r="6" spans="1:4">
      <c r="A6" s="8" t="s">
        <v>4</v>
      </c>
      <c r="B6" s="40" t="s">
        <v>103</v>
      </c>
      <c r="C6" s="41">
        <v>0</v>
      </c>
      <c r="D6" s="41">
        <f>'2C Önk bev kiad fel'!H115</f>
        <v>410</v>
      </c>
    </row>
    <row r="7" spans="1:4">
      <c r="A7" s="8" t="s">
        <v>5</v>
      </c>
      <c r="B7" s="40" t="s">
        <v>104</v>
      </c>
      <c r="C7" s="41">
        <f>'ÖK kiad'!C26</f>
        <v>772554</v>
      </c>
      <c r="D7" s="41">
        <f>'2C Önk bev kiad fel'!H8+'2C Önk bev kiad fel'!H11+'2C Önk bev kiad fel'!H13+'2C Önk bev kiad fel'!H15+'2C Önk bev kiad fel'!H17+'2C Önk bev kiad fel'!H19+'2C Önk bev kiad fel'!H22+'2C Önk bev kiad fel'!H24+'2C Önk bev kiad fel'!H26+'2C Önk bev kiad fel'!H28+'2C Önk bev kiad fel'!H32+'2C Önk bev kiad fel'!H37+'2C Önk bev kiad fel'!H39+'2C Önk bev kiad fel'!H41+'2C Önk bev kiad fel'!H46+'2C Önk bev kiad fel'!H48+'2C Önk bev kiad fel'!H50+'2C Önk bev kiad fel'!H52+'2C Önk bev kiad fel'!H54+'2C Önk bev kiad fel'!H56+'2C Önk bev kiad fel'!H58+'2C Önk bev kiad fel'!H60+'2C Önk bev kiad fel'!H62+'2C Önk bev kiad fel'!H64+'2C Önk bev kiad fel'!H66+'2C Önk bev kiad fel'!H68+'2C Önk bev kiad fel'!H70+'2C Önk bev kiad fel'!H76+'2C Önk bev kiad fel'!H91+'2C Önk bev kiad fel'!H116+'2C Önk bev kiad fel'!H121</f>
        <v>781246</v>
      </c>
    </row>
    <row r="8" spans="1:4">
      <c r="A8" s="8" t="s">
        <v>6</v>
      </c>
      <c r="B8" s="40" t="s">
        <v>105</v>
      </c>
      <c r="C8" s="41">
        <f>'ÖK kiad'!C35</f>
        <v>40815</v>
      </c>
      <c r="D8" s="41">
        <f>'2C Önk bev kiad fel'!H34+'2C Önk bev kiad fel'!H112</f>
        <v>40815</v>
      </c>
    </row>
    <row r="9" spans="1:4">
      <c r="A9" s="8" t="s">
        <v>106</v>
      </c>
      <c r="B9" s="40" t="s">
        <v>107</v>
      </c>
      <c r="C9" s="41">
        <f>C10+C11+C12+C13</f>
        <v>658651</v>
      </c>
      <c r="D9" s="41">
        <f>D10+D11+D12+D13</f>
        <v>627648</v>
      </c>
    </row>
    <row r="10" spans="1:4" s="2" customFormat="1" ht="20.25" customHeight="1">
      <c r="A10" s="10"/>
      <c r="B10" s="20" t="s">
        <v>1531</v>
      </c>
      <c r="C10" s="21">
        <f>'ÖK kiad'!C39+'ÖK kiad'!C40</f>
        <v>0</v>
      </c>
      <c r="D10" s="21">
        <v>0</v>
      </c>
    </row>
    <row r="11" spans="1:4" s="2" customFormat="1">
      <c r="A11" s="10"/>
      <c r="B11" s="20" t="s">
        <v>127</v>
      </c>
      <c r="C11" s="21">
        <f>'ÖK kiad'!C41</f>
        <v>48737</v>
      </c>
      <c r="D11" s="21">
        <f>'2C Önk bev kiad fel'!H72+'2C Önk bev kiad fel'!H74+'2C Önk bev kiad fel'!H78+'2C Önk bev kiad fel'!H80+'2C Önk bev kiad fel'!H82</f>
        <v>48941</v>
      </c>
    </row>
    <row r="12" spans="1:4">
      <c r="A12" s="10"/>
      <c r="B12" s="20" t="s">
        <v>128</v>
      </c>
      <c r="C12" s="36">
        <f>'ÖK kiad'!C46</f>
        <v>95849</v>
      </c>
      <c r="D12" s="36">
        <f>'2C Önk bev kiad fel'!H84+'2C Önk bev kiad fel'!H86+'2C Önk bev kiad fel'!H88+'2C Önk bev kiad fel'!H90+'2C Önk bev kiad fel'!H93+'2C Önk bev kiad fel'!H96+'2C Önk bev kiad fel'!H98+'2C Önk bev kiad fel'!H100+'2C Önk bev kiad fel'!H102+'2C Önk bev kiad fel'!H104+'2C Önk bev kiad fel'!H106+'2C Önk bev kiad fel'!H108+'2C Önk bev kiad fel'!H110+'2C Önk bev kiad fel'!H123</f>
        <v>97389</v>
      </c>
    </row>
    <row r="13" spans="1:4">
      <c r="A13" s="10"/>
      <c r="B13" s="20" t="s">
        <v>129</v>
      </c>
      <c r="C13" s="21">
        <f>SUM(C14:C16)</f>
        <v>514065</v>
      </c>
      <c r="D13" s="21">
        <f>SUM(D14:D16)</f>
        <v>481318</v>
      </c>
    </row>
    <row r="14" spans="1:4">
      <c r="A14" s="10"/>
      <c r="B14" s="12" t="s">
        <v>121</v>
      </c>
      <c r="C14" s="16">
        <f>3700+50000</f>
        <v>53700</v>
      </c>
      <c r="D14" s="16">
        <f>53700+8590+165+2359-5000-2948-500-5000-300-4701-60-3810</f>
        <v>42495</v>
      </c>
    </row>
    <row r="15" spans="1:4">
      <c r="A15" s="10"/>
      <c r="B15" s="12" t="s">
        <v>1547</v>
      </c>
      <c r="C15" s="16">
        <f>'2D Céltartalék'!C4</f>
        <v>383094</v>
      </c>
      <c r="D15" s="597">
        <f>'2D Céltartalék'!D4</f>
        <v>343701</v>
      </c>
    </row>
    <row r="16" spans="1:4">
      <c r="A16" s="10"/>
      <c r="B16" s="12" t="s">
        <v>1548</v>
      </c>
      <c r="C16" s="16">
        <f>'2D Céltartalék'!C13</f>
        <v>77271</v>
      </c>
      <c r="D16" s="597">
        <f>'2D Céltartalék'!D13</f>
        <v>95122</v>
      </c>
    </row>
    <row r="17" spans="1:4">
      <c r="A17" s="6" t="s">
        <v>13</v>
      </c>
      <c r="B17" s="38" t="s">
        <v>108</v>
      </c>
      <c r="C17" s="39">
        <f t="shared" ref="C17:D17" si="0">C18+C19+C20</f>
        <v>208989</v>
      </c>
      <c r="D17" s="591">
        <f t="shared" si="0"/>
        <v>262999</v>
      </c>
    </row>
    <row r="18" spans="1:4" ht="19.5" customHeight="1">
      <c r="A18" s="8" t="s">
        <v>3</v>
      </c>
      <c r="B18" s="40" t="s">
        <v>130</v>
      </c>
      <c r="C18" s="41">
        <f>'ÖK kiad'!C56</f>
        <v>127491</v>
      </c>
      <c r="D18" s="598">
        <f>'7. beruházás'!D5</f>
        <v>180802</v>
      </c>
    </row>
    <row r="19" spans="1:4" ht="19.5" customHeight="1">
      <c r="A19" s="8" t="s">
        <v>4</v>
      </c>
      <c r="B19" s="40" t="s">
        <v>110</v>
      </c>
      <c r="C19" s="41">
        <f>'ÖK kiad'!C61</f>
        <v>81498</v>
      </c>
      <c r="D19" s="598">
        <f>'8. felújítás'!D5</f>
        <v>82197</v>
      </c>
    </row>
    <row r="20" spans="1:4" ht="19.5" customHeight="1">
      <c r="A20" s="8" t="s">
        <v>5</v>
      </c>
      <c r="B20" s="40" t="s">
        <v>111</v>
      </c>
      <c r="C20" s="41">
        <f>C21+C22+C23+C24+C25</f>
        <v>0</v>
      </c>
      <c r="D20" s="598"/>
    </row>
    <row r="21" spans="1:4">
      <c r="A21" s="10"/>
      <c r="B21" s="20" t="s">
        <v>1532</v>
      </c>
      <c r="C21" s="21">
        <v>0</v>
      </c>
      <c r="D21" s="599">
        <v>0</v>
      </c>
    </row>
    <row r="22" spans="1:4">
      <c r="A22" s="10"/>
      <c r="B22" s="20" t="s">
        <v>1533</v>
      </c>
      <c r="C22" s="21">
        <v>0</v>
      </c>
      <c r="D22" s="599">
        <v>0</v>
      </c>
    </row>
    <row r="23" spans="1:4" ht="19.5" customHeight="1">
      <c r="A23" s="10"/>
      <c r="B23" s="20" t="s">
        <v>131</v>
      </c>
      <c r="C23" s="21">
        <v>0</v>
      </c>
      <c r="D23" s="599">
        <v>0</v>
      </c>
    </row>
    <row r="24" spans="1:4" ht="19.5" customHeight="1">
      <c r="A24" s="10"/>
      <c r="B24" s="20" t="s">
        <v>132</v>
      </c>
      <c r="C24" s="21">
        <v>0</v>
      </c>
      <c r="D24" s="599">
        <v>0</v>
      </c>
    </row>
    <row r="25" spans="1:4" ht="19.5" customHeight="1">
      <c r="A25" s="10"/>
      <c r="B25" s="20" t="s">
        <v>133</v>
      </c>
      <c r="C25" s="21">
        <v>0</v>
      </c>
      <c r="D25" s="599">
        <v>0</v>
      </c>
    </row>
    <row r="26" spans="1:4">
      <c r="A26" s="5"/>
      <c r="B26" s="29" t="s">
        <v>122</v>
      </c>
      <c r="C26" s="19">
        <f>C17+C4</f>
        <v>1681009</v>
      </c>
      <c r="D26" s="596">
        <f>D17+D4</f>
        <v>1714011</v>
      </c>
    </row>
    <row r="27" spans="1:4">
      <c r="A27" s="6" t="s">
        <v>44</v>
      </c>
      <c r="B27" s="38" t="s">
        <v>123</v>
      </c>
      <c r="C27" s="39">
        <f>C28+C36</f>
        <v>2645113</v>
      </c>
      <c r="D27" s="591">
        <f>D28+D36</f>
        <v>2841636</v>
      </c>
    </row>
    <row r="28" spans="1:4">
      <c r="A28" s="8" t="s">
        <v>3</v>
      </c>
      <c r="B28" s="40" t="s">
        <v>124</v>
      </c>
      <c r="C28" s="44">
        <f t="shared" ref="C28:D28" si="1">C29+C33</f>
        <v>2645113</v>
      </c>
      <c r="D28" s="600">
        <f t="shared" si="1"/>
        <v>2841636</v>
      </c>
    </row>
    <row r="29" spans="1:4">
      <c r="A29" s="10"/>
      <c r="B29" s="43" t="s">
        <v>139</v>
      </c>
      <c r="C29" s="45">
        <f t="shared" ref="C29:D29" si="2">C30+C31</f>
        <v>11457</v>
      </c>
      <c r="D29" s="601">
        <f t="shared" si="2"/>
        <v>148941</v>
      </c>
    </row>
    <row r="30" spans="1:4">
      <c r="A30" s="10"/>
      <c r="B30" s="30" t="s">
        <v>125</v>
      </c>
      <c r="C30" s="46">
        <f>'2C Önk bev kiad fel'!G126</f>
        <v>11457</v>
      </c>
      <c r="D30" s="602">
        <f>'2C Önk bev kiad fel'!H126</f>
        <v>148941</v>
      </c>
    </row>
    <row r="31" spans="1:4">
      <c r="A31" s="10"/>
      <c r="B31" s="30" t="s">
        <v>126</v>
      </c>
      <c r="C31" s="46"/>
      <c r="D31" s="602"/>
    </row>
    <row r="32" spans="1:4">
      <c r="A32" s="10"/>
      <c r="B32" s="43" t="s">
        <v>1518</v>
      </c>
      <c r="C32" s="45"/>
      <c r="D32" s="601"/>
    </row>
    <row r="33" spans="1:4">
      <c r="A33" s="10"/>
      <c r="B33" s="43" t="s">
        <v>141</v>
      </c>
      <c r="C33" s="45">
        <f>'2C Önk bev kiad fel'!G125</f>
        <v>2633656</v>
      </c>
      <c r="D33" s="601">
        <f>'2C Önk bev kiad fel'!H125</f>
        <v>2692695</v>
      </c>
    </row>
    <row r="34" spans="1:4">
      <c r="A34" s="10"/>
      <c r="B34" s="43" t="s">
        <v>1519</v>
      </c>
      <c r="C34" s="45"/>
      <c r="D34" s="45"/>
    </row>
    <row r="35" spans="1:4">
      <c r="A35" s="10"/>
      <c r="B35" s="43" t="s">
        <v>142</v>
      </c>
      <c r="C35" s="45"/>
      <c r="D35" s="45"/>
    </row>
    <row r="36" spans="1:4">
      <c r="A36" s="8" t="s">
        <v>4</v>
      </c>
      <c r="B36" s="40" t="s">
        <v>134</v>
      </c>
      <c r="C36" s="44">
        <f t="shared" ref="C36:D36" si="3">C37+C38</f>
        <v>0</v>
      </c>
      <c r="D36" s="44">
        <f t="shared" si="3"/>
        <v>0</v>
      </c>
    </row>
    <row r="37" spans="1:4">
      <c r="A37" s="10"/>
      <c r="B37" s="43" t="s">
        <v>137</v>
      </c>
      <c r="C37" s="45"/>
      <c r="D37" s="45"/>
    </row>
    <row r="38" spans="1:4">
      <c r="A38" s="10"/>
      <c r="B38" s="43" t="s">
        <v>135</v>
      </c>
      <c r="C38" s="45"/>
      <c r="D38" s="45"/>
    </row>
    <row r="39" spans="1:4">
      <c r="A39" s="31"/>
      <c r="B39" s="32" t="s">
        <v>112</v>
      </c>
      <c r="C39" s="34">
        <f t="shared" ref="C39:D39" si="4">C27+C26</f>
        <v>4326122</v>
      </c>
      <c r="D39" s="34">
        <f t="shared" si="4"/>
        <v>4555647</v>
      </c>
    </row>
  </sheetData>
  <printOptions horizontalCentered="1"/>
  <pageMargins left="0.70866141732283472" right="0.70866141732283472" top="0.9916666666666667" bottom="0.74803149606299213" header="0.31496062992125984" footer="0.31496062992125984"/>
  <pageSetup paperSize="9" scale="90" orientation="portrait" r:id="rId1"/>
  <headerFooter>
    <oddHeader>&amp;L2/B. melléklet a 20/2014. (VI.30.) önkormányzati rendelethez&amp;C&amp;"-,Félkövér"&amp;16
Az Önkormányzat 2014. évi kiadásai jogcímenként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E37"/>
  <sheetViews>
    <sheetView view="pageBreakPreview" zoomScaleNormal="100" zoomScaleSheetLayoutView="100" workbookViewId="0">
      <selection activeCell="A2" sqref="A2"/>
    </sheetView>
  </sheetViews>
  <sheetFormatPr defaultRowHeight="15"/>
  <cols>
    <col min="1" max="1" width="9.85546875" style="73" customWidth="1"/>
    <col min="2" max="2" width="48.7109375" style="72" customWidth="1"/>
    <col min="3" max="3" width="15.85546875" style="26" bestFit="1" customWidth="1"/>
    <col min="4" max="4" width="10.85546875" style="26" bestFit="1" customWidth="1"/>
    <col min="5" max="5" width="14.85546875" style="26" customWidth="1"/>
  </cols>
  <sheetData>
    <row r="2" spans="1:5" s="3" customFormat="1" ht="45">
      <c r="A2" s="70" t="s">
        <v>152</v>
      </c>
      <c r="B2" s="71" t="s">
        <v>58</v>
      </c>
      <c r="C2" s="18" t="s">
        <v>87</v>
      </c>
      <c r="D2" s="18" t="s">
        <v>61</v>
      </c>
      <c r="E2" s="18" t="s">
        <v>57</v>
      </c>
    </row>
    <row r="3" spans="1:5" s="3" customFormat="1">
      <c r="A3" s="108" t="s">
        <v>159</v>
      </c>
      <c r="B3" s="112" t="s">
        <v>156</v>
      </c>
      <c r="C3" s="33">
        <f>C4+C14</f>
        <v>510891</v>
      </c>
      <c r="D3" s="33">
        <f>D4+D14</f>
        <v>519026</v>
      </c>
      <c r="E3" s="33">
        <f>E4+E14</f>
        <v>401673</v>
      </c>
    </row>
    <row r="4" spans="1:5">
      <c r="A4" s="6"/>
      <c r="B4" s="38" t="s">
        <v>153</v>
      </c>
      <c r="C4" s="39">
        <f>SUM(C6:C13)</f>
        <v>371647</v>
      </c>
      <c r="D4" s="39">
        <f>SUM(D6:D13)</f>
        <v>380718</v>
      </c>
      <c r="E4" s="39">
        <f>SUM(E5:E13)</f>
        <v>193942</v>
      </c>
    </row>
    <row r="5" spans="1:5">
      <c r="A5" s="74"/>
      <c r="B5" s="75" t="s">
        <v>172</v>
      </c>
      <c r="C5" s="17"/>
      <c r="D5" s="17"/>
      <c r="E5" s="17">
        <v>10097</v>
      </c>
    </row>
    <row r="6" spans="1:5">
      <c r="A6" s="74"/>
      <c r="B6" s="75" t="s">
        <v>169</v>
      </c>
      <c r="C6" s="17">
        <v>18880</v>
      </c>
      <c r="D6" s="17">
        <v>18880</v>
      </c>
      <c r="E6" s="17">
        <v>14113</v>
      </c>
    </row>
    <row r="7" spans="1:5">
      <c r="A7" s="74"/>
      <c r="B7" s="75" t="s">
        <v>168</v>
      </c>
      <c r="C7" s="17">
        <f>451925-C16-C18-C19-C20-C21</f>
        <v>316425</v>
      </c>
      <c r="D7" s="17">
        <f>453404-D16-D18-D19-D20-D21</f>
        <v>318840</v>
      </c>
      <c r="E7" s="17">
        <v>147935</v>
      </c>
    </row>
    <row r="8" spans="1:5">
      <c r="A8" s="74"/>
      <c r="B8" s="75" t="s">
        <v>164</v>
      </c>
      <c r="C8" s="17">
        <v>19050</v>
      </c>
      <c r="D8" s="17">
        <v>8890</v>
      </c>
      <c r="E8" s="17">
        <v>0</v>
      </c>
    </row>
    <row r="9" spans="1:5">
      <c r="A9" s="74"/>
      <c r="B9" s="75" t="s">
        <v>170</v>
      </c>
      <c r="C9" s="17">
        <v>16689</v>
      </c>
      <c r="D9" s="17">
        <v>18250</v>
      </c>
      <c r="E9" s="17">
        <v>17963</v>
      </c>
    </row>
    <row r="10" spans="1:5" ht="30">
      <c r="A10" s="74"/>
      <c r="B10" s="111" t="s">
        <v>166</v>
      </c>
      <c r="C10" s="16">
        <v>603</v>
      </c>
      <c r="D10" s="16">
        <v>603</v>
      </c>
      <c r="E10" s="16">
        <v>1334</v>
      </c>
    </row>
    <row r="11" spans="1:5">
      <c r="A11" s="74"/>
      <c r="B11" s="111" t="s">
        <v>175</v>
      </c>
      <c r="C11" s="16"/>
      <c r="D11" s="16"/>
      <c r="E11" s="16">
        <v>2500</v>
      </c>
    </row>
    <row r="12" spans="1:5">
      <c r="A12" s="74"/>
      <c r="B12" s="75" t="s">
        <v>167</v>
      </c>
      <c r="C12" s="17">
        <v>0</v>
      </c>
      <c r="D12" s="17">
        <v>0</v>
      </c>
      <c r="E12" s="17">
        <v>0</v>
      </c>
    </row>
    <row r="13" spans="1:5">
      <c r="A13" s="74"/>
      <c r="B13" s="75" t="s">
        <v>154</v>
      </c>
      <c r="C13" s="17">
        <v>0</v>
      </c>
      <c r="D13" s="17">
        <v>15255</v>
      </c>
      <c r="E13" s="17"/>
    </row>
    <row r="14" spans="1:5">
      <c r="A14" s="6"/>
      <c r="B14" s="38" t="s">
        <v>155</v>
      </c>
      <c r="C14" s="39">
        <f>SUM(C15:C22)</f>
        <v>139244</v>
      </c>
      <c r="D14" s="39">
        <f t="shared" ref="D14" si="0">SUM(D15:D22)</f>
        <v>138308</v>
      </c>
      <c r="E14" s="39">
        <f>SUM(E15:E37)</f>
        <v>207731</v>
      </c>
    </row>
    <row r="15" spans="1:5">
      <c r="A15" s="74"/>
      <c r="B15" s="75" t="s">
        <v>165</v>
      </c>
      <c r="C15" s="17">
        <v>3744</v>
      </c>
      <c r="D15" s="17">
        <v>3744</v>
      </c>
      <c r="E15" s="17">
        <v>3744</v>
      </c>
    </row>
    <row r="16" spans="1:5">
      <c r="A16" s="74"/>
      <c r="B16" s="75" t="s">
        <v>160</v>
      </c>
      <c r="C16" s="17">
        <v>125800</v>
      </c>
      <c r="D16" s="17">
        <v>125800</v>
      </c>
      <c r="E16" s="17">
        <v>100000</v>
      </c>
    </row>
    <row r="17" spans="1:5">
      <c r="A17" s="74"/>
      <c r="B17" s="75" t="s">
        <v>171</v>
      </c>
      <c r="C17" s="17">
        <v>0</v>
      </c>
      <c r="D17" s="17">
        <v>0</v>
      </c>
      <c r="E17" s="17">
        <v>45361</v>
      </c>
    </row>
    <row r="18" spans="1:5">
      <c r="A18" s="74"/>
      <c r="B18" s="75" t="s">
        <v>161</v>
      </c>
      <c r="C18" s="17">
        <v>5000</v>
      </c>
      <c r="D18" s="17">
        <v>5000</v>
      </c>
      <c r="E18" s="17">
        <v>5000</v>
      </c>
    </row>
    <row r="19" spans="1:5" ht="30">
      <c r="A19" s="74"/>
      <c r="B19" s="111" t="s">
        <v>162</v>
      </c>
      <c r="C19" s="16">
        <v>3000</v>
      </c>
      <c r="D19" s="16">
        <v>375</v>
      </c>
      <c r="E19" s="16"/>
    </row>
    <row r="20" spans="1:5" ht="30">
      <c r="A20" s="74"/>
      <c r="B20" s="111" t="s">
        <v>163</v>
      </c>
      <c r="C20" s="16">
        <v>0</v>
      </c>
      <c r="D20" s="16">
        <v>1689</v>
      </c>
      <c r="E20" s="16">
        <v>0</v>
      </c>
    </row>
    <row r="21" spans="1:5">
      <c r="A21" s="74"/>
      <c r="B21" s="75" t="s">
        <v>173</v>
      </c>
      <c r="C21" s="17">
        <v>1700</v>
      </c>
      <c r="D21" s="17">
        <v>1700</v>
      </c>
      <c r="E21" s="17">
        <v>1700</v>
      </c>
    </row>
    <row r="22" spans="1:5">
      <c r="A22" s="74"/>
      <c r="B22" s="75" t="s">
        <v>178</v>
      </c>
      <c r="C22" s="17"/>
      <c r="D22" s="17"/>
      <c r="E22" s="17">
        <v>1000</v>
      </c>
    </row>
    <row r="23" spans="1:5">
      <c r="A23" s="74"/>
      <c r="B23" s="75" t="s">
        <v>179</v>
      </c>
      <c r="C23" s="17"/>
      <c r="D23" s="17"/>
      <c r="E23" s="17">
        <v>5779</v>
      </c>
    </row>
    <row r="24" spans="1:5">
      <c r="A24" s="74"/>
      <c r="B24" s="75" t="s">
        <v>174</v>
      </c>
      <c r="C24" s="17"/>
      <c r="D24" s="17"/>
      <c r="E24" s="17">
        <v>2811</v>
      </c>
    </row>
    <row r="25" spans="1:5">
      <c r="A25" s="74"/>
      <c r="B25" s="75" t="s">
        <v>176</v>
      </c>
      <c r="C25" s="17"/>
      <c r="D25" s="17"/>
      <c r="E25" s="17">
        <v>2000</v>
      </c>
    </row>
    <row r="26" spans="1:5" s="2" customFormat="1" ht="30">
      <c r="A26" s="74"/>
      <c r="B26" s="111" t="s">
        <v>177</v>
      </c>
      <c r="C26" s="16"/>
      <c r="D26" s="16"/>
      <c r="E26" s="16">
        <v>9000</v>
      </c>
    </row>
    <row r="27" spans="1:5">
      <c r="A27" s="74"/>
      <c r="B27" s="75" t="s">
        <v>180</v>
      </c>
      <c r="C27" s="17"/>
      <c r="D27" s="17"/>
      <c r="E27" s="17">
        <v>1000</v>
      </c>
    </row>
    <row r="28" spans="1:5">
      <c r="A28" s="74"/>
      <c r="B28" s="75" t="s">
        <v>161</v>
      </c>
      <c r="C28" s="17"/>
      <c r="D28" s="17"/>
      <c r="E28" s="17"/>
    </row>
    <row r="29" spans="1:5">
      <c r="A29" s="74"/>
      <c r="B29" s="75" t="s">
        <v>181</v>
      </c>
      <c r="C29" s="17"/>
      <c r="D29" s="17"/>
      <c r="E29" s="17">
        <v>1750</v>
      </c>
    </row>
    <row r="30" spans="1:5">
      <c r="A30" s="74"/>
      <c r="B30" s="75" t="s">
        <v>182</v>
      </c>
      <c r="C30" s="17"/>
      <c r="D30" s="17"/>
      <c r="E30" s="17">
        <v>1270</v>
      </c>
    </row>
    <row r="31" spans="1:5">
      <c r="A31" s="74"/>
      <c r="B31" s="75" t="s">
        <v>183</v>
      </c>
      <c r="C31" s="17"/>
      <c r="D31" s="17"/>
      <c r="E31" s="17">
        <v>2047</v>
      </c>
    </row>
    <row r="32" spans="1:5">
      <c r="A32" s="74"/>
      <c r="B32" s="75" t="s">
        <v>184</v>
      </c>
      <c r="C32" s="17"/>
      <c r="D32" s="17"/>
      <c r="E32" s="17">
        <v>2286</v>
      </c>
    </row>
    <row r="33" spans="1:5">
      <c r="A33" s="74"/>
      <c r="B33" s="75" t="s">
        <v>185</v>
      </c>
      <c r="C33" s="17"/>
      <c r="D33" s="17"/>
      <c r="E33" s="17">
        <v>2700</v>
      </c>
    </row>
    <row r="34" spans="1:5">
      <c r="A34" s="74"/>
      <c r="B34" s="75" t="s">
        <v>186</v>
      </c>
      <c r="C34" s="17"/>
      <c r="D34" s="17"/>
      <c r="E34" s="17">
        <v>2400</v>
      </c>
    </row>
    <row r="35" spans="1:5">
      <c r="A35" s="74"/>
      <c r="B35" s="75" t="s">
        <v>187</v>
      </c>
      <c r="C35" s="17"/>
      <c r="D35" s="17"/>
      <c r="E35" s="17">
        <v>1500</v>
      </c>
    </row>
    <row r="36" spans="1:5">
      <c r="A36" s="74"/>
      <c r="B36" s="75" t="s">
        <v>189</v>
      </c>
      <c r="C36" s="17"/>
      <c r="D36" s="17"/>
      <c r="E36" s="17">
        <v>10668</v>
      </c>
    </row>
    <row r="37" spans="1:5">
      <c r="A37" s="74"/>
      <c r="B37" s="75" t="s">
        <v>188</v>
      </c>
      <c r="C37" s="17"/>
      <c r="D37" s="17"/>
      <c r="E37" s="17">
        <v>5715</v>
      </c>
    </row>
  </sheetData>
  <pageMargins left="0.7" right="0.7" top="0.75" bottom="0.75" header="0.3" footer="0.3"/>
  <pageSetup paperSize="9" scale="87" orientation="portrait" r:id="rId1"/>
  <headerFooter>
    <oddHeader>&amp;L4/1. melléklet&amp;C&amp;"-,Félkövér"&amp;16
Az Önkormányzat dologi kiadásai feladatonként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T130"/>
  <sheetViews>
    <sheetView view="pageLayout" topLeftCell="I1" zoomScaleNormal="100" zoomScaleSheetLayoutView="100" workbookViewId="0">
      <selection activeCell="J15" sqref="J15"/>
    </sheetView>
  </sheetViews>
  <sheetFormatPr defaultRowHeight="15"/>
  <cols>
    <col min="1" max="1" width="6.5703125" style="73" customWidth="1"/>
    <col min="2" max="2" width="49.140625" style="72" customWidth="1"/>
    <col min="3" max="3" width="9.5703125" style="72" customWidth="1"/>
    <col min="4" max="4" width="10.85546875" style="72" customWidth="1"/>
    <col min="5" max="5" width="9.5703125" style="72" customWidth="1"/>
    <col min="6" max="6" width="11.42578125" style="72" customWidth="1"/>
    <col min="7" max="8" width="10.5703125" style="26" customWidth="1"/>
    <col min="9" max="9" width="9.7109375" style="26" customWidth="1"/>
    <col min="10" max="10" width="11.42578125" style="26" customWidth="1"/>
    <col min="11" max="11" width="10.140625" style="26" bestFit="1" customWidth="1"/>
    <col min="12" max="12" width="11.7109375" style="26" customWidth="1"/>
    <col min="13" max="13" width="10.28515625" style="26" customWidth="1"/>
    <col min="14" max="14" width="11.7109375" style="26" customWidth="1"/>
    <col min="15" max="18" width="11" style="26" customWidth="1"/>
    <col min="19" max="19" width="14" style="26" bestFit="1" customWidth="1"/>
    <col min="20" max="20" width="14" style="26" customWidth="1"/>
  </cols>
  <sheetData>
    <row r="1" spans="1:20">
      <c r="H1" s="566" t="s">
        <v>0</v>
      </c>
      <c r="K1" s="566"/>
      <c r="L1" s="566"/>
      <c r="M1" s="566"/>
      <c r="N1" s="566"/>
      <c r="O1" s="566"/>
      <c r="P1" s="566"/>
      <c r="Q1" s="566"/>
      <c r="R1" s="566"/>
      <c r="S1" s="566"/>
      <c r="T1" s="566" t="s">
        <v>0</v>
      </c>
    </row>
    <row r="2" spans="1:20" ht="16.5" customHeight="1">
      <c r="A2" s="621" t="s">
        <v>152</v>
      </c>
      <c r="B2" s="624" t="s">
        <v>58</v>
      </c>
      <c r="C2" s="634" t="s">
        <v>446</v>
      </c>
      <c r="D2" s="634"/>
      <c r="E2" s="634" t="s">
        <v>405</v>
      </c>
      <c r="F2" s="634"/>
      <c r="G2" s="620" t="s">
        <v>204</v>
      </c>
      <c r="H2" s="620"/>
      <c r="I2" s="620" t="s">
        <v>205</v>
      </c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</row>
    <row r="3" spans="1:20" s="3" customFormat="1" ht="30" customHeight="1">
      <c r="A3" s="622"/>
      <c r="B3" s="625"/>
      <c r="C3" s="634"/>
      <c r="D3" s="634"/>
      <c r="E3" s="634"/>
      <c r="F3" s="634"/>
      <c r="G3" s="620"/>
      <c r="H3" s="620"/>
      <c r="I3" s="620" t="s">
        <v>213</v>
      </c>
      <c r="J3" s="620"/>
      <c r="K3" s="628" t="s">
        <v>206</v>
      </c>
      <c r="L3" s="628"/>
      <c r="M3" s="628" t="s">
        <v>207</v>
      </c>
      <c r="N3" s="628"/>
      <c r="O3" s="629" t="s">
        <v>527</v>
      </c>
      <c r="P3" s="629"/>
      <c r="Q3" s="630" t="s">
        <v>1865</v>
      </c>
      <c r="R3" s="631"/>
      <c r="S3" s="628" t="s">
        <v>208</v>
      </c>
      <c r="T3" s="628"/>
    </row>
    <row r="4" spans="1:20" s="3" customFormat="1" ht="30">
      <c r="A4" s="623"/>
      <c r="B4" s="626"/>
      <c r="C4" s="547" t="s">
        <v>1829</v>
      </c>
      <c r="D4" s="547" t="s">
        <v>1830</v>
      </c>
      <c r="E4" s="547" t="s">
        <v>1829</v>
      </c>
      <c r="F4" s="547" t="s">
        <v>1830</v>
      </c>
      <c r="G4" s="550" t="s">
        <v>1829</v>
      </c>
      <c r="H4" s="550" t="s">
        <v>1830</v>
      </c>
      <c r="I4" s="550" t="s">
        <v>1829</v>
      </c>
      <c r="J4" s="550" t="s">
        <v>1830</v>
      </c>
      <c r="K4" s="128" t="s">
        <v>1829</v>
      </c>
      <c r="L4" s="128" t="s">
        <v>1830</v>
      </c>
      <c r="M4" s="128" t="s">
        <v>1829</v>
      </c>
      <c r="N4" s="128" t="s">
        <v>1830</v>
      </c>
      <c r="O4" s="589" t="s">
        <v>1829</v>
      </c>
      <c r="P4" s="589" t="s">
        <v>1830</v>
      </c>
      <c r="Q4" s="589" t="s">
        <v>1829</v>
      </c>
      <c r="R4" s="589" t="s">
        <v>1830</v>
      </c>
      <c r="S4" s="128" t="s">
        <v>1829</v>
      </c>
      <c r="T4" s="128" t="s">
        <v>1830</v>
      </c>
    </row>
    <row r="5" spans="1:20" s="3" customFormat="1">
      <c r="A5" s="108" t="s">
        <v>3</v>
      </c>
      <c r="B5" s="112" t="s">
        <v>209</v>
      </c>
      <c r="C5" s="112"/>
      <c r="D5" s="112"/>
      <c r="E5" s="112"/>
      <c r="F5" s="112"/>
      <c r="G5" s="33">
        <f t="shared" ref="G5:T5" si="0">G6+G35+G124</f>
        <v>4326122</v>
      </c>
      <c r="H5" s="33">
        <f t="shared" si="0"/>
        <v>4555647</v>
      </c>
      <c r="I5" s="33">
        <f t="shared" si="0"/>
        <v>4326122</v>
      </c>
      <c r="J5" s="33">
        <f t="shared" si="0"/>
        <v>4555647</v>
      </c>
      <c r="K5" s="33">
        <f t="shared" si="0"/>
        <v>495867</v>
      </c>
      <c r="L5" s="33">
        <f t="shared" si="0"/>
        <v>651882</v>
      </c>
      <c r="M5" s="33">
        <f t="shared" si="0"/>
        <v>207774</v>
      </c>
      <c r="N5" s="33">
        <f t="shared" si="0"/>
        <v>211744</v>
      </c>
      <c r="O5" s="33">
        <f t="shared" si="0"/>
        <v>1272481</v>
      </c>
      <c r="P5" s="33">
        <f t="shared" si="0"/>
        <v>518473</v>
      </c>
      <c r="Q5" s="33">
        <f t="shared" si="0"/>
        <v>0</v>
      </c>
      <c r="R5" s="33">
        <f t="shared" si="0"/>
        <v>822500</v>
      </c>
      <c r="S5" s="33">
        <f t="shared" si="0"/>
        <v>2350000</v>
      </c>
      <c r="T5" s="33">
        <f t="shared" si="0"/>
        <v>2351048</v>
      </c>
    </row>
    <row r="6" spans="1:20">
      <c r="A6" s="127" t="s">
        <v>1</v>
      </c>
      <c r="B6" s="38" t="s">
        <v>153</v>
      </c>
      <c r="C6" s="38"/>
      <c r="D6" s="38"/>
      <c r="E6" s="38"/>
      <c r="F6" s="38"/>
      <c r="G6" s="39">
        <f>G7+G10+G12+G14+G16+G18+G21+G23+G25+G27+G31+G33</f>
        <v>832077</v>
      </c>
      <c r="H6" s="39">
        <f>H7+H10+H12+H14+H16+H18+H21+H23+H25+H27+H31+H33</f>
        <v>804860</v>
      </c>
      <c r="I6" s="39">
        <f t="shared" ref="I6:T6" si="1">I7+I10+I12+I14+I16+I18+I21+I23+I25+I27+I31+I33</f>
        <v>832077</v>
      </c>
      <c r="J6" s="39">
        <f t="shared" si="1"/>
        <v>804860</v>
      </c>
      <c r="K6" s="39">
        <f t="shared" si="1"/>
        <v>30038</v>
      </c>
      <c r="L6" s="39">
        <f t="shared" si="1"/>
        <v>42079</v>
      </c>
      <c r="M6" s="39">
        <f t="shared" si="1"/>
        <v>107774</v>
      </c>
      <c r="N6" s="39">
        <f t="shared" si="1"/>
        <v>108234</v>
      </c>
      <c r="O6" s="39">
        <f t="shared" si="1"/>
        <v>0</v>
      </c>
      <c r="P6" s="591">
        <f t="shared" si="1"/>
        <v>359916</v>
      </c>
      <c r="Q6" s="39">
        <f t="shared" si="1"/>
        <v>0</v>
      </c>
      <c r="R6" s="39">
        <f t="shared" si="1"/>
        <v>0</v>
      </c>
      <c r="S6" s="39">
        <f t="shared" si="1"/>
        <v>694265</v>
      </c>
      <c r="T6" s="39">
        <f t="shared" si="1"/>
        <v>294631</v>
      </c>
    </row>
    <row r="7" spans="1:20">
      <c r="A7" s="143" t="s">
        <v>3</v>
      </c>
      <c r="B7" s="144" t="s">
        <v>1443</v>
      </c>
      <c r="C7" s="144"/>
      <c r="D7" s="144"/>
      <c r="E7" s="144"/>
      <c r="F7" s="144"/>
      <c r="G7" s="22">
        <f>G8+G9</f>
        <v>34927</v>
      </c>
      <c r="H7" s="22">
        <f>H8+H9</f>
        <v>34927</v>
      </c>
      <c r="I7" s="22">
        <f>K7+M7+O7+S7</f>
        <v>34927</v>
      </c>
      <c r="J7" s="22">
        <f>L7+N7+P7+T7+R7</f>
        <v>34927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f>G7-K7-M7-O7</f>
        <v>34927</v>
      </c>
      <c r="T7" s="22">
        <f>H7-L7-N7-P7</f>
        <v>34927</v>
      </c>
    </row>
    <row r="8" spans="1:20">
      <c r="A8" s="74"/>
      <c r="B8" s="75" t="s">
        <v>214</v>
      </c>
      <c r="C8" s="75"/>
      <c r="D8" s="75"/>
      <c r="E8" s="75"/>
      <c r="F8" s="75"/>
      <c r="G8" s="17">
        <f>'ÖK kiad'!G26</f>
        <v>10097</v>
      </c>
      <c r="H8" s="17">
        <v>10097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>
      <c r="A9" s="74"/>
      <c r="B9" s="75" t="s">
        <v>1407</v>
      </c>
      <c r="C9" s="75"/>
      <c r="D9" s="75"/>
      <c r="E9" s="75"/>
      <c r="F9" s="75"/>
      <c r="G9" s="17">
        <f>'ÖK kiad'!G56</f>
        <v>24830</v>
      </c>
      <c r="H9" s="17">
        <v>24830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>
      <c r="A10" s="143" t="s">
        <v>4</v>
      </c>
      <c r="B10" s="144" t="s">
        <v>1444</v>
      </c>
      <c r="C10" s="144"/>
      <c r="D10" s="144"/>
      <c r="E10" s="144"/>
      <c r="F10" s="144"/>
      <c r="G10" s="22">
        <f>G11</f>
        <v>14337</v>
      </c>
      <c r="H10" s="22">
        <f>H11</f>
        <v>22285</v>
      </c>
      <c r="I10" s="22">
        <f>K10+M10+O10+S10</f>
        <v>14337</v>
      </c>
      <c r="J10" s="22">
        <f>L10+N10+P10+T10+R10</f>
        <v>22285</v>
      </c>
      <c r="K10" s="22">
        <v>0</v>
      </c>
      <c r="L10" s="22">
        <v>0</v>
      </c>
      <c r="M10" s="22">
        <v>28</v>
      </c>
      <c r="N10" s="22">
        <v>28</v>
      </c>
      <c r="O10" s="22">
        <v>0</v>
      </c>
      <c r="P10" s="22">
        <v>0</v>
      </c>
      <c r="Q10" s="22">
        <v>0</v>
      </c>
      <c r="R10" s="22">
        <v>0</v>
      </c>
      <c r="S10" s="22">
        <f>G10-K10-M10-O10</f>
        <v>14309</v>
      </c>
      <c r="T10" s="22">
        <f>H10-L10-N10-P10</f>
        <v>22257</v>
      </c>
    </row>
    <row r="11" spans="1:20">
      <c r="A11" s="74"/>
      <c r="B11" s="75" t="s">
        <v>214</v>
      </c>
      <c r="C11" s="75"/>
      <c r="D11" s="75"/>
      <c r="E11" s="75"/>
      <c r="F11" s="75"/>
      <c r="G11" s="17">
        <f>'ÖK kiad'!H26</f>
        <v>14337</v>
      </c>
      <c r="H11" s="17">
        <f>14337+5000+2948</f>
        <v>22285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>
      <c r="A12" s="143" t="s">
        <v>5</v>
      </c>
      <c r="B12" s="144" t="s">
        <v>1445</v>
      </c>
      <c r="C12" s="144"/>
      <c r="D12" s="144"/>
      <c r="E12" s="144"/>
      <c r="F12" s="144"/>
      <c r="G12" s="22">
        <f>G13</f>
        <v>18694</v>
      </c>
      <c r="H12" s="22">
        <f>H13</f>
        <v>18694</v>
      </c>
      <c r="I12" s="22">
        <f>K12+M12+O12+S12</f>
        <v>18694</v>
      </c>
      <c r="J12" s="22">
        <f>L12+N12+P12+T12+R12</f>
        <v>18694</v>
      </c>
      <c r="K12" s="22">
        <v>0</v>
      </c>
      <c r="L12" s="22">
        <v>0</v>
      </c>
      <c r="M12" s="22">
        <v>18694</v>
      </c>
      <c r="N12" s="22">
        <v>18694</v>
      </c>
      <c r="O12" s="22">
        <v>0</v>
      </c>
      <c r="P12" s="22">
        <v>0</v>
      </c>
      <c r="Q12" s="22">
        <v>0</v>
      </c>
      <c r="R12" s="22">
        <v>0</v>
      </c>
      <c r="S12" s="22">
        <f>G12-K12-M12-O12</f>
        <v>0</v>
      </c>
      <c r="T12" s="22">
        <f>H12-L12-N12-P12</f>
        <v>0</v>
      </c>
    </row>
    <row r="13" spans="1:20">
      <c r="A13" s="74"/>
      <c r="B13" s="75" t="s">
        <v>214</v>
      </c>
      <c r="C13" s="75"/>
      <c r="D13" s="75"/>
      <c r="E13" s="75"/>
      <c r="F13" s="75"/>
      <c r="G13" s="17">
        <f>'ÖK kiad'!I26</f>
        <v>18694</v>
      </c>
      <c r="H13" s="17">
        <v>18694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>
      <c r="A14" s="143" t="s">
        <v>6</v>
      </c>
      <c r="B14" s="144" t="s">
        <v>1446</v>
      </c>
      <c r="C14" s="144"/>
      <c r="D14" s="144"/>
      <c r="E14" s="144"/>
      <c r="F14" s="144"/>
      <c r="G14" s="22">
        <f>G15</f>
        <v>996</v>
      </c>
      <c r="H14" s="22">
        <f>H15</f>
        <v>996</v>
      </c>
      <c r="I14" s="22">
        <f>K14+M14+O14+S14</f>
        <v>996</v>
      </c>
      <c r="J14" s="22">
        <f>L14+N14+P14+T14+R14</f>
        <v>996</v>
      </c>
      <c r="K14" s="22">
        <v>996</v>
      </c>
      <c r="L14" s="22">
        <v>996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f>G14-K14-M14-O14</f>
        <v>0</v>
      </c>
      <c r="T14" s="22">
        <f>H14-L14-N14-P14</f>
        <v>0</v>
      </c>
    </row>
    <row r="15" spans="1:20">
      <c r="A15" s="74"/>
      <c r="B15" s="75" t="s">
        <v>214</v>
      </c>
      <c r="C15" s="75"/>
      <c r="D15" s="75"/>
      <c r="E15" s="75"/>
      <c r="F15" s="75"/>
      <c r="G15" s="17">
        <f>'ÖK kiad'!J26</f>
        <v>996</v>
      </c>
      <c r="H15" s="17">
        <v>996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>
      <c r="A16" s="143" t="s">
        <v>106</v>
      </c>
      <c r="B16" s="144" t="s">
        <v>1447</v>
      </c>
      <c r="C16" s="144"/>
      <c r="D16" s="144"/>
      <c r="E16" s="144"/>
      <c r="F16" s="144"/>
      <c r="G16" s="22">
        <f>G17</f>
        <v>2185</v>
      </c>
      <c r="H16" s="22">
        <f>H17</f>
        <v>2185</v>
      </c>
      <c r="I16" s="22">
        <f>K16+M16+O16+S16</f>
        <v>2185</v>
      </c>
      <c r="J16" s="22">
        <f>L16+N16+P16+T16+R16</f>
        <v>2185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f>G16-K16-M16-O16</f>
        <v>2185</v>
      </c>
      <c r="T16" s="22">
        <f>H16-L16-N16-P16</f>
        <v>2185</v>
      </c>
    </row>
    <row r="17" spans="1:20">
      <c r="A17" s="74"/>
      <c r="B17" s="111" t="s">
        <v>214</v>
      </c>
      <c r="C17" s="111"/>
      <c r="D17" s="111"/>
      <c r="E17" s="111"/>
      <c r="F17" s="111"/>
      <c r="G17" s="16">
        <f>'ÖK kiad'!K26</f>
        <v>2185</v>
      </c>
      <c r="H17" s="16">
        <v>2185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spans="1:20">
      <c r="A18" s="143" t="s">
        <v>1411</v>
      </c>
      <c r="B18" s="144" t="s">
        <v>1448</v>
      </c>
      <c r="C18" s="144"/>
      <c r="D18" s="144"/>
      <c r="E18" s="144"/>
      <c r="F18" s="144"/>
      <c r="G18" s="22">
        <f>G19+G20</f>
        <v>4354</v>
      </c>
      <c r="H18" s="22">
        <f>H19+H20</f>
        <v>0</v>
      </c>
      <c r="I18" s="22">
        <f>K18+M18+O18+S18</f>
        <v>4354</v>
      </c>
      <c r="J18" s="22">
        <f>L18+N18+P18+T18+R18</f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f>G18-K18-M18-O18</f>
        <v>4354</v>
      </c>
      <c r="T18" s="22">
        <f>H18-L18-N18-P18</f>
        <v>0</v>
      </c>
    </row>
    <row r="19" spans="1:20">
      <c r="A19" s="74"/>
      <c r="B19" s="111" t="s">
        <v>214</v>
      </c>
      <c r="C19" s="111"/>
      <c r="D19" s="111"/>
      <c r="E19" s="111"/>
      <c r="F19" s="111"/>
      <c r="G19" s="16">
        <f>'ÖK kiad'!L26</f>
        <v>4100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1:20">
      <c r="A20" s="74"/>
      <c r="B20" s="111" t="s">
        <v>398</v>
      </c>
      <c r="C20" s="111"/>
      <c r="D20" s="111"/>
      <c r="E20" s="111"/>
      <c r="F20" s="111"/>
      <c r="G20" s="16">
        <f>'ÖK kiad'!L56</f>
        <v>254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1:20">
      <c r="A21" s="143" t="s">
        <v>1412</v>
      </c>
      <c r="B21" s="144" t="s">
        <v>1449</v>
      </c>
      <c r="C21" s="144"/>
      <c r="D21" s="144"/>
      <c r="E21" s="144"/>
      <c r="F21" s="144"/>
      <c r="G21" s="22">
        <f>G22</f>
        <v>559</v>
      </c>
      <c r="H21" s="22">
        <f>H22</f>
        <v>559</v>
      </c>
      <c r="I21" s="22">
        <f>K21+M21+O21+S21</f>
        <v>559</v>
      </c>
      <c r="J21" s="22">
        <f>L21+N21+P21+T21+R21</f>
        <v>559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f>G21-K21-M21-O21</f>
        <v>559</v>
      </c>
      <c r="T21" s="22">
        <f>H21-L21-N21-P21</f>
        <v>559</v>
      </c>
    </row>
    <row r="22" spans="1:20">
      <c r="A22" s="74"/>
      <c r="B22" s="75" t="s">
        <v>214</v>
      </c>
      <c r="C22" s="75"/>
      <c r="D22" s="75"/>
      <c r="E22" s="75"/>
      <c r="F22" s="75"/>
      <c r="G22" s="17">
        <f>'ÖK kiad'!M26</f>
        <v>559</v>
      </c>
      <c r="H22" s="17">
        <v>559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1:20">
      <c r="A23" s="143" t="s">
        <v>1413</v>
      </c>
      <c r="B23" s="144" t="s">
        <v>399</v>
      </c>
      <c r="C23" s="144"/>
      <c r="D23" s="144"/>
      <c r="E23" s="144"/>
      <c r="F23" s="144"/>
      <c r="G23" s="22">
        <f>G24</f>
        <v>18281</v>
      </c>
      <c r="H23" s="22">
        <f>H24</f>
        <v>18281</v>
      </c>
      <c r="I23" s="22">
        <f>K23+M23+O23+S23</f>
        <v>18281</v>
      </c>
      <c r="J23" s="22">
        <f>L23+N23+P23+T23+R23</f>
        <v>18281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f>G23-K23-M23-O23</f>
        <v>18281</v>
      </c>
      <c r="T23" s="22">
        <f>H23-L23-N23-P23</f>
        <v>18281</v>
      </c>
    </row>
    <row r="24" spans="1:20">
      <c r="A24" s="74"/>
      <c r="B24" s="75" t="s">
        <v>214</v>
      </c>
      <c r="C24" s="75"/>
      <c r="D24" s="75"/>
      <c r="E24" s="75"/>
      <c r="F24" s="75"/>
      <c r="G24" s="17">
        <f>'ÖK kiad'!N26</f>
        <v>18281</v>
      </c>
      <c r="H24" s="17">
        <v>18281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1:20">
      <c r="A25" s="143" t="s">
        <v>1414</v>
      </c>
      <c r="B25" s="144" t="s">
        <v>1450</v>
      </c>
      <c r="C25" s="144"/>
      <c r="D25" s="144"/>
      <c r="E25" s="144"/>
      <c r="F25" s="144"/>
      <c r="G25" s="22">
        <f>G26</f>
        <v>6429</v>
      </c>
      <c r="H25" s="22">
        <f>H26</f>
        <v>6429</v>
      </c>
      <c r="I25" s="22">
        <f>K25+M25+O25+S25</f>
        <v>6429</v>
      </c>
      <c r="J25" s="22">
        <f>L25+N25+P25+T25+R25</f>
        <v>6429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f>G25-K25-M25-O25</f>
        <v>6429</v>
      </c>
      <c r="T25" s="22">
        <f>H25-L25-N25-P25</f>
        <v>6429</v>
      </c>
    </row>
    <row r="26" spans="1:20">
      <c r="A26" s="74"/>
      <c r="B26" s="75" t="s">
        <v>214</v>
      </c>
      <c r="C26" s="75"/>
      <c r="D26" s="75"/>
      <c r="E26" s="75"/>
      <c r="F26" s="75"/>
      <c r="G26" s="17">
        <f>'ÖK kiad'!O26</f>
        <v>6429</v>
      </c>
      <c r="H26" s="17">
        <v>6429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1:20">
      <c r="A27" s="143" t="s">
        <v>1415</v>
      </c>
      <c r="B27" s="144" t="s">
        <v>1451</v>
      </c>
      <c r="C27" s="144"/>
      <c r="D27" s="144"/>
      <c r="E27" s="144"/>
      <c r="F27" s="144"/>
      <c r="G27" s="22">
        <f>G28+G29+G30</f>
        <v>710178</v>
      </c>
      <c r="H27" s="22">
        <f>H28+H29+H30</f>
        <v>679367</v>
      </c>
      <c r="I27" s="22">
        <f>K27+M27+O27+S27</f>
        <v>710178</v>
      </c>
      <c r="J27" s="22">
        <f>L27+N27+P27+T27+R27</f>
        <v>679367</v>
      </c>
      <c r="K27" s="22">
        <f>'2A Önk bev'!C7+'2A Önk bev'!C11</f>
        <v>29042</v>
      </c>
      <c r="L27" s="22">
        <f>'2A Önk bev'!C7+'2A Önk bev'!C11+165+2359+927</f>
        <v>32493</v>
      </c>
      <c r="M27" s="22">
        <v>89052</v>
      </c>
      <c r="N27" s="22">
        <f>89052+460</f>
        <v>89512</v>
      </c>
      <c r="O27" s="22">
        <v>0</v>
      </c>
      <c r="P27" s="22">
        <v>359916</v>
      </c>
      <c r="Q27" s="22">
        <v>0</v>
      </c>
      <c r="R27" s="22">
        <v>0</v>
      </c>
      <c r="S27" s="22">
        <f>G27-K27-M27-O27</f>
        <v>592084</v>
      </c>
      <c r="T27" s="22">
        <f>H27-L27-N27-P27</f>
        <v>197446</v>
      </c>
    </row>
    <row r="28" spans="1:20">
      <c r="A28" s="74"/>
      <c r="B28" s="75" t="s">
        <v>214</v>
      </c>
      <c r="C28" s="75"/>
      <c r="D28" s="75"/>
      <c r="E28" s="75"/>
      <c r="F28" s="75"/>
      <c r="G28" s="17">
        <f>'ÖK kiad'!Q26</f>
        <v>195313</v>
      </c>
      <c r="H28" s="17">
        <f>195313+927+2000-1100+109</f>
        <v>197249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0">
      <c r="A29" s="74"/>
      <c r="B29" s="75" t="s">
        <v>528</v>
      </c>
      <c r="C29" s="75"/>
      <c r="D29" s="75"/>
      <c r="E29" s="75"/>
      <c r="F29" s="75"/>
      <c r="G29" s="17">
        <f>'ÖK kiad'!Q47</f>
        <v>514065</v>
      </c>
      <c r="H29" s="586">
        <f>514065+8590+165+2359+2460-2000+1048-2413-2413-60-4800-1680-2000-32690-5000-400-6000-1270-5000-2948-500-5000-300-4701-1177-965-500-497+52024+9851-19119-3810+6617-96-3901-658-1402-4561</f>
        <v>481318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1:20">
      <c r="A30" s="74"/>
      <c r="B30" s="75" t="s">
        <v>398</v>
      </c>
      <c r="C30" s="75"/>
      <c r="D30" s="75"/>
      <c r="E30" s="75"/>
      <c r="F30" s="75"/>
      <c r="G30" s="17">
        <f>'ÖK kiad'!Q56</f>
        <v>800</v>
      </c>
      <c r="H30" s="17">
        <v>800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>
      <c r="A31" s="143" t="s">
        <v>1416</v>
      </c>
      <c r="B31" s="144" t="s">
        <v>1452</v>
      </c>
      <c r="C31" s="144"/>
      <c r="D31" s="144"/>
      <c r="E31" s="144"/>
      <c r="F31" s="144"/>
      <c r="G31" s="22">
        <f>G32</f>
        <v>370</v>
      </c>
      <c r="H31" s="22">
        <f>H32</f>
        <v>370</v>
      </c>
      <c r="I31" s="22">
        <f>K31+M31+O31+S31</f>
        <v>370</v>
      </c>
      <c r="J31" s="22">
        <f>L31+N31+P31+T31+R31</f>
        <v>370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f>G31-K31-M31-O31</f>
        <v>370</v>
      </c>
      <c r="T31" s="22">
        <f>H31-L31-N31-P31</f>
        <v>370</v>
      </c>
    </row>
    <row r="32" spans="1:20">
      <c r="A32" s="74"/>
      <c r="B32" s="75" t="s">
        <v>214</v>
      </c>
      <c r="C32" s="75"/>
      <c r="D32" s="75"/>
      <c r="E32" s="75"/>
      <c r="F32" s="75"/>
      <c r="G32" s="17">
        <f>'ÖK kiad'!P26</f>
        <v>370</v>
      </c>
      <c r="H32" s="17">
        <v>370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1:20">
      <c r="A33" s="143" t="s">
        <v>1417</v>
      </c>
      <c r="B33" s="144" t="s">
        <v>1453</v>
      </c>
      <c r="C33" s="144"/>
      <c r="D33" s="144"/>
      <c r="E33" s="144"/>
      <c r="F33" s="144"/>
      <c r="G33" s="22">
        <f>G34</f>
        <v>20767</v>
      </c>
      <c r="H33" s="22">
        <f>H34</f>
        <v>20767</v>
      </c>
      <c r="I33" s="22">
        <f>K33+M33+O33+S33</f>
        <v>20767</v>
      </c>
      <c r="J33" s="22">
        <f>L33+N33+P33+T33+R33</f>
        <v>20767</v>
      </c>
      <c r="K33" s="22">
        <v>0</v>
      </c>
      <c r="L33" s="22">
        <f>0+8590</f>
        <v>8590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f>G33-K33-M33-O33</f>
        <v>20767</v>
      </c>
      <c r="T33" s="22">
        <f>H33-L33-N33-P33</f>
        <v>12177</v>
      </c>
    </row>
    <row r="34" spans="1:20">
      <c r="A34" s="74"/>
      <c r="B34" s="75" t="s">
        <v>105</v>
      </c>
      <c r="C34" s="75"/>
      <c r="D34" s="75"/>
      <c r="E34" s="75"/>
      <c r="F34" s="75"/>
      <c r="G34" s="17">
        <f>'ÖK kiad'!R35</f>
        <v>20767</v>
      </c>
      <c r="H34" s="17">
        <v>20767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1:20">
      <c r="A35" s="127" t="s">
        <v>13</v>
      </c>
      <c r="B35" s="38" t="s">
        <v>155</v>
      </c>
      <c r="C35" s="38"/>
      <c r="D35" s="38"/>
      <c r="E35" s="38"/>
      <c r="F35" s="38"/>
      <c r="G35" s="39">
        <f>G36+G38+G40+G43+G45+G47+G49+G51+G53+G55+G57+G59+G61+G63+G65+G67+G69+G71+G73+G75+G77+G79+G81+G83+G85+G87+G89+G92+G95+G97+G99+G101+G103+G105+G107+G109+G111+G113+G117+G120+G122</f>
        <v>848932</v>
      </c>
      <c r="H35" s="39">
        <f>H36+H38+H40+H43+H45+H47+H49+H51+H53+H55+H57+H59+H61+H63+H65+H67+H69+H71+H73+H75+H77+H79+H81+H83+H85+H87+H89+H92+H95+H97+H99+H101+H103+H105+H107+H109+H111+H113+H117+H120+H122</f>
        <v>909151</v>
      </c>
      <c r="I35" s="39">
        <f>I36+I38+I40+I43+I45+I47+I49+I51+I53+I55+I57+I59+I61+I63+I65+I67+I69+I71+I73+I75+I77+I79+I81+I83+I85+I87+I89+I92+I95+I97+I99+I101+I103+I105+I107+I109+I111+I113+I117+I120+I122</f>
        <v>848932</v>
      </c>
      <c r="J35" s="39">
        <f>J36+J38+J40+J43+J45+J47+J49+J51+J53+J55+J57+J59+J61+J63+J65+J67+J69+J71+J73+J75+J77+J79+J81+J83+J85+J87+J89+J92+J95+J97+J99+J101+J103+J105+J107+J109+J111+J113+J117+J120+J122</f>
        <v>909151</v>
      </c>
      <c r="K35" s="39">
        <f t="shared" ref="K35:T35" si="2">K36+K38+K40+K43+K45+K47+K49+K51+K53+K55+K57+K59+K61+K63+K65+K67+K69+K71+K73+K75+K77+K79+K81+K83+K85+K87+K89+K92+K95+K97+K99+K101+K103+K105+K107+K109+K111+K113+K117+K120+K122</f>
        <v>25900</v>
      </c>
      <c r="L35" s="39">
        <f t="shared" si="2"/>
        <v>26047</v>
      </c>
      <c r="M35" s="39">
        <f>M36+M38+M40+M43+M45+M47+M49+M51+M53+M55+M57+M59+M61+M63+M65+M67+M69+M71+M73+M75+M77+M79+M81+M83+M85+M87+M89+M92+M95+M97+M99+M101+M103+M105+M107+M109+M111+M113+M117+M120+M122</f>
        <v>100000</v>
      </c>
      <c r="N35" s="39">
        <f>N36+N38+N40+N43+N45+N47+N49+N51+N53+N55+N57+N59+N61+N63+N65+N67+N69+N71+N73+N75+N77+N79+N81+N83+N85+N87+N89+N92+N95+N97+N99+N101+N103+N105+N107+N109+N111+N113+N117+N120+N122</f>
        <v>100000</v>
      </c>
      <c r="O35" s="39">
        <f t="shared" si="2"/>
        <v>137249</v>
      </c>
      <c r="P35" s="591">
        <f t="shared" si="2"/>
        <v>158557</v>
      </c>
      <c r="Q35" s="39">
        <f t="shared" si="2"/>
        <v>0</v>
      </c>
      <c r="R35" s="39">
        <f t="shared" si="2"/>
        <v>0</v>
      </c>
      <c r="S35" s="39">
        <f t="shared" si="2"/>
        <v>585783</v>
      </c>
      <c r="T35" s="39">
        <f t="shared" si="2"/>
        <v>624547</v>
      </c>
    </row>
    <row r="36" spans="1:20" s="145" customFormat="1">
      <c r="A36" s="143" t="s">
        <v>3</v>
      </c>
      <c r="B36" s="144" t="s">
        <v>1454</v>
      </c>
      <c r="C36" s="144"/>
      <c r="D36" s="144"/>
      <c r="E36" s="144"/>
      <c r="F36" s="144"/>
      <c r="G36" s="22">
        <f>G37</f>
        <v>3744</v>
      </c>
      <c r="H36" s="22">
        <f>H37</f>
        <v>3744</v>
      </c>
      <c r="I36" s="22">
        <f>K36+M36+O36+S36</f>
        <v>3744</v>
      </c>
      <c r="J36" s="22">
        <f>L36+N36+P36+T36+R36</f>
        <v>3744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f>G36-K36-M36-O36</f>
        <v>3744</v>
      </c>
      <c r="T36" s="22">
        <f>H36-L36-N36-P36</f>
        <v>3744</v>
      </c>
    </row>
    <row r="37" spans="1:20">
      <c r="A37" s="74"/>
      <c r="B37" s="75" t="s">
        <v>214</v>
      </c>
      <c r="C37" s="75"/>
      <c r="D37" s="75"/>
      <c r="E37" s="75"/>
      <c r="F37" s="75"/>
      <c r="G37" s="17">
        <f>'ÖK kiad'!S26</f>
        <v>3744</v>
      </c>
      <c r="H37" s="17">
        <v>3744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1:20" s="145" customFormat="1">
      <c r="A38" s="143" t="s">
        <v>4</v>
      </c>
      <c r="B38" s="144" t="s">
        <v>1455</v>
      </c>
      <c r="C38" s="144"/>
      <c r="D38" s="144"/>
      <c r="E38" s="144"/>
      <c r="F38" s="144"/>
      <c r="G38" s="22">
        <f>G39</f>
        <v>100000</v>
      </c>
      <c r="H38" s="22">
        <f>H39</f>
        <v>100000</v>
      </c>
      <c r="I38" s="22">
        <f>K38+M38+O38+S38</f>
        <v>100000</v>
      </c>
      <c r="J38" s="22">
        <f>L38+N38+P38+T38+R38</f>
        <v>100000</v>
      </c>
      <c r="K38" s="22">
        <v>0</v>
      </c>
      <c r="L38" s="22">
        <v>0</v>
      </c>
      <c r="M38" s="22">
        <v>100000</v>
      </c>
      <c r="N38" s="22">
        <v>100000</v>
      </c>
      <c r="O38" s="22">
        <v>0</v>
      </c>
      <c r="P38" s="22">
        <v>0</v>
      </c>
      <c r="Q38" s="22">
        <v>0</v>
      </c>
      <c r="R38" s="22">
        <v>0</v>
      </c>
      <c r="S38" s="22">
        <f>G38-K38-M38-O38</f>
        <v>0</v>
      </c>
      <c r="T38" s="22">
        <f>H38-L38-N38-P38</f>
        <v>0</v>
      </c>
    </row>
    <row r="39" spans="1:20">
      <c r="A39" s="74"/>
      <c r="B39" s="75" t="s">
        <v>214</v>
      </c>
      <c r="C39" s="75"/>
      <c r="D39" s="75"/>
      <c r="E39" s="75"/>
      <c r="F39" s="75"/>
      <c r="G39" s="17">
        <f>'ÖK kiad'!T26</f>
        <v>100000</v>
      </c>
      <c r="H39" s="17">
        <v>100000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0" s="145" customFormat="1">
      <c r="A40" s="143" t="s">
        <v>5</v>
      </c>
      <c r="B40" s="144" t="s">
        <v>1821</v>
      </c>
      <c r="C40" s="144"/>
      <c r="D40" s="144"/>
      <c r="E40" s="144"/>
      <c r="F40" s="144"/>
      <c r="G40" s="22">
        <f>G41+G42</f>
        <v>6500</v>
      </c>
      <c r="H40" s="22">
        <f>H41+H42</f>
        <v>6500</v>
      </c>
      <c r="I40" s="22">
        <f>K40+M40+O40+S40</f>
        <v>6500</v>
      </c>
      <c r="J40" s="22">
        <f>L40+N40+P40+T40+R40</f>
        <v>6500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f>G40-K40-M40-O40</f>
        <v>6500</v>
      </c>
      <c r="T40" s="22">
        <f>H40-L40-N40-P40</f>
        <v>6500</v>
      </c>
    </row>
    <row r="41" spans="1:20">
      <c r="A41" s="74"/>
      <c r="B41" s="75" t="s">
        <v>214</v>
      </c>
      <c r="C41" s="75"/>
      <c r="D41" s="75"/>
      <c r="E41" s="75"/>
      <c r="F41" s="75"/>
      <c r="G41" s="17">
        <f>'ÖK kiad'!U26</f>
        <v>4000</v>
      </c>
      <c r="H41" s="17">
        <v>4000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1:20">
      <c r="A42" s="74"/>
      <c r="B42" s="75" t="s">
        <v>398</v>
      </c>
      <c r="C42" s="75"/>
      <c r="D42" s="75"/>
      <c r="E42" s="75"/>
      <c r="F42" s="75"/>
      <c r="G42" s="17">
        <f>'ÖK kiad'!U56</f>
        <v>2500</v>
      </c>
      <c r="H42" s="17">
        <v>2500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</row>
    <row r="43" spans="1:20" s="145" customFormat="1">
      <c r="A43" s="143" t="s">
        <v>210</v>
      </c>
      <c r="B43" s="146" t="s">
        <v>211</v>
      </c>
      <c r="C43" s="146"/>
      <c r="D43" s="146"/>
      <c r="E43" s="146"/>
      <c r="F43" s="146"/>
      <c r="G43" s="21">
        <f>G44</f>
        <v>0</v>
      </c>
      <c r="H43" s="21">
        <f>H44</f>
        <v>0</v>
      </c>
      <c r="I43" s="22">
        <f>K43+M43+S43</f>
        <v>0</v>
      </c>
      <c r="J43" s="22">
        <f>L43+N43+P43+T43+R43</f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2">
        <v>0</v>
      </c>
      <c r="R43" s="22">
        <v>0</v>
      </c>
      <c r="S43" s="22">
        <f>G43-K43-M43</f>
        <v>0</v>
      </c>
      <c r="T43" s="22">
        <f>H43-L43-N43</f>
        <v>0</v>
      </c>
    </row>
    <row r="44" spans="1:20">
      <c r="A44" s="74"/>
      <c r="B44" s="111" t="s">
        <v>214</v>
      </c>
      <c r="C44" s="111"/>
      <c r="D44" s="111"/>
      <c r="E44" s="111"/>
      <c r="F44" s="111"/>
      <c r="G44" s="16">
        <v>0</v>
      </c>
      <c r="H44" s="16">
        <v>0</v>
      </c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0" s="145" customFormat="1">
      <c r="A45" s="143" t="s">
        <v>6</v>
      </c>
      <c r="B45" s="146" t="s">
        <v>1457</v>
      </c>
      <c r="C45" s="146"/>
      <c r="D45" s="146"/>
      <c r="E45" s="146"/>
      <c r="F45" s="146"/>
      <c r="G45" s="21">
        <f>G46</f>
        <v>1802</v>
      </c>
      <c r="H45" s="21">
        <f>H46</f>
        <v>1802</v>
      </c>
      <c r="I45" s="22">
        <f>K45+M45+O45+S45</f>
        <v>1802</v>
      </c>
      <c r="J45" s="22">
        <f>L45+N45+P45+T45+R45</f>
        <v>1802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2">
        <v>0</v>
      </c>
      <c r="R45" s="22">
        <v>0</v>
      </c>
      <c r="S45" s="22">
        <f>G45-K45-M45-O45</f>
        <v>1802</v>
      </c>
      <c r="T45" s="22">
        <f>H45-L45-N45-P45</f>
        <v>1802</v>
      </c>
    </row>
    <row r="46" spans="1:20">
      <c r="A46" s="74"/>
      <c r="B46" s="111" t="s">
        <v>214</v>
      </c>
      <c r="C46" s="111"/>
      <c r="D46" s="111"/>
      <c r="E46" s="111"/>
      <c r="F46" s="111"/>
      <c r="G46" s="16">
        <f>'ÖK kiad'!V26</f>
        <v>1802</v>
      </c>
      <c r="H46" s="16">
        <v>1802</v>
      </c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1:20" s="145" customFormat="1">
      <c r="A47" s="143" t="s">
        <v>106</v>
      </c>
      <c r="B47" s="144" t="s">
        <v>1456</v>
      </c>
      <c r="C47" s="144"/>
      <c r="D47" s="144"/>
      <c r="E47" s="144"/>
      <c r="F47" s="144"/>
      <c r="G47" s="22">
        <f>G48</f>
        <v>1000</v>
      </c>
      <c r="H47" s="22">
        <f>H48</f>
        <v>1000</v>
      </c>
      <c r="I47" s="22">
        <f>K47+M47+O47+S47</f>
        <v>1000</v>
      </c>
      <c r="J47" s="22">
        <f>L47+N47+P47+T47+R47</f>
        <v>1000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f>G47-K47-M47-O47</f>
        <v>1000</v>
      </c>
      <c r="T47" s="22">
        <f>H47-L47-N47-P47</f>
        <v>1000</v>
      </c>
    </row>
    <row r="48" spans="1:20">
      <c r="A48" s="74"/>
      <c r="B48" s="75" t="s">
        <v>214</v>
      </c>
      <c r="C48" s="75"/>
      <c r="D48" s="75"/>
      <c r="E48" s="75"/>
      <c r="F48" s="75"/>
      <c r="G48" s="17">
        <f>'ÖK kiad'!W26</f>
        <v>1000</v>
      </c>
      <c r="H48" s="17">
        <v>1000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1:20" s="145" customFormat="1">
      <c r="A49" s="143" t="s">
        <v>1411</v>
      </c>
      <c r="B49" s="144" t="s">
        <v>1458</v>
      </c>
      <c r="C49" s="144"/>
      <c r="D49" s="144"/>
      <c r="E49" s="144"/>
      <c r="F49" s="144"/>
      <c r="G49" s="22">
        <f>G50</f>
        <v>1334</v>
      </c>
      <c r="H49" s="22">
        <f>H50</f>
        <v>1334</v>
      </c>
      <c r="I49" s="22">
        <f>K49+M49+O49+S49</f>
        <v>1334</v>
      </c>
      <c r="J49" s="22">
        <f>L49+N49+P49+T49+R49</f>
        <v>1334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f>G49-K49-M49-O49</f>
        <v>1334</v>
      </c>
      <c r="T49" s="22">
        <f>H49-L49-N49-P49</f>
        <v>1334</v>
      </c>
    </row>
    <row r="50" spans="1:20">
      <c r="A50" s="74"/>
      <c r="B50" s="75" t="s">
        <v>214</v>
      </c>
      <c r="C50" s="75"/>
      <c r="D50" s="75"/>
      <c r="E50" s="75"/>
      <c r="F50" s="75"/>
      <c r="G50" s="17">
        <f>'ÖK kiad'!X26</f>
        <v>1334</v>
      </c>
      <c r="H50" s="17">
        <v>1334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1:20" s="145" customFormat="1">
      <c r="A51" s="143" t="s">
        <v>1412</v>
      </c>
      <c r="B51" s="144" t="s">
        <v>1459</v>
      </c>
      <c r="C51" s="144"/>
      <c r="D51" s="144"/>
      <c r="E51" s="144"/>
      <c r="F51" s="144"/>
      <c r="G51" s="22">
        <f>G52</f>
        <v>3811</v>
      </c>
      <c r="H51" s="22">
        <f>H52</f>
        <v>3811</v>
      </c>
      <c r="I51" s="22">
        <f>K51+M51+O51+S51</f>
        <v>3811</v>
      </c>
      <c r="J51" s="22">
        <f>L51+N51+P51+T51+R51</f>
        <v>3811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f>G51-K51-M51-O51</f>
        <v>3811</v>
      </c>
      <c r="T51" s="22">
        <f>H51-L51-N51-P51</f>
        <v>3811</v>
      </c>
    </row>
    <row r="52" spans="1:20">
      <c r="A52" s="74"/>
      <c r="B52" s="75" t="s">
        <v>214</v>
      </c>
      <c r="C52" s="75"/>
      <c r="D52" s="75"/>
      <c r="E52" s="75"/>
      <c r="F52" s="75"/>
      <c r="G52" s="17">
        <f>'ÖK kiad'!Y26</f>
        <v>3811</v>
      </c>
      <c r="H52" s="17">
        <v>3811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1:20" s="145" customFormat="1">
      <c r="A53" s="143" t="s">
        <v>1413</v>
      </c>
      <c r="B53" s="144" t="s">
        <v>1460</v>
      </c>
      <c r="C53" s="144"/>
      <c r="D53" s="144"/>
      <c r="E53" s="144"/>
      <c r="F53" s="144"/>
      <c r="G53" s="22">
        <f>G54</f>
        <v>2500</v>
      </c>
      <c r="H53" s="22">
        <f>H54</f>
        <v>2500</v>
      </c>
      <c r="I53" s="22">
        <f>K53+M53+O53+S53</f>
        <v>2500</v>
      </c>
      <c r="J53" s="22">
        <f>L53+N53+P53+T53+R53</f>
        <v>2500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f>G53-K53-M53-O53</f>
        <v>2500</v>
      </c>
      <c r="T53" s="22">
        <f>H53-L53-N53-P53</f>
        <v>2500</v>
      </c>
    </row>
    <row r="54" spans="1:20">
      <c r="A54" s="74"/>
      <c r="B54" s="75" t="s">
        <v>214</v>
      </c>
      <c r="C54" s="75"/>
      <c r="D54" s="75"/>
      <c r="E54" s="75"/>
      <c r="F54" s="75"/>
      <c r="G54" s="17">
        <f>'ÖK kiad'!Z26</f>
        <v>2500</v>
      </c>
      <c r="H54" s="17">
        <v>2500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1:20" s="145" customFormat="1">
      <c r="A55" s="143" t="s">
        <v>1414</v>
      </c>
      <c r="B55" s="144" t="s">
        <v>1461</v>
      </c>
      <c r="C55" s="144"/>
      <c r="D55" s="144"/>
      <c r="E55" s="144"/>
      <c r="F55" s="144"/>
      <c r="G55" s="22">
        <f>G56</f>
        <v>11430</v>
      </c>
      <c r="H55" s="22">
        <f>H56</f>
        <v>11430</v>
      </c>
      <c r="I55" s="22">
        <f>K55+M55+O55+S55</f>
        <v>11430</v>
      </c>
      <c r="J55" s="22">
        <f>L55+N55+P55+T55+R55</f>
        <v>11430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f>G55-K55-M55-O55</f>
        <v>11430</v>
      </c>
      <c r="T55" s="22">
        <f>H55-L55-N55-P55</f>
        <v>11430</v>
      </c>
    </row>
    <row r="56" spans="1:20">
      <c r="A56" s="74"/>
      <c r="B56" s="75" t="s">
        <v>214</v>
      </c>
      <c r="C56" s="75"/>
      <c r="D56" s="75"/>
      <c r="E56" s="75"/>
      <c r="F56" s="75"/>
      <c r="G56" s="17">
        <f>'ÖK kiad'!AA26</f>
        <v>11430</v>
      </c>
      <c r="H56" s="17">
        <v>11430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1:20" s="147" customFormat="1">
      <c r="A57" s="143" t="s">
        <v>1415</v>
      </c>
      <c r="B57" s="146" t="s">
        <v>180</v>
      </c>
      <c r="C57" s="146"/>
      <c r="D57" s="146"/>
      <c r="E57" s="146"/>
      <c r="F57" s="146"/>
      <c r="G57" s="21">
        <f>G58</f>
        <v>999</v>
      </c>
      <c r="H57" s="21">
        <f>H58</f>
        <v>999</v>
      </c>
      <c r="I57" s="22">
        <f>K57+M57+O57+S57</f>
        <v>999</v>
      </c>
      <c r="J57" s="22">
        <f>L57+N57+P57+T57+R57</f>
        <v>999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2">
        <v>0</v>
      </c>
      <c r="R57" s="22">
        <v>0</v>
      </c>
      <c r="S57" s="22">
        <f>G57-K57-M57-O57</f>
        <v>999</v>
      </c>
      <c r="T57" s="22">
        <f>H57-L57-N57-P57</f>
        <v>999</v>
      </c>
    </row>
    <row r="58" spans="1:20" s="2" customFormat="1">
      <c r="A58" s="74"/>
      <c r="B58" s="111" t="s">
        <v>214</v>
      </c>
      <c r="C58" s="111"/>
      <c r="D58" s="111"/>
      <c r="E58" s="111"/>
      <c r="F58" s="111"/>
      <c r="G58" s="16">
        <f>'ÖK kiad'!BD26</f>
        <v>999</v>
      </c>
      <c r="H58" s="16">
        <v>999</v>
      </c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</row>
    <row r="59" spans="1:20" s="145" customFormat="1">
      <c r="A59" s="143" t="s">
        <v>1416</v>
      </c>
      <c r="B59" s="144" t="s">
        <v>1462</v>
      </c>
      <c r="C59" s="144"/>
      <c r="D59" s="144"/>
      <c r="E59" s="144"/>
      <c r="F59" s="144"/>
      <c r="G59" s="22">
        <f>G60</f>
        <v>1750</v>
      </c>
      <c r="H59" s="22">
        <f>H60</f>
        <v>1750</v>
      </c>
      <c r="I59" s="22">
        <f>K59+M59+O59+S59</f>
        <v>1750</v>
      </c>
      <c r="J59" s="22">
        <f>L59+N59+P59+T59+R59</f>
        <v>1750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f>G59-K59-M59-O59</f>
        <v>1750</v>
      </c>
      <c r="T59" s="22">
        <f>H59-L59-N59-P59</f>
        <v>1750</v>
      </c>
    </row>
    <row r="60" spans="1:20">
      <c r="A60" s="74"/>
      <c r="B60" s="75" t="s">
        <v>214</v>
      </c>
      <c r="C60" s="75"/>
      <c r="D60" s="75"/>
      <c r="E60" s="75"/>
      <c r="F60" s="75"/>
      <c r="G60" s="17">
        <f>'ÖK kiad'!AB26</f>
        <v>1750</v>
      </c>
      <c r="H60" s="17">
        <v>1750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1:20" s="145" customFormat="1">
      <c r="A61" s="143" t="s">
        <v>1417</v>
      </c>
      <c r="B61" s="144" t="s">
        <v>182</v>
      </c>
      <c r="C61" s="144"/>
      <c r="D61" s="144"/>
      <c r="E61" s="144"/>
      <c r="F61" s="144"/>
      <c r="G61" s="22">
        <f>G62</f>
        <v>914</v>
      </c>
      <c r="H61" s="22">
        <f>H62</f>
        <v>914</v>
      </c>
      <c r="I61" s="22">
        <f>K61+M61+O61+S61</f>
        <v>914</v>
      </c>
      <c r="J61" s="22">
        <f>L61+N61+P61+T61+R61</f>
        <v>914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f>G61-K61-M61-O61</f>
        <v>914</v>
      </c>
      <c r="T61" s="22">
        <f>H61-L61-N61-P61</f>
        <v>914</v>
      </c>
    </row>
    <row r="62" spans="1:20">
      <c r="A62" s="74"/>
      <c r="B62" s="75" t="s">
        <v>214</v>
      </c>
      <c r="C62" s="75"/>
      <c r="D62" s="75"/>
      <c r="E62" s="75"/>
      <c r="F62" s="75"/>
      <c r="G62" s="17">
        <f>'ÖK kiad'!AC26</f>
        <v>914</v>
      </c>
      <c r="H62" s="17">
        <v>914</v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1:20" s="145" customFormat="1">
      <c r="A63" s="143" t="s">
        <v>1418</v>
      </c>
      <c r="B63" s="144" t="s">
        <v>184</v>
      </c>
      <c r="C63" s="144"/>
      <c r="D63" s="144"/>
      <c r="E63" s="144"/>
      <c r="F63" s="144"/>
      <c r="G63" s="22">
        <f>G64</f>
        <v>2093</v>
      </c>
      <c r="H63" s="22">
        <f>H64</f>
        <v>2093</v>
      </c>
      <c r="I63" s="22">
        <f>K63+M63+O63+S63</f>
        <v>2093</v>
      </c>
      <c r="J63" s="22">
        <f>L63+N63+P63+T63+R63</f>
        <v>2093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f>G63-K63-M63-O63</f>
        <v>2093</v>
      </c>
      <c r="T63" s="22">
        <f>H63-L63-N63-P63</f>
        <v>2093</v>
      </c>
    </row>
    <row r="64" spans="1:20">
      <c r="A64" s="74"/>
      <c r="B64" s="75" t="s">
        <v>214</v>
      </c>
      <c r="C64" s="75"/>
      <c r="D64" s="75"/>
      <c r="E64" s="75"/>
      <c r="F64" s="75"/>
      <c r="G64" s="17">
        <f>'ÖK kiad'!AE26</f>
        <v>2093</v>
      </c>
      <c r="H64" s="17">
        <v>2093</v>
      </c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1:20" s="145" customFormat="1">
      <c r="A65" s="143" t="s">
        <v>1419</v>
      </c>
      <c r="B65" s="144" t="s">
        <v>1463</v>
      </c>
      <c r="C65" s="144"/>
      <c r="D65" s="144"/>
      <c r="E65" s="144"/>
      <c r="F65" s="144"/>
      <c r="G65" s="22">
        <f>G66</f>
        <v>2400</v>
      </c>
      <c r="H65" s="22">
        <f>H66</f>
        <v>2400</v>
      </c>
      <c r="I65" s="22">
        <f>K65+M65+O65+S65</f>
        <v>2400</v>
      </c>
      <c r="J65" s="22">
        <f>L65+N65+P65+T65+R65</f>
        <v>2400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f>G65-K65-M65-O65</f>
        <v>2400</v>
      </c>
      <c r="T65" s="22">
        <f>H65-L65-N65-P65</f>
        <v>2400</v>
      </c>
    </row>
    <row r="66" spans="1:20">
      <c r="A66" s="74"/>
      <c r="B66" s="75" t="s">
        <v>214</v>
      </c>
      <c r="C66" s="75"/>
      <c r="D66" s="75"/>
      <c r="E66" s="75"/>
      <c r="F66" s="75"/>
      <c r="G66" s="17">
        <f>'ÖK kiad'!AD26</f>
        <v>2400</v>
      </c>
      <c r="H66" s="17">
        <v>2400</v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1:20" s="145" customFormat="1">
      <c r="A67" s="143" t="s">
        <v>1420</v>
      </c>
      <c r="B67" s="144" t="s">
        <v>1464</v>
      </c>
      <c r="C67" s="144"/>
      <c r="D67" s="144"/>
      <c r="E67" s="144"/>
      <c r="F67" s="144"/>
      <c r="G67" s="22">
        <f>G68</f>
        <v>1500</v>
      </c>
      <c r="H67" s="22">
        <f>H68</f>
        <v>1500</v>
      </c>
      <c r="I67" s="22">
        <f>K67+M67+O67+S67</f>
        <v>1500</v>
      </c>
      <c r="J67" s="22">
        <f>L67+N67+P67+T67+R67</f>
        <v>1500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f>G67-K67-M67-O67</f>
        <v>1500</v>
      </c>
      <c r="T67" s="22">
        <f>H67-L67-N67-P67</f>
        <v>1500</v>
      </c>
    </row>
    <row r="68" spans="1:20">
      <c r="A68" s="74"/>
      <c r="B68" s="75" t="s">
        <v>214</v>
      </c>
      <c r="C68" s="75"/>
      <c r="D68" s="75"/>
      <c r="E68" s="75"/>
      <c r="F68" s="75"/>
      <c r="G68" s="17">
        <f>'ÖK kiad'!AF26</f>
        <v>1500</v>
      </c>
      <c r="H68" s="17">
        <v>1500</v>
      </c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1:20" s="145" customFormat="1">
      <c r="A69" s="143" t="s">
        <v>1421</v>
      </c>
      <c r="B69" s="144" t="s">
        <v>1465</v>
      </c>
      <c r="C69" s="144"/>
      <c r="D69" s="144"/>
      <c r="E69" s="144"/>
      <c r="F69" s="144"/>
      <c r="G69" s="22">
        <f>G70</f>
        <v>25210</v>
      </c>
      <c r="H69" s="22">
        <f>H70</f>
        <v>25210</v>
      </c>
      <c r="I69" s="22">
        <f>K69+M69+O69+S69</f>
        <v>25210</v>
      </c>
      <c r="J69" s="22">
        <f>L69+N69+P69+T69+R69</f>
        <v>25210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f>G69-K69-M69-O69</f>
        <v>25210</v>
      </c>
      <c r="T69" s="22">
        <f>H69-L69-N69-P69</f>
        <v>25210</v>
      </c>
    </row>
    <row r="70" spans="1:20">
      <c r="A70" s="74"/>
      <c r="B70" s="75" t="s">
        <v>214</v>
      </c>
      <c r="C70" s="75"/>
      <c r="D70" s="75"/>
      <c r="E70" s="75"/>
      <c r="F70" s="75"/>
      <c r="G70" s="17">
        <f>'ÖK kiad'!AG26</f>
        <v>25210</v>
      </c>
      <c r="H70" s="17">
        <v>25210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1:20" s="147" customFormat="1" ht="30">
      <c r="A71" s="143" t="s">
        <v>1422</v>
      </c>
      <c r="B71" s="146" t="s">
        <v>1466</v>
      </c>
      <c r="C71" s="146"/>
      <c r="D71" s="146"/>
      <c r="E71" s="146"/>
      <c r="F71" s="146"/>
      <c r="G71" s="21">
        <f>G72</f>
        <v>10153</v>
      </c>
      <c r="H71" s="21">
        <f>H72</f>
        <v>10153</v>
      </c>
      <c r="I71" s="21">
        <f>K71+M71+O71+S71</f>
        <v>10153</v>
      </c>
      <c r="J71" s="22">
        <f>L71+N71+P71+T71+R71</f>
        <v>10153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2">
        <v>0</v>
      </c>
      <c r="R71" s="22">
        <v>0</v>
      </c>
      <c r="S71" s="21">
        <f>G71-K71-M71-O71</f>
        <v>10153</v>
      </c>
      <c r="T71" s="21">
        <f>H71-L71-N71-P71</f>
        <v>10153</v>
      </c>
    </row>
    <row r="72" spans="1:20">
      <c r="A72" s="74"/>
      <c r="B72" s="75" t="s">
        <v>400</v>
      </c>
      <c r="C72" s="75"/>
      <c r="D72" s="75"/>
      <c r="E72" s="75"/>
      <c r="F72" s="75"/>
      <c r="G72" s="17">
        <f>'ÖK kiad'!AH41</f>
        <v>10153</v>
      </c>
      <c r="H72" s="17">
        <v>10153</v>
      </c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1:20" s="145" customFormat="1">
      <c r="A73" s="143" t="s">
        <v>1423</v>
      </c>
      <c r="B73" s="144" t="s">
        <v>1467</v>
      </c>
      <c r="C73" s="144"/>
      <c r="D73" s="144"/>
      <c r="E73" s="144"/>
      <c r="F73" s="144"/>
      <c r="G73" s="22">
        <f>G74</f>
        <v>2000</v>
      </c>
      <c r="H73" s="22">
        <f>H74</f>
        <v>2000</v>
      </c>
      <c r="I73" s="22">
        <f>K73+M73+O73+S73</f>
        <v>2000</v>
      </c>
      <c r="J73" s="22">
        <f>L73+N73+P73+T73+R73</f>
        <v>2000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f>G73-K73-M73-O73</f>
        <v>2000</v>
      </c>
      <c r="T73" s="22">
        <f>H73-L73-N73-P73</f>
        <v>2000</v>
      </c>
    </row>
    <row r="74" spans="1:20">
      <c r="A74" s="74"/>
      <c r="B74" s="75" t="s">
        <v>400</v>
      </c>
      <c r="C74" s="75"/>
      <c r="D74" s="75"/>
      <c r="E74" s="75"/>
      <c r="F74" s="75"/>
      <c r="G74" s="17">
        <f>'ÖK kiad'!AI41</f>
        <v>2000</v>
      </c>
      <c r="H74" s="17">
        <v>2000</v>
      </c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1:20" s="145" customFormat="1">
      <c r="A75" s="143" t="s">
        <v>1424</v>
      </c>
      <c r="B75" s="144" t="s">
        <v>1468</v>
      </c>
      <c r="C75" s="144"/>
      <c r="D75" s="144"/>
      <c r="E75" s="144"/>
      <c r="F75" s="144"/>
      <c r="G75" s="22">
        <f>G76</f>
        <v>0</v>
      </c>
      <c r="H75" s="22">
        <f>H76</f>
        <v>0</v>
      </c>
      <c r="I75" s="22">
        <f>K75+M75+O75+S75</f>
        <v>0</v>
      </c>
      <c r="J75" s="22">
        <f>L75+N75+P75+T75+R75</f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f>G75-K75-M75-O75</f>
        <v>0</v>
      </c>
      <c r="T75" s="22">
        <f>H75-L75-N75-P75</f>
        <v>0</v>
      </c>
    </row>
    <row r="76" spans="1:20">
      <c r="A76" s="74"/>
      <c r="B76" s="75" t="s">
        <v>214</v>
      </c>
      <c r="C76" s="75"/>
      <c r="D76" s="75"/>
      <c r="E76" s="75"/>
      <c r="F76" s="75"/>
      <c r="G76" s="17">
        <v>0</v>
      </c>
      <c r="H76" s="17">
        <v>0</v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1:20" s="145" customFormat="1">
      <c r="A77" s="143" t="s">
        <v>1425</v>
      </c>
      <c r="B77" s="144" t="s">
        <v>1469</v>
      </c>
      <c r="C77" s="144"/>
      <c r="D77" s="144"/>
      <c r="E77" s="144"/>
      <c r="F77" s="144"/>
      <c r="G77" s="22">
        <f>G78</f>
        <v>27535</v>
      </c>
      <c r="H77" s="22">
        <f>H78</f>
        <v>27739</v>
      </c>
      <c r="I77" s="22">
        <f>K77+M77+O77+S77</f>
        <v>27535</v>
      </c>
      <c r="J77" s="22">
        <f>L77+N77+P77+T77+R77</f>
        <v>27739</v>
      </c>
      <c r="K77" s="22">
        <v>0</v>
      </c>
      <c r="L77" s="22">
        <v>147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f>G77-K77-M77-O77</f>
        <v>27535</v>
      </c>
      <c r="T77" s="22">
        <f>H77-L77-N77-P77</f>
        <v>27592</v>
      </c>
    </row>
    <row r="78" spans="1:20">
      <c r="A78" s="74"/>
      <c r="B78" s="75" t="s">
        <v>400</v>
      </c>
      <c r="C78" s="75"/>
      <c r="D78" s="75"/>
      <c r="E78" s="75"/>
      <c r="F78" s="75"/>
      <c r="G78" s="17">
        <f>'ÖK kiad'!AJ41</f>
        <v>27535</v>
      </c>
      <c r="H78" s="17">
        <f>27535+147+44+13</f>
        <v>27739</v>
      </c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1:20" s="145" customFormat="1">
      <c r="A79" s="143" t="s">
        <v>1426</v>
      </c>
      <c r="B79" s="144" t="s">
        <v>1470</v>
      </c>
      <c r="C79" s="144"/>
      <c r="D79" s="144"/>
      <c r="E79" s="144"/>
      <c r="F79" s="144"/>
      <c r="G79" s="22">
        <f>G80</f>
        <v>3904</v>
      </c>
      <c r="H79" s="22">
        <f>H80</f>
        <v>3904</v>
      </c>
      <c r="I79" s="22">
        <f>K79+M79+O79+S79</f>
        <v>3904</v>
      </c>
      <c r="J79" s="22">
        <f>L79+N79+P79+T79+R79</f>
        <v>3904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f>G79-K79-M79-O79</f>
        <v>3904</v>
      </c>
      <c r="T79" s="22">
        <f>H79-L79-N79-P79</f>
        <v>3904</v>
      </c>
    </row>
    <row r="80" spans="1:20">
      <c r="A80" s="74"/>
      <c r="B80" s="75" t="s">
        <v>400</v>
      </c>
      <c r="C80" s="75"/>
      <c r="D80" s="75"/>
      <c r="E80" s="75"/>
      <c r="F80" s="75"/>
      <c r="G80" s="17">
        <f>'ÖK kiad'!AK41</f>
        <v>3904</v>
      </c>
      <c r="H80" s="17">
        <v>3904</v>
      </c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1:20" s="145" customFormat="1">
      <c r="A81" s="143" t="s">
        <v>1427</v>
      </c>
      <c r="B81" s="144" t="s">
        <v>1471</v>
      </c>
      <c r="C81" s="144"/>
      <c r="D81" s="144"/>
      <c r="E81" s="144"/>
      <c r="F81" s="144"/>
      <c r="G81" s="22">
        <f>G82</f>
        <v>5145</v>
      </c>
      <c r="H81" s="22">
        <f>H82</f>
        <v>5145</v>
      </c>
      <c r="I81" s="22">
        <f>K81+M81+O81+S81</f>
        <v>5145</v>
      </c>
      <c r="J81" s="22">
        <f>L81+N81+P81+T81+R81</f>
        <v>5145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f>G81-K81-M81-O81</f>
        <v>5145</v>
      </c>
      <c r="T81" s="22">
        <f>H81-L81-N81-P81</f>
        <v>5145</v>
      </c>
    </row>
    <row r="82" spans="1:20">
      <c r="A82" s="74"/>
      <c r="B82" s="75" t="s">
        <v>400</v>
      </c>
      <c r="C82" s="75"/>
      <c r="D82" s="75"/>
      <c r="E82" s="75"/>
      <c r="F82" s="75"/>
      <c r="G82" s="17">
        <f>'ÖK kiad'!AL41</f>
        <v>5145</v>
      </c>
      <c r="H82" s="17">
        <v>5145</v>
      </c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1:20" s="145" customFormat="1">
      <c r="A83" s="143" t="s">
        <v>1428</v>
      </c>
      <c r="B83" s="144" t="s">
        <v>1472</v>
      </c>
      <c r="C83" s="144"/>
      <c r="D83" s="144"/>
      <c r="E83" s="144"/>
      <c r="F83" s="144"/>
      <c r="G83" s="22">
        <f>G84</f>
        <v>7560</v>
      </c>
      <c r="H83" s="22">
        <f>H84</f>
        <v>7560</v>
      </c>
      <c r="I83" s="22">
        <f>K83+M83+O83+S83</f>
        <v>7560</v>
      </c>
      <c r="J83" s="22">
        <f>L83+N83+P83+T83+R83</f>
        <v>7560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f>G83-K83-M83-O83</f>
        <v>7560</v>
      </c>
      <c r="T83" s="22">
        <f>H83-L83-N83-P83</f>
        <v>7560</v>
      </c>
    </row>
    <row r="84" spans="1:20">
      <c r="A84" s="74"/>
      <c r="B84" s="75" t="s">
        <v>401</v>
      </c>
      <c r="C84" s="75"/>
      <c r="D84" s="75"/>
      <c r="E84" s="75"/>
      <c r="F84" s="75"/>
      <c r="G84" s="17">
        <f>'ÖK kiad'!AM46</f>
        <v>7560</v>
      </c>
      <c r="H84" s="17">
        <v>7560</v>
      </c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1:20" s="145" customFormat="1">
      <c r="A85" s="143" t="s">
        <v>1429</v>
      </c>
      <c r="B85" s="144" t="s">
        <v>1846</v>
      </c>
      <c r="C85" s="144"/>
      <c r="D85" s="144"/>
      <c r="E85" s="144"/>
      <c r="F85" s="144"/>
      <c r="G85" s="22">
        <f>G86</f>
        <v>6175</v>
      </c>
      <c r="H85" s="22">
        <f>H86</f>
        <v>6675</v>
      </c>
      <c r="I85" s="22">
        <f>K85+M85+O85+S85</f>
        <v>6175</v>
      </c>
      <c r="J85" s="22">
        <f>L85+N85+P85+T85+R85</f>
        <v>6675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f>G85-K85-M85-O85</f>
        <v>6175</v>
      </c>
      <c r="T85" s="22">
        <f>H85-L85-N85-P85</f>
        <v>6675</v>
      </c>
    </row>
    <row r="86" spans="1:20">
      <c r="A86" s="74"/>
      <c r="B86" s="75" t="s">
        <v>401</v>
      </c>
      <c r="C86" s="75"/>
      <c r="D86" s="75"/>
      <c r="E86" s="75"/>
      <c r="F86" s="75"/>
      <c r="G86" s="17">
        <f>'ÖK kiad'!AN46</f>
        <v>6175</v>
      </c>
      <c r="H86" s="17">
        <f>6175+500</f>
        <v>6675</v>
      </c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1:20" s="145" customFormat="1">
      <c r="A87" s="143" t="s">
        <v>1430</v>
      </c>
      <c r="B87" s="144" t="s">
        <v>1473</v>
      </c>
      <c r="C87" s="144"/>
      <c r="D87" s="144"/>
      <c r="E87" s="144"/>
      <c r="F87" s="144"/>
      <c r="G87" s="22">
        <f>G88</f>
        <v>1631</v>
      </c>
      <c r="H87" s="22">
        <f>H88</f>
        <v>1631</v>
      </c>
      <c r="I87" s="22">
        <f>K87+M87+O87+S87</f>
        <v>1631</v>
      </c>
      <c r="J87" s="22">
        <f>L87+N87+P87+T87+R87</f>
        <v>1631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f>G87-K87-M87-O87</f>
        <v>1631</v>
      </c>
      <c r="T87" s="22">
        <f>H87-L87-N87-P87</f>
        <v>1631</v>
      </c>
    </row>
    <row r="88" spans="1:20">
      <c r="A88" s="74"/>
      <c r="B88" s="75" t="s">
        <v>401</v>
      </c>
      <c r="C88" s="75"/>
      <c r="D88" s="75"/>
      <c r="E88" s="75"/>
      <c r="F88" s="75"/>
      <c r="G88" s="17">
        <f>'ÖK kiad'!AO46</f>
        <v>1631</v>
      </c>
      <c r="H88" s="17">
        <v>1631</v>
      </c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</row>
    <row r="89" spans="1:20" s="145" customFormat="1">
      <c r="A89" s="143" t="s">
        <v>1431</v>
      </c>
      <c r="B89" s="144" t="s">
        <v>1474</v>
      </c>
      <c r="C89" s="144"/>
      <c r="D89" s="144"/>
      <c r="E89" s="144"/>
      <c r="F89" s="144"/>
      <c r="G89" s="22">
        <f>G90+G91</f>
        <v>319306</v>
      </c>
      <c r="H89" s="22">
        <f>H90+H91</f>
        <v>319306</v>
      </c>
      <c r="I89" s="22">
        <f>K89+M89+O89+S89</f>
        <v>319306</v>
      </c>
      <c r="J89" s="22">
        <f>L89+N89+P89+T89+R89</f>
        <v>319306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f>G89-K89-M89-O89</f>
        <v>319306</v>
      </c>
      <c r="T89" s="22">
        <f>H89-L89-N89-P89</f>
        <v>319306</v>
      </c>
    </row>
    <row r="90" spans="1:20">
      <c r="A90" s="74"/>
      <c r="B90" s="75" t="s">
        <v>401</v>
      </c>
      <c r="C90" s="75"/>
      <c r="D90" s="75"/>
      <c r="E90" s="75"/>
      <c r="F90" s="75"/>
      <c r="G90" s="17">
        <f>'ÖK kiad'!AP46</f>
        <v>0</v>
      </c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</row>
    <row r="91" spans="1:20">
      <c r="A91" s="74"/>
      <c r="B91" s="75" t="s">
        <v>214</v>
      </c>
      <c r="C91" s="75"/>
      <c r="D91" s="75"/>
      <c r="E91" s="75"/>
      <c r="F91" s="75"/>
      <c r="G91" s="17">
        <f>'ÖK kiad'!AP26</f>
        <v>319306</v>
      </c>
      <c r="H91" s="17">
        <v>319306</v>
      </c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</row>
    <row r="92" spans="1:20" s="145" customFormat="1">
      <c r="A92" s="143" t="s">
        <v>1432</v>
      </c>
      <c r="B92" s="144" t="s">
        <v>1475</v>
      </c>
      <c r="C92" s="144"/>
      <c r="D92" s="144"/>
      <c r="E92" s="144"/>
      <c r="F92" s="144"/>
      <c r="G92" s="22">
        <f>G93+G94</f>
        <v>27150</v>
      </c>
      <c r="H92" s="22">
        <f>H93+H94</f>
        <v>27150</v>
      </c>
      <c r="I92" s="22">
        <f>K92+M92+O92+S92</f>
        <v>27150</v>
      </c>
      <c r="J92" s="22">
        <f>L92+N92+P92+T92+R92</f>
        <v>27150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f>G92-K92-M92-O92</f>
        <v>27150</v>
      </c>
      <c r="T92" s="22">
        <f>H92-L92-N92-P92</f>
        <v>27150</v>
      </c>
    </row>
    <row r="93" spans="1:20">
      <c r="A93" s="74"/>
      <c r="B93" s="75" t="s">
        <v>401</v>
      </c>
      <c r="C93" s="75"/>
      <c r="D93" s="75"/>
      <c r="E93" s="75"/>
      <c r="F93" s="75"/>
      <c r="G93" s="17">
        <f>'ÖK kiad'!AQ46</f>
        <v>27150</v>
      </c>
      <c r="H93" s="17">
        <v>27150</v>
      </c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</row>
    <row r="94" spans="1:20">
      <c r="A94" s="74"/>
      <c r="B94" s="75" t="s">
        <v>214</v>
      </c>
      <c r="C94" s="75"/>
      <c r="D94" s="75"/>
      <c r="E94" s="75"/>
      <c r="F94" s="75"/>
      <c r="G94" s="17">
        <f>'ÖK kiad'!AQ20</f>
        <v>0</v>
      </c>
      <c r="H94" s="17">
        <v>0</v>
      </c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</row>
    <row r="95" spans="1:20" s="145" customFormat="1">
      <c r="A95" s="143" t="s">
        <v>1433</v>
      </c>
      <c r="B95" s="144" t="s">
        <v>1773</v>
      </c>
      <c r="C95" s="144"/>
      <c r="D95" s="144"/>
      <c r="E95" s="144"/>
      <c r="F95" s="144"/>
      <c r="G95" s="22">
        <f>G96</f>
        <v>3000</v>
      </c>
      <c r="H95" s="22">
        <f>H96</f>
        <v>3000</v>
      </c>
      <c r="I95" s="22">
        <f>K95+M95+O95+S95</f>
        <v>3000</v>
      </c>
      <c r="J95" s="22">
        <f>L95+N95+P95+T95+R95</f>
        <v>3000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f>G95-K95-M95-O95</f>
        <v>3000</v>
      </c>
      <c r="T95" s="22">
        <f>H95-L95-N95-P95</f>
        <v>3000</v>
      </c>
    </row>
    <row r="96" spans="1:20">
      <c r="A96" s="74"/>
      <c r="B96" s="75" t="s">
        <v>401</v>
      </c>
      <c r="C96" s="75"/>
      <c r="D96" s="75"/>
      <c r="E96" s="75"/>
      <c r="F96" s="75"/>
      <c r="G96" s="17">
        <f>'ÖK kiad'!AR46</f>
        <v>3000</v>
      </c>
      <c r="H96" s="17">
        <v>3000</v>
      </c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</row>
    <row r="97" spans="1:20" s="145" customFormat="1">
      <c r="A97" s="143" t="s">
        <v>1434</v>
      </c>
      <c r="B97" s="144" t="s">
        <v>1476</v>
      </c>
      <c r="C97" s="144"/>
      <c r="D97" s="144"/>
      <c r="E97" s="144"/>
      <c r="F97" s="144"/>
      <c r="G97" s="22">
        <f>G98</f>
        <v>26975</v>
      </c>
      <c r="H97" s="22">
        <f>H98</f>
        <v>27655</v>
      </c>
      <c r="I97" s="22">
        <f>K97+M97+O97+S97</f>
        <v>26975</v>
      </c>
      <c r="J97" s="22">
        <f>L97+N97+P97+T97+R97</f>
        <v>27655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f>G97-K97-M97-O97</f>
        <v>26975</v>
      </c>
      <c r="T97" s="22">
        <f>H97-L97-N97-P97</f>
        <v>27655</v>
      </c>
    </row>
    <row r="98" spans="1:20">
      <c r="A98" s="74"/>
      <c r="B98" s="75" t="s">
        <v>401</v>
      </c>
      <c r="C98" s="75"/>
      <c r="D98" s="75"/>
      <c r="E98" s="75"/>
      <c r="F98" s="75"/>
      <c r="G98" s="17">
        <f>'ÖK kiad'!AS46</f>
        <v>26975</v>
      </c>
      <c r="H98" s="17">
        <f>26975+100+200+80+150+150</f>
        <v>27655</v>
      </c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</row>
    <row r="99" spans="1:20" s="145" customFormat="1">
      <c r="A99" s="143" t="s">
        <v>1435</v>
      </c>
      <c r="B99" s="144" t="s">
        <v>1477</v>
      </c>
      <c r="C99" s="144"/>
      <c r="D99" s="144"/>
      <c r="E99" s="144"/>
      <c r="F99" s="144"/>
      <c r="G99" s="22">
        <f>G100</f>
        <v>2858</v>
      </c>
      <c r="H99" s="22">
        <f>H100</f>
        <v>2858</v>
      </c>
      <c r="I99" s="22">
        <f>K99+M99+O99+S99</f>
        <v>2858</v>
      </c>
      <c r="J99" s="22">
        <f>L99+N99+P99+T99+R99</f>
        <v>2858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f>G99-K99-M99-O99</f>
        <v>2858</v>
      </c>
      <c r="T99" s="22">
        <f>H99-L99-N99-P99</f>
        <v>2858</v>
      </c>
    </row>
    <row r="100" spans="1:20">
      <c r="A100" s="74"/>
      <c r="B100" s="75" t="s">
        <v>401</v>
      </c>
      <c r="C100" s="75"/>
      <c r="D100" s="75"/>
      <c r="E100" s="75"/>
      <c r="F100" s="75"/>
      <c r="G100" s="17">
        <f>'ÖK kiad'!AT46</f>
        <v>2858</v>
      </c>
      <c r="H100" s="17">
        <v>2858</v>
      </c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</row>
    <row r="101" spans="1:20" s="145" customFormat="1">
      <c r="A101" s="143"/>
      <c r="B101" s="144" t="s">
        <v>1478</v>
      </c>
      <c r="C101" s="144"/>
      <c r="D101" s="144"/>
      <c r="E101" s="144"/>
      <c r="F101" s="144"/>
      <c r="G101" s="22">
        <f>G102</f>
        <v>0</v>
      </c>
      <c r="H101" s="22">
        <f>H102</f>
        <v>0</v>
      </c>
      <c r="I101" s="22">
        <f>K101+M101+O101+S101</f>
        <v>0</v>
      </c>
      <c r="J101" s="22">
        <f>L101+N101+P101+T101+R101</f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f>G101-K101-M101-O101</f>
        <v>0</v>
      </c>
      <c r="T101" s="22">
        <f>H101-L101-N101-P101</f>
        <v>0</v>
      </c>
    </row>
    <row r="102" spans="1:20">
      <c r="A102" s="74"/>
      <c r="B102" s="75" t="s">
        <v>401</v>
      </c>
      <c r="C102" s="75"/>
      <c r="D102" s="75"/>
      <c r="E102" s="75"/>
      <c r="F102" s="75"/>
      <c r="G102" s="17">
        <f>'ÖK kiad'!AU46</f>
        <v>0</v>
      </c>
      <c r="H102" s="17">
        <v>0</v>
      </c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</row>
    <row r="103" spans="1:20" s="145" customFormat="1">
      <c r="A103" s="143" t="s">
        <v>1436</v>
      </c>
      <c r="B103" s="144" t="s">
        <v>1479</v>
      </c>
      <c r="C103" s="144"/>
      <c r="D103" s="144"/>
      <c r="E103" s="144"/>
      <c r="F103" s="144"/>
      <c r="G103" s="22">
        <f>G104</f>
        <v>6000</v>
      </c>
      <c r="H103" s="22">
        <f>H104</f>
        <v>6000</v>
      </c>
      <c r="I103" s="22">
        <f>K103+M103+O103+S103</f>
        <v>6000</v>
      </c>
      <c r="J103" s="22">
        <f>L103+N103+P103+T103+R103</f>
        <v>6000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f>G103-K103-M103-O103</f>
        <v>6000</v>
      </c>
      <c r="T103" s="22">
        <f>H103-L103-N103-P103</f>
        <v>6000</v>
      </c>
    </row>
    <row r="104" spans="1:20">
      <c r="A104" s="74"/>
      <c r="B104" s="75" t="s">
        <v>401</v>
      </c>
      <c r="C104" s="75"/>
      <c r="D104" s="75"/>
      <c r="E104" s="75"/>
      <c r="F104" s="75"/>
      <c r="G104" s="17">
        <f>'ÖK kiad'!AV46</f>
        <v>6000</v>
      </c>
      <c r="H104" s="17">
        <v>6000</v>
      </c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</row>
    <row r="105" spans="1:20" s="145" customFormat="1">
      <c r="A105" s="143" t="s">
        <v>1437</v>
      </c>
      <c r="B105" s="144" t="s">
        <v>1480</v>
      </c>
      <c r="C105" s="144"/>
      <c r="D105" s="144"/>
      <c r="E105" s="144"/>
      <c r="F105" s="144"/>
      <c r="G105" s="22">
        <f>G106</f>
        <v>8500</v>
      </c>
      <c r="H105" s="22">
        <f>H106</f>
        <v>8500</v>
      </c>
      <c r="I105" s="22">
        <f>K105+M105+O105+S105</f>
        <v>8500</v>
      </c>
      <c r="J105" s="22">
        <f>L105+N105+P105+T105+R105</f>
        <v>8500</v>
      </c>
      <c r="K105" s="22">
        <v>8500</v>
      </c>
      <c r="L105" s="22">
        <v>8500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f>G105-K105-M105-O105</f>
        <v>0</v>
      </c>
      <c r="T105" s="22">
        <f>H105-L105-N105-P105</f>
        <v>0</v>
      </c>
    </row>
    <row r="106" spans="1:20">
      <c r="A106" s="74"/>
      <c r="B106" s="75" t="s">
        <v>401</v>
      </c>
      <c r="C106" s="75"/>
      <c r="D106" s="75"/>
      <c r="E106" s="75"/>
      <c r="F106" s="75"/>
      <c r="G106" s="17">
        <f>'ÖK kiad'!AW46</f>
        <v>8500</v>
      </c>
      <c r="H106" s="17">
        <v>8500</v>
      </c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</row>
    <row r="107" spans="1:20" s="145" customFormat="1">
      <c r="A107" s="143"/>
      <c r="B107" s="144" t="s">
        <v>1481</v>
      </c>
      <c r="C107" s="144"/>
      <c r="D107" s="144"/>
      <c r="E107" s="144"/>
      <c r="F107" s="144"/>
      <c r="G107" s="22">
        <f>G108</f>
        <v>0</v>
      </c>
      <c r="H107" s="22">
        <f>H108</f>
        <v>0</v>
      </c>
      <c r="I107" s="22">
        <f>K107+M107+O107+S107</f>
        <v>0</v>
      </c>
      <c r="J107" s="22">
        <f>L107+N107+P107+T107+R107</f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f>G107-K107-M107-O107</f>
        <v>0</v>
      </c>
      <c r="T107" s="22">
        <f>H107-L107-N107-P107</f>
        <v>0</v>
      </c>
    </row>
    <row r="108" spans="1:20">
      <c r="A108" s="74"/>
      <c r="B108" s="75" t="s">
        <v>401</v>
      </c>
      <c r="C108" s="75"/>
      <c r="D108" s="75"/>
      <c r="E108" s="75"/>
      <c r="F108" s="75"/>
      <c r="G108" s="17">
        <f>'ÖK kiad'!AX46</f>
        <v>0</v>
      </c>
      <c r="H108" s="17">
        <v>0</v>
      </c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</row>
    <row r="109" spans="1:20" s="145" customFormat="1">
      <c r="A109" s="143" t="s">
        <v>1438</v>
      </c>
      <c r="B109" s="144" t="s">
        <v>1482</v>
      </c>
      <c r="C109" s="144"/>
      <c r="D109" s="144"/>
      <c r="E109" s="144"/>
      <c r="F109" s="144"/>
      <c r="G109" s="22">
        <f>G110</f>
        <v>0</v>
      </c>
      <c r="H109" s="22">
        <f>H110</f>
        <v>360</v>
      </c>
      <c r="I109" s="22">
        <f>K109+M109+O109+S109</f>
        <v>0</v>
      </c>
      <c r="J109" s="22">
        <f>L109+N109+P109+T109+R109</f>
        <v>360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f>G109-K109-M109-O109</f>
        <v>0</v>
      </c>
      <c r="T109" s="22">
        <f>H109-L109-N109-P109</f>
        <v>360</v>
      </c>
    </row>
    <row r="110" spans="1:20">
      <c r="A110" s="74"/>
      <c r="B110" s="75" t="s">
        <v>401</v>
      </c>
      <c r="C110" s="75"/>
      <c r="D110" s="75"/>
      <c r="E110" s="75"/>
      <c r="F110" s="75"/>
      <c r="G110" s="17">
        <f>'ÖK kiad'!AY46</f>
        <v>0</v>
      </c>
      <c r="H110" s="17">
        <f>60+300</f>
        <v>360</v>
      </c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</row>
    <row r="111" spans="1:20" s="145" customFormat="1">
      <c r="A111" s="143" t="s">
        <v>1439</v>
      </c>
      <c r="B111" s="144" t="s">
        <v>1483</v>
      </c>
      <c r="C111" s="144"/>
      <c r="D111" s="144"/>
      <c r="E111" s="144"/>
      <c r="F111" s="144"/>
      <c r="G111" s="22">
        <f>G112</f>
        <v>20048</v>
      </c>
      <c r="H111" s="22">
        <f>H112</f>
        <v>20048</v>
      </c>
      <c r="I111" s="22">
        <f>K111+M111+O111+S111</f>
        <v>20048</v>
      </c>
      <c r="J111" s="22">
        <f>L111+N111+P111+T111+R111</f>
        <v>20048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  <c r="S111" s="22">
        <f>G111-K111-M111-O111</f>
        <v>20048</v>
      </c>
      <c r="T111" s="22">
        <f>H111-L111-N111-P111</f>
        <v>20048</v>
      </c>
    </row>
    <row r="112" spans="1:20">
      <c r="A112" s="74"/>
      <c r="B112" s="75" t="s">
        <v>105</v>
      </c>
      <c r="C112" s="75"/>
      <c r="D112" s="75"/>
      <c r="E112" s="75"/>
      <c r="F112" s="75"/>
      <c r="G112" s="17">
        <f>'ÖK kiad'!AZ35</f>
        <v>20048</v>
      </c>
      <c r="H112" s="17">
        <v>20048</v>
      </c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</row>
    <row r="113" spans="1:20" s="145" customFormat="1">
      <c r="A113" s="143" t="s">
        <v>1440</v>
      </c>
      <c r="B113" s="144" t="s">
        <v>1484</v>
      </c>
      <c r="C113" s="144"/>
      <c r="D113" s="144"/>
      <c r="E113" s="144"/>
      <c r="F113" s="144"/>
      <c r="G113" s="22">
        <f>G116</f>
        <v>0</v>
      </c>
      <c r="H113" s="22">
        <f>H116+H114+H115</f>
        <v>4211</v>
      </c>
      <c r="I113" s="22">
        <f>K113+M113+O113+S113</f>
        <v>0</v>
      </c>
      <c r="J113" s="22">
        <f>L113+N113+P113+T113+R113</f>
        <v>4211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f>G113-K113-M113-O113</f>
        <v>0</v>
      </c>
      <c r="T113" s="22">
        <f>H113-L113-N113-P113</f>
        <v>4211</v>
      </c>
    </row>
    <row r="114" spans="1:20" s="145" customFormat="1">
      <c r="A114" s="74"/>
      <c r="B114" s="75" t="s">
        <v>1850</v>
      </c>
      <c r="C114" s="75"/>
      <c r="D114" s="75"/>
      <c r="E114" s="75"/>
      <c r="F114" s="75"/>
      <c r="G114" s="17">
        <v>0</v>
      </c>
      <c r="H114" s="17">
        <f>730+100+63</f>
        <v>893</v>
      </c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</row>
    <row r="115" spans="1:20" s="145" customFormat="1">
      <c r="A115" s="74"/>
      <c r="B115" s="75" t="s">
        <v>1849</v>
      </c>
      <c r="C115" s="75"/>
      <c r="D115" s="75"/>
      <c r="E115" s="75"/>
      <c r="F115" s="75"/>
      <c r="G115" s="17">
        <v>0</v>
      </c>
      <c r="H115" s="17">
        <f>370+40</f>
        <v>410</v>
      </c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</row>
    <row r="116" spans="1:20">
      <c r="A116" s="74"/>
      <c r="B116" s="75" t="s">
        <v>214</v>
      </c>
      <c r="C116" s="75"/>
      <c r="D116" s="75"/>
      <c r="E116" s="75"/>
      <c r="F116" s="75"/>
      <c r="G116" s="17">
        <f>'ÖK kiad'!BA26</f>
        <v>0</v>
      </c>
      <c r="H116" s="17">
        <f>2000+145+43+85+50+50+50+50+90+50+178+17+100</f>
        <v>2908</v>
      </c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</row>
    <row r="117" spans="1:20" s="145" customFormat="1">
      <c r="A117" s="143" t="s">
        <v>1441</v>
      </c>
      <c r="B117" s="144" t="s">
        <v>1408</v>
      </c>
      <c r="C117" s="144"/>
      <c r="D117" s="144"/>
      <c r="E117" s="144"/>
      <c r="F117" s="144"/>
      <c r="G117" s="22">
        <f>G118+G119</f>
        <v>180605</v>
      </c>
      <c r="H117" s="22">
        <f>H118+H119</f>
        <v>234869</v>
      </c>
      <c r="I117" s="22">
        <f>K117+M117+O117+S117</f>
        <v>180605</v>
      </c>
      <c r="J117" s="22">
        <f>L117+N117+P117+T117+R117</f>
        <v>234869</v>
      </c>
      <c r="K117" s="22">
        <v>0</v>
      </c>
      <c r="L117" s="22">
        <v>0</v>
      </c>
      <c r="M117" s="22">
        <v>0</v>
      </c>
      <c r="N117" s="22">
        <v>0</v>
      </c>
      <c r="O117" s="22">
        <f>'2A Önk bev'!C90-'2C Önk bev kiad fel'!G126</f>
        <v>137249</v>
      </c>
      <c r="P117" s="593">
        <v>158557</v>
      </c>
      <c r="Q117" s="22">
        <v>0</v>
      </c>
      <c r="R117" s="22">
        <v>0</v>
      </c>
      <c r="S117" s="22">
        <f>G117-K117-M117-O117</f>
        <v>43356</v>
      </c>
      <c r="T117" s="22">
        <f>H117-L117-N117-P117</f>
        <v>76312</v>
      </c>
    </row>
    <row r="118" spans="1:20">
      <c r="A118" s="74"/>
      <c r="B118" s="75" t="s">
        <v>130</v>
      </c>
      <c r="C118" s="75"/>
      <c r="D118" s="75"/>
      <c r="E118" s="75"/>
      <c r="F118" s="75"/>
      <c r="G118" s="17">
        <f>'ÖK kiad'!BB56</f>
        <v>99107</v>
      </c>
      <c r="H118" s="17">
        <f>99107+2413+2413+4800+32690+5000+400+6000-1920+635+1044+90</f>
        <v>152672</v>
      </c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</row>
    <row r="119" spans="1:20">
      <c r="A119" s="74"/>
      <c r="B119" s="75" t="s">
        <v>110</v>
      </c>
      <c r="C119" s="75"/>
      <c r="D119" s="75"/>
      <c r="E119" s="75"/>
      <c r="F119" s="75"/>
      <c r="G119" s="17">
        <f>'ÖK kiad'!BC61</f>
        <v>81498</v>
      </c>
      <c r="H119" s="17">
        <f>81498+699</f>
        <v>82197</v>
      </c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</row>
    <row r="120" spans="1:20" s="145" customFormat="1">
      <c r="A120" s="143" t="s">
        <v>1795</v>
      </c>
      <c r="B120" s="144" t="s">
        <v>1794</v>
      </c>
      <c r="C120" s="144"/>
      <c r="D120" s="144"/>
      <c r="E120" s="144"/>
      <c r="F120" s="144"/>
      <c r="G120" s="22">
        <f>G121</f>
        <v>17400</v>
      </c>
      <c r="H120" s="22">
        <f>H121</f>
        <v>17400</v>
      </c>
      <c r="I120" s="22">
        <f>K120+M120+O120+S120</f>
        <v>17400</v>
      </c>
      <c r="J120" s="22">
        <f>L120+N120+P120+T120+R120</f>
        <v>17400</v>
      </c>
      <c r="K120" s="22">
        <v>17400</v>
      </c>
      <c r="L120" s="22">
        <v>17400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0</v>
      </c>
      <c r="S120" s="22">
        <f>G120-K120-M120-O120</f>
        <v>0</v>
      </c>
      <c r="T120" s="22">
        <f>H120-L120-N120-P120</f>
        <v>0</v>
      </c>
    </row>
    <row r="121" spans="1:20">
      <c r="A121" s="603"/>
      <c r="B121" s="592" t="s">
        <v>214</v>
      </c>
      <c r="C121" s="592"/>
      <c r="D121" s="592"/>
      <c r="E121" s="592"/>
      <c r="F121" s="592"/>
      <c r="G121" s="586">
        <f>'ÖK kiad'!BE26</f>
        <v>17400</v>
      </c>
      <c r="H121" s="586">
        <v>17400</v>
      </c>
      <c r="I121" s="586"/>
      <c r="J121" s="586"/>
      <c r="K121" s="586"/>
      <c r="L121" s="586"/>
      <c r="M121" s="586"/>
      <c r="N121" s="586"/>
      <c r="O121" s="586"/>
      <c r="P121" s="586"/>
      <c r="Q121" s="586"/>
      <c r="R121" s="586"/>
      <c r="S121" s="586"/>
      <c r="T121" s="586"/>
    </row>
    <row r="122" spans="1:20" s="145" customFormat="1">
      <c r="A122" s="604" t="s">
        <v>1820</v>
      </c>
      <c r="B122" s="605" t="s">
        <v>1862</v>
      </c>
      <c r="C122" s="605"/>
      <c r="D122" s="605"/>
      <c r="E122" s="605"/>
      <c r="F122" s="605"/>
      <c r="G122" s="593">
        <f>G123</f>
        <v>6000</v>
      </c>
      <c r="H122" s="593">
        <f>H123</f>
        <v>6000</v>
      </c>
      <c r="I122" s="593">
        <f>K122+M122+O122+S122</f>
        <v>6000</v>
      </c>
      <c r="J122" s="593">
        <f>L122+N122+P122+T122+R122</f>
        <v>6000</v>
      </c>
      <c r="K122" s="593">
        <v>0</v>
      </c>
      <c r="L122" s="593">
        <v>0</v>
      </c>
      <c r="M122" s="593">
        <v>0</v>
      </c>
      <c r="N122" s="593">
        <v>0</v>
      </c>
      <c r="O122" s="593">
        <v>0</v>
      </c>
      <c r="P122" s="593">
        <v>0</v>
      </c>
      <c r="Q122" s="593">
        <v>0</v>
      </c>
      <c r="R122" s="593">
        <v>0</v>
      </c>
      <c r="S122" s="593">
        <f>G122-K122-M122-O122</f>
        <v>6000</v>
      </c>
      <c r="T122" s="593">
        <f>H122-L122-N122-P122</f>
        <v>6000</v>
      </c>
    </row>
    <row r="123" spans="1:20">
      <c r="A123" s="603"/>
      <c r="B123" s="592" t="s">
        <v>401</v>
      </c>
      <c r="C123" s="592"/>
      <c r="D123" s="592"/>
      <c r="E123" s="592"/>
      <c r="F123" s="592"/>
      <c r="G123" s="586">
        <f>'ÖK kiad'!BF46</f>
        <v>6000</v>
      </c>
      <c r="H123" s="586">
        <v>6000</v>
      </c>
      <c r="I123" s="586"/>
      <c r="J123" s="586"/>
      <c r="K123" s="586"/>
      <c r="L123" s="586"/>
      <c r="M123" s="586"/>
      <c r="N123" s="586"/>
      <c r="O123" s="586"/>
      <c r="P123" s="586"/>
      <c r="Q123" s="586"/>
      <c r="R123" s="586"/>
      <c r="S123" s="586"/>
      <c r="T123" s="586"/>
    </row>
    <row r="124" spans="1:20" s="145" customFormat="1">
      <c r="A124" s="443" t="s">
        <v>44</v>
      </c>
      <c r="B124" s="606" t="s">
        <v>123</v>
      </c>
      <c r="C124" s="606"/>
      <c r="D124" s="606"/>
      <c r="E124" s="606"/>
      <c r="F124" s="606"/>
      <c r="G124" s="591">
        <f>G125+G126</f>
        <v>2645113</v>
      </c>
      <c r="H124" s="591">
        <f>H125+H126</f>
        <v>2841636</v>
      </c>
      <c r="I124" s="591">
        <f>K124+M124+S124+O124</f>
        <v>2645113</v>
      </c>
      <c r="J124" s="591">
        <f>L124+N124+T124+P124+R124</f>
        <v>2841636</v>
      </c>
      <c r="K124" s="591">
        <f>'2A Önk bev'!C8+'2A Önk bev'!C9+'2A Önk bev'!C10+'2A Önk bev'!C17+'2A Önk bev'!C19-996-8500+'2A Önk bev'!C20+4600</f>
        <v>439929</v>
      </c>
      <c r="L124" s="591">
        <f>439929+1142+4008-147+137484+996+344</f>
        <v>583756</v>
      </c>
      <c r="M124" s="591">
        <v>0</v>
      </c>
      <c r="N124" s="591">
        <f>3510</f>
        <v>3510</v>
      </c>
      <c r="O124" s="591">
        <f>1142330+11457-17455-1100</f>
        <v>1135232</v>
      </c>
      <c r="P124" s="591">
        <v>0</v>
      </c>
      <c r="Q124" s="591">
        <v>0</v>
      </c>
      <c r="R124" s="591">
        <v>822500</v>
      </c>
      <c r="S124" s="591">
        <f>G124-K124-M124-O124</f>
        <v>1069952</v>
      </c>
      <c r="T124" s="591">
        <f>H124-L124-N124-P124-R124</f>
        <v>1431870</v>
      </c>
    </row>
    <row r="125" spans="1:20">
      <c r="A125" s="603"/>
      <c r="B125" s="592" t="s">
        <v>408</v>
      </c>
      <c r="C125" s="592"/>
      <c r="D125" s="592"/>
      <c r="E125" s="592"/>
      <c r="F125" s="592"/>
      <c r="G125" s="586">
        <f>'3A PH'!C34+'4A. VG bev kiad'!C34+'5A Walla'!C34+'5B Nyitnikék'!C34+'5C Bóbita'!C34+'5D MMMH'!C34+'5E Könyvtár'!C34+'5F Segítő Kéz'!C34</f>
        <v>2633656</v>
      </c>
      <c r="H125" s="586">
        <f>2633656+1142+4008-147+996+344+3510+1680+5000+1270+1920+350+50+100+98+280+40+497+4354+19119+3810+96+3901+658+1402+4561</f>
        <v>2692695</v>
      </c>
      <c r="I125" s="586"/>
      <c r="J125" s="586"/>
      <c r="K125" s="586"/>
      <c r="L125" s="586"/>
      <c r="M125" s="586"/>
      <c r="N125" s="586"/>
      <c r="O125" s="586"/>
      <c r="P125" s="586"/>
      <c r="Q125" s="586"/>
      <c r="R125" s="586"/>
      <c r="S125" s="586"/>
      <c r="T125" s="586"/>
    </row>
    <row r="126" spans="1:20">
      <c r="A126" s="74"/>
      <c r="B126" s="75" t="s">
        <v>409</v>
      </c>
      <c r="C126" s="75"/>
      <c r="D126" s="75"/>
      <c r="E126" s="75"/>
      <c r="F126" s="75"/>
      <c r="G126" s="17">
        <f>'9. hitelállomány'!F13</f>
        <v>11457</v>
      </c>
      <c r="H126" s="17">
        <f>'9. hitelállomány'!G13</f>
        <v>148941</v>
      </c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</row>
    <row r="129" spans="2:4">
      <c r="B129" s="72" t="s">
        <v>1867</v>
      </c>
      <c r="C129" s="633">
        <f>'3A PH'!D34+'4A. VG bev kiad'!D34+'5A Walla'!D34+'5B Nyitnikék'!D34+'5C Bóbita'!D34+'5D MMMH'!D34+'5E Könyvtár'!D34+'5F Segítő Kéz'!D34</f>
        <v>2692695</v>
      </c>
      <c r="D129" s="633"/>
    </row>
    <row r="130" spans="2:4">
      <c r="B130" s="72" t="s">
        <v>1868</v>
      </c>
      <c r="C130" s="632">
        <f>H125-C129</f>
        <v>0</v>
      </c>
      <c r="D130" s="632"/>
    </row>
  </sheetData>
  <autoFilter ref="A1:T126">
    <filterColumn colId="16"/>
    <filterColumn colId="17"/>
  </autoFilter>
  <mergeCells count="14">
    <mergeCell ref="I2:T2"/>
    <mergeCell ref="A2:A4"/>
    <mergeCell ref="B2:B4"/>
    <mergeCell ref="C2:D3"/>
    <mergeCell ref="E2:F3"/>
    <mergeCell ref="G2:H3"/>
    <mergeCell ref="I3:J3"/>
    <mergeCell ref="K3:L3"/>
    <mergeCell ref="Q3:R3"/>
    <mergeCell ref="C130:D130"/>
    <mergeCell ref="C129:D129"/>
    <mergeCell ref="M3:N3"/>
    <mergeCell ref="O3:P3"/>
    <mergeCell ref="S3:T3"/>
  </mergeCells>
  <printOptions horizontalCentered="1"/>
  <pageMargins left="0.70866141732283472" right="0.70866141732283472" top="0.9055118110236221" bottom="0.74803149606299213" header="0.31496062992125984" footer="0.31496062992125984"/>
  <pageSetup paperSize="8" scale="67" pageOrder="overThenDown" orientation="portrait" r:id="rId1"/>
  <headerFooter>
    <oddHeader>&amp;L2/C. melléklet a 20/2014. (VI.30.) önkormányzati rendelethez&amp;C&amp;"-,Félkövér"&amp;16
Az Önkormányzat 2014. évi bevételei és kiadásai feladatonként</oddHeader>
    <oddFooter>&amp;C&amp;P</oddFooter>
  </headerFooter>
  <rowBreaks count="1" manualBreakCount="1">
    <brk id="76" max="17" man="1"/>
  </rowBreaks>
  <colBreaks count="1" manualBreakCount="1">
    <brk id="8" max="122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P157"/>
  <sheetViews>
    <sheetView showZeros="0" view="pageLayout" topLeftCell="C1" zoomScaleNormal="100" zoomScaleSheetLayoutView="100" workbookViewId="0">
      <selection activeCell="G4" sqref="G4"/>
    </sheetView>
  </sheetViews>
  <sheetFormatPr defaultColWidth="11.85546875" defaultRowHeight="15"/>
  <cols>
    <col min="1" max="1" width="59" style="78" customWidth="1"/>
    <col min="2" max="2" width="10.5703125" style="106" hidden="1" customWidth="1"/>
    <col min="3" max="4" width="20.5703125" style="107" customWidth="1"/>
    <col min="5" max="16384" width="11.85546875" style="78"/>
  </cols>
  <sheetData>
    <row r="1" spans="1:250">
      <c r="C1" s="545"/>
      <c r="D1" s="545" t="s">
        <v>0</v>
      </c>
    </row>
    <row r="2" spans="1:250" s="76" customFormat="1" ht="27.75" customHeight="1">
      <c r="A2" s="108" t="s">
        <v>58</v>
      </c>
      <c r="B2" s="109" t="s">
        <v>157</v>
      </c>
      <c r="C2" s="110" t="s">
        <v>437</v>
      </c>
      <c r="D2" s="110" t="s">
        <v>1827</v>
      </c>
      <c r="HY2" s="77"/>
      <c r="HZ2" s="77"/>
      <c r="IA2" s="77"/>
      <c r="IB2" s="77"/>
      <c r="IC2" s="77"/>
      <c r="ID2" s="77"/>
      <c r="IE2" s="77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pans="1:250" s="76" customFormat="1" ht="27.75" customHeight="1">
      <c r="A3" s="79" t="s">
        <v>1534</v>
      </c>
      <c r="B3" s="80"/>
      <c r="C3" s="81">
        <f>'2B Önk kiad'!C14</f>
        <v>53700</v>
      </c>
      <c r="D3" s="81">
        <f>'2B Önk kiad'!D14</f>
        <v>42495</v>
      </c>
      <c r="HY3" s="77"/>
      <c r="HZ3" s="77"/>
      <c r="IA3" s="77"/>
      <c r="IB3" s="77"/>
      <c r="IC3" s="77"/>
      <c r="ID3" s="77"/>
      <c r="IE3" s="77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pans="1:250" s="83" customFormat="1" ht="24" customHeight="1">
      <c r="A4" s="79" t="s">
        <v>1545</v>
      </c>
      <c r="B4" s="80">
        <f>SUM(B5:B5)</f>
        <v>1272418</v>
      </c>
      <c r="C4" s="81">
        <f>SUM(C5:C12)</f>
        <v>383094</v>
      </c>
      <c r="D4" s="81">
        <f>SUM(D5:D12)</f>
        <v>343701</v>
      </c>
      <c r="E4" s="82"/>
      <c r="HY4" s="84"/>
      <c r="HZ4" s="84"/>
      <c r="IA4" s="84"/>
      <c r="IB4" s="84"/>
      <c r="IC4" s="84"/>
      <c r="ID4" s="84"/>
      <c r="IE4" s="84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78"/>
    </row>
    <row r="5" spans="1:250" s="90" customFormat="1" ht="33" customHeight="1">
      <c r="A5" s="86" t="s">
        <v>1535</v>
      </c>
      <c r="B5" s="87">
        <v>1272418</v>
      </c>
      <c r="C5" s="88">
        <f>340000+3589-1685-66599-21750-2430-1500-2000-1500-500-2500-180-1500-1100-6227-32000-1000+94876-2032</f>
        <v>293962</v>
      </c>
      <c r="D5" s="88">
        <f>293962-2000-2413-2413-4800-1680-2000-32690-5000-400-6000-1270-497+52024-3000-5000+6617-96-3901-658-1402-4561</f>
        <v>272822</v>
      </c>
      <c r="E5" s="89"/>
      <c r="F5" s="89"/>
      <c r="H5" s="89"/>
      <c r="HU5" s="91"/>
      <c r="HV5" s="91"/>
      <c r="HW5" s="91"/>
      <c r="HX5" s="91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pans="1:250" s="90" customFormat="1" ht="24" customHeight="1">
      <c r="A6" s="86" t="s">
        <v>1536</v>
      </c>
      <c r="B6" s="87"/>
      <c r="C6" s="88">
        <v>22968</v>
      </c>
      <c r="D6" s="88">
        <f>22968+2460+1048</f>
        <v>26476</v>
      </c>
      <c r="HU6" s="91"/>
      <c r="HV6" s="91"/>
      <c r="HW6" s="91"/>
      <c r="HX6" s="91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pans="1:250" s="90" customFormat="1" ht="24" customHeight="1">
      <c r="A7" s="86" t="s">
        <v>1537</v>
      </c>
      <c r="B7" s="87"/>
      <c r="C7" s="88">
        <v>3000</v>
      </c>
      <c r="D7" s="88">
        <f>3000-1177</f>
        <v>1823</v>
      </c>
      <c r="E7" s="89"/>
      <c r="HU7" s="91"/>
      <c r="HV7" s="91"/>
      <c r="HW7" s="91"/>
      <c r="HX7" s="91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pans="1:250" s="90" customFormat="1" ht="24" customHeight="1">
      <c r="A8" s="86" t="s">
        <v>1538</v>
      </c>
      <c r="B8" s="87"/>
      <c r="C8" s="88">
        <v>1500</v>
      </c>
      <c r="D8" s="88">
        <f>1500-965</f>
        <v>535</v>
      </c>
      <c r="E8" s="89"/>
      <c r="HU8" s="91"/>
      <c r="HV8" s="91"/>
      <c r="HW8" s="91"/>
      <c r="HX8" s="91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pans="1:250" s="90" customFormat="1" ht="24" customHeight="1">
      <c r="A9" s="86" t="s">
        <v>1539</v>
      </c>
      <c r="B9" s="87"/>
      <c r="C9" s="88">
        <v>1500</v>
      </c>
      <c r="D9" s="88">
        <f>1500-500</f>
        <v>1000</v>
      </c>
      <c r="E9" s="89"/>
      <c r="HU9" s="91"/>
      <c r="HV9" s="91"/>
      <c r="HW9" s="91"/>
      <c r="HX9" s="91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pans="1:250" s="90" customFormat="1" ht="24" customHeight="1">
      <c r="A10" s="92" t="s">
        <v>1540</v>
      </c>
      <c r="B10" s="87"/>
      <c r="C10" s="88">
        <f>64+32000</f>
        <v>32064</v>
      </c>
      <c r="D10" s="88">
        <f>32064-19119</f>
        <v>12945</v>
      </c>
      <c r="E10" s="89"/>
      <c r="HU10" s="91"/>
      <c r="HV10" s="91"/>
      <c r="HW10" s="91"/>
      <c r="HX10" s="91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pans="1:250" s="90" customFormat="1" ht="24" customHeight="1">
      <c r="A11" s="92" t="s">
        <v>1771</v>
      </c>
      <c r="B11" s="87"/>
      <c r="C11" s="88">
        <v>21750</v>
      </c>
      <c r="D11" s="88">
        <v>21750</v>
      </c>
      <c r="E11" s="89"/>
      <c r="HU11" s="91"/>
      <c r="HV11" s="91"/>
      <c r="HW11" s="91"/>
      <c r="HX11" s="91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pans="1:250" s="90" customFormat="1" ht="24" customHeight="1">
      <c r="A12" s="528" t="s">
        <v>1814</v>
      </c>
      <c r="B12" s="529"/>
      <c r="C12" s="530">
        <f>12350-6000</f>
        <v>6350</v>
      </c>
      <c r="D12" s="530">
        <v>6350</v>
      </c>
      <c r="E12" s="89"/>
      <c r="HU12" s="91"/>
      <c r="HV12" s="91"/>
      <c r="HW12" s="91"/>
      <c r="HX12" s="91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pans="1:250" s="93" customFormat="1" ht="24" customHeight="1">
      <c r="A13" s="79" t="s">
        <v>1546</v>
      </c>
      <c r="B13" s="80">
        <f>SUM(B14:B16)</f>
        <v>0</v>
      </c>
      <c r="C13" s="81">
        <f>SUM(C14:C18)</f>
        <v>77271</v>
      </c>
      <c r="D13" s="81">
        <f>SUM(D14:D20)</f>
        <v>95122</v>
      </c>
      <c r="HU13" s="94"/>
      <c r="HV13" s="94"/>
      <c r="HW13" s="94"/>
      <c r="HX13" s="94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78"/>
    </row>
    <row r="14" spans="1:250" s="90" customFormat="1" ht="24" customHeight="1">
      <c r="A14" s="86" t="s">
        <v>1541</v>
      </c>
      <c r="B14" s="87"/>
      <c r="C14" s="88"/>
      <c r="D14" s="88"/>
      <c r="HU14" s="91"/>
      <c r="HV14" s="91"/>
      <c r="HW14" s="91"/>
      <c r="HX14" s="91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pans="1:250" s="90" customFormat="1" ht="24" customHeight="1">
      <c r="A15" s="92" t="s">
        <v>1542</v>
      </c>
      <c r="B15" s="87"/>
      <c r="C15" s="88"/>
      <c r="D15" s="88"/>
      <c r="HU15" s="91"/>
      <c r="HV15" s="91"/>
      <c r="HW15" s="91"/>
      <c r="HX15" s="91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pans="1:250" s="90" customFormat="1" ht="24" customHeight="1">
      <c r="A16" s="92" t="s">
        <v>1543</v>
      </c>
      <c r="B16" s="87"/>
      <c r="C16" s="88">
        <v>76309</v>
      </c>
      <c r="D16" s="88">
        <v>76309</v>
      </c>
      <c r="HU16" s="91"/>
      <c r="HV16" s="91"/>
      <c r="HW16" s="91"/>
      <c r="HX16" s="91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pans="1:250" s="90" customFormat="1" ht="24" customHeight="1">
      <c r="A17" s="92" t="s">
        <v>1544</v>
      </c>
      <c r="B17" s="87"/>
      <c r="C17" s="88">
        <v>962</v>
      </c>
      <c r="D17" s="88">
        <v>962</v>
      </c>
      <c r="HU17" s="91"/>
      <c r="HV17" s="91"/>
      <c r="HW17" s="91"/>
      <c r="HX17" s="91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pans="1:250" s="90" customFormat="1" ht="24" customHeight="1">
      <c r="A18" s="528" t="s">
        <v>1783</v>
      </c>
      <c r="B18" s="529"/>
      <c r="C18" s="530">
        <v>0</v>
      </c>
      <c r="D18" s="530"/>
      <c r="HU18" s="91"/>
      <c r="HV18" s="91"/>
      <c r="HW18" s="91"/>
      <c r="HX18" s="91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pans="1:250" s="90" customFormat="1" ht="24" customHeight="1">
      <c r="A19" s="92" t="s">
        <v>1856</v>
      </c>
      <c r="B19" s="584"/>
      <c r="C19" s="585"/>
      <c r="D19" s="88">
        <f>9851+3000</f>
        <v>12851</v>
      </c>
      <c r="HU19" s="91"/>
      <c r="HV19" s="91"/>
      <c r="HW19" s="91"/>
      <c r="HX19" s="91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</row>
    <row r="20" spans="1:250" s="90" customFormat="1" ht="24" customHeight="1">
      <c r="A20" s="92" t="s">
        <v>1864</v>
      </c>
      <c r="B20" s="584"/>
      <c r="C20" s="585"/>
      <c r="D20" s="88">
        <f>5000</f>
        <v>5000</v>
      </c>
      <c r="HU20" s="91"/>
      <c r="HV20" s="91"/>
      <c r="HW20" s="91"/>
      <c r="HX20" s="91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</row>
    <row r="21" spans="1:250" s="97" customFormat="1" ht="24" customHeight="1">
      <c r="A21" s="95" t="s">
        <v>158</v>
      </c>
      <c r="B21" s="95">
        <f>SUM(B4,B13)</f>
        <v>1272418</v>
      </c>
      <c r="C21" s="96">
        <f>C4+C13+C3</f>
        <v>514065</v>
      </c>
      <c r="D21" s="96">
        <f>D4+D13+D3</f>
        <v>481318</v>
      </c>
      <c r="HU21" s="98"/>
      <c r="HV21" s="98"/>
      <c r="HW21" s="98"/>
      <c r="HX21" s="98"/>
      <c r="HY21" s="99"/>
      <c r="HZ21" s="99"/>
      <c r="IA21" s="99"/>
      <c r="IB21" s="99"/>
      <c r="IC21" s="99"/>
      <c r="ID21" s="99"/>
      <c r="IE21" s="99"/>
      <c r="IF21" s="99"/>
      <c r="IG21" s="99"/>
      <c r="IH21" s="99"/>
      <c r="II21" s="99"/>
      <c r="IJ21" s="99"/>
      <c r="IK21" s="100"/>
      <c r="IL21" s="78"/>
      <c r="IM21" s="78"/>
      <c r="IN21" s="78"/>
      <c r="IO21" s="78"/>
      <c r="IP21" s="78"/>
    </row>
    <row r="22" spans="1:250" s="90" customFormat="1">
      <c r="A22" s="101"/>
      <c r="B22" s="102"/>
      <c r="C22" s="103"/>
      <c r="D22" s="103"/>
      <c r="HU22" s="91"/>
      <c r="HV22" s="91"/>
      <c r="HW22" s="91"/>
      <c r="HX22" s="91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</row>
    <row r="23" spans="1:250" s="90" customFormat="1">
      <c r="A23" s="101"/>
      <c r="B23" s="102"/>
      <c r="C23" s="103"/>
      <c r="D23" s="103"/>
      <c r="HU23" s="91"/>
      <c r="HV23" s="91"/>
      <c r="HW23" s="91"/>
      <c r="HX23" s="91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</row>
    <row r="24" spans="1:250" s="90" customFormat="1">
      <c r="A24" s="101"/>
      <c r="B24" s="102"/>
      <c r="C24" s="103"/>
      <c r="D24" s="103"/>
      <c r="HU24" s="91"/>
      <c r="HV24" s="91"/>
      <c r="HW24" s="91"/>
      <c r="HX24" s="91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</row>
    <row r="25" spans="1:250" s="90" customFormat="1">
      <c r="A25" s="101"/>
      <c r="B25" s="102"/>
      <c r="C25" s="103"/>
      <c r="D25" s="103"/>
      <c r="HU25" s="91"/>
      <c r="HV25" s="91"/>
      <c r="HW25" s="91"/>
      <c r="HX25" s="91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</row>
    <row r="26" spans="1:250" s="90" customFormat="1">
      <c r="A26" s="101"/>
      <c r="B26" s="102"/>
      <c r="C26" s="103"/>
      <c r="D26" s="103"/>
      <c r="HU26" s="91"/>
      <c r="HV26" s="91"/>
      <c r="HW26" s="91"/>
      <c r="HX26" s="91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</row>
    <row r="27" spans="1:250" s="90" customFormat="1">
      <c r="A27" s="101"/>
      <c r="B27" s="102"/>
      <c r="C27" s="103"/>
      <c r="D27" s="103"/>
      <c r="AE27" s="104"/>
      <c r="HU27" s="91"/>
      <c r="HV27" s="91"/>
      <c r="HW27" s="91"/>
      <c r="HX27" s="91"/>
      <c r="HY27" s="78"/>
      <c r="HZ27" s="78"/>
      <c r="IA27" s="78"/>
      <c r="IB27" s="78"/>
      <c r="IC27" s="78"/>
      <c r="ID27" s="78"/>
      <c r="IE27" s="78"/>
      <c r="IF27" s="78"/>
      <c r="IG27" s="78"/>
      <c r="IH27" s="78"/>
      <c r="II27" s="78"/>
      <c r="IJ27" s="78"/>
      <c r="IK27" s="78"/>
      <c r="IL27" s="78"/>
      <c r="IM27" s="78"/>
      <c r="IN27" s="78"/>
      <c r="IO27" s="78"/>
      <c r="IP27" s="78"/>
    </row>
    <row r="28" spans="1:250" s="90" customFormat="1">
      <c r="A28" s="101"/>
      <c r="B28" s="102"/>
      <c r="C28" s="103"/>
      <c r="D28" s="103"/>
      <c r="AE28" s="105"/>
      <c r="HU28" s="91"/>
      <c r="HV28" s="91"/>
      <c r="HW28" s="91"/>
      <c r="HX28" s="91"/>
      <c r="HY28" s="78"/>
      <c r="HZ28" s="78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78"/>
      <c r="IM28" s="78"/>
      <c r="IN28" s="78"/>
      <c r="IO28" s="78"/>
      <c r="IP28" s="78"/>
    </row>
    <row r="29" spans="1:250" s="90" customFormat="1">
      <c r="A29" s="101"/>
      <c r="B29" s="102"/>
      <c r="C29" s="103"/>
      <c r="D29" s="103"/>
      <c r="AE29" s="105"/>
      <c r="HU29" s="91"/>
      <c r="HV29" s="91"/>
      <c r="HW29" s="91"/>
      <c r="HX29" s="91"/>
      <c r="HY29" s="78"/>
      <c r="HZ29" s="78"/>
      <c r="IA29" s="78"/>
      <c r="IB29" s="78"/>
      <c r="IC29" s="78"/>
      <c r="ID29" s="78"/>
      <c r="IE29" s="78"/>
      <c r="IF29" s="78"/>
      <c r="IG29" s="78"/>
      <c r="IH29" s="78"/>
      <c r="II29" s="78"/>
      <c r="IJ29" s="78"/>
      <c r="IK29" s="78"/>
      <c r="IL29" s="78"/>
      <c r="IM29" s="78"/>
      <c r="IN29" s="78"/>
      <c r="IO29" s="78"/>
      <c r="IP29" s="78"/>
    </row>
    <row r="30" spans="1:250" s="90" customFormat="1">
      <c r="A30" s="101"/>
      <c r="B30" s="102"/>
      <c r="C30" s="103"/>
      <c r="D30" s="103"/>
      <c r="HU30" s="91"/>
      <c r="HV30" s="91"/>
      <c r="HW30" s="91"/>
      <c r="HX30" s="91"/>
      <c r="HY30" s="78"/>
      <c r="HZ30" s="78"/>
      <c r="IA30" s="78"/>
      <c r="IB30" s="78"/>
      <c r="IC30" s="78"/>
      <c r="ID30" s="78"/>
      <c r="IE30" s="78"/>
      <c r="IF30" s="78"/>
      <c r="IG30" s="78"/>
      <c r="IH30" s="78"/>
      <c r="II30" s="78"/>
      <c r="IJ30" s="78"/>
      <c r="IK30" s="78"/>
      <c r="IL30" s="78"/>
      <c r="IM30" s="78"/>
      <c r="IN30" s="78"/>
      <c r="IO30" s="78"/>
      <c r="IP30" s="78"/>
    </row>
    <row r="31" spans="1:250" s="90" customFormat="1">
      <c r="A31" s="101"/>
      <c r="B31" s="102"/>
      <c r="C31" s="103"/>
      <c r="D31" s="103"/>
      <c r="HU31" s="91"/>
      <c r="HV31" s="91"/>
      <c r="HW31" s="91"/>
      <c r="HX31" s="91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  <c r="IK31" s="78"/>
      <c r="IL31" s="78"/>
      <c r="IM31" s="78"/>
      <c r="IN31" s="78"/>
      <c r="IO31" s="78"/>
      <c r="IP31" s="78"/>
    </row>
    <row r="32" spans="1:250" s="90" customFormat="1">
      <c r="A32" s="101"/>
      <c r="B32" s="102"/>
      <c r="C32" s="103"/>
      <c r="D32" s="103"/>
      <c r="HU32" s="91"/>
      <c r="HV32" s="91"/>
      <c r="HW32" s="91"/>
      <c r="HX32" s="91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</row>
    <row r="33" spans="1:250" s="90" customFormat="1">
      <c r="A33" s="101"/>
      <c r="B33" s="102"/>
      <c r="C33" s="103"/>
      <c r="D33" s="103"/>
      <c r="HU33" s="91"/>
      <c r="HV33" s="91"/>
      <c r="HW33" s="91"/>
      <c r="HX33" s="91"/>
      <c r="HY33" s="78"/>
      <c r="HZ33" s="78"/>
      <c r="IA33" s="78"/>
      <c r="IB33" s="78"/>
      <c r="IC33" s="78"/>
      <c r="ID33" s="78"/>
      <c r="IE33" s="78"/>
      <c r="IF33" s="78"/>
      <c r="IG33" s="78"/>
      <c r="IH33" s="78"/>
      <c r="II33" s="78"/>
      <c r="IJ33" s="78"/>
      <c r="IK33" s="78"/>
      <c r="IL33" s="78"/>
      <c r="IM33" s="78"/>
      <c r="IN33" s="78"/>
      <c r="IO33" s="78"/>
      <c r="IP33" s="78"/>
    </row>
    <row r="34" spans="1:250" s="90" customFormat="1">
      <c r="A34" s="101"/>
      <c r="B34" s="102"/>
      <c r="C34" s="103"/>
      <c r="D34" s="103"/>
      <c r="HU34" s="91"/>
      <c r="HV34" s="91"/>
      <c r="HW34" s="91"/>
      <c r="HX34" s="91"/>
      <c r="HY34" s="78"/>
      <c r="HZ34" s="78"/>
      <c r="IA34" s="78"/>
      <c r="IB34" s="78"/>
      <c r="IC34" s="78"/>
      <c r="ID34" s="78"/>
      <c r="IE34" s="78"/>
      <c r="IF34" s="78"/>
      <c r="IG34" s="78"/>
      <c r="IH34" s="78"/>
      <c r="II34" s="78"/>
      <c r="IJ34" s="78"/>
      <c r="IK34" s="78"/>
      <c r="IL34" s="78"/>
      <c r="IM34" s="78"/>
      <c r="IN34" s="78"/>
      <c r="IO34" s="78"/>
      <c r="IP34" s="78"/>
    </row>
    <row r="35" spans="1:250" s="90" customFormat="1">
      <c r="A35" s="101"/>
      <c r="B35" s="102"/>
      <c r="C35" s="103"/>
      <c r="D35" s="103"/>
      <c r="HU35" s="91"/>
      <c r="HV35" s="91"/>
      <c r="HW35" s="91"/>
      <c r="HX35" s="91"/>
      <c r="HY35" s="78"/>
      <c r="HZ35" s="78"/>
      <c r="IA35" s="78"/>
      <c r="IB35" s="78"/>
      <c r="IC35" s="78"/>
      <c r="ID35" s="78"/>
      <c r="IE35" s="78"/>
      <c r="IF35" s="78"/>
      <c r="IG35" s="78"/>
      <c r="IH35" s="78"/>
      <c r="II35" s="78"/>
      <c r="IJ35" s="78"/>
      <c r="IK35" s="78"/>
      <c r="IL35" s="78"/>
      <c r="IM35" s="78"/>
      <c r="IN35" s="78"/>
      <c r="IO35" s="78"/>
      <c r="IP35" s="78"/>
    </row>
    <row r="36" spans="1:250" s="90" customFormat="1">
      <c r="A36" s="101"/>
      <c r="B36" s="102"/>
      <c r="C36" s="103"/>
      <c r="D36" s="103"/>
      <c r="HU36" s="91"/>
      <c r="HV36" s="91"/>
      <c r="HW36" s="91"/>
      <c r="HX36" s="91"/>
      <c r="HY36" s="78"/>
      <c r="HZ36" s="78"/>
      <c r="IA36" s="78"/>
      <c r="IB36" s="78"/>
      <c r="IC36" s="78"/>
      <c r="ID36" s="78"/>
      <c r="IE36" s="78"/>
      <c r="IF36" s="78"/>
      <c r="IG36" s="78"/>
      <c r="IH36" s="78"/>
      <c r="II36" s="78"/>
      <c r="IJ36" s="78"/>
      <c r="IK36" s="78"/>
      <c r="IL36" s="78"/>
      <c r="IM36" s="78"/>
      <c r="IN36" s="78"/>
      <c r="IO36" s="78"/>
      <c r="IP36" s="78"/>
    </row>
    <row r="37" spans="1:250" s="90" customFormat="1">
      <c r="A37" s="101"/>
      <c r="B37" s="102"/>
      <c r="C37" s="103"/>
      <c r="D37" s="103"/>
      <c r="HU37" s="91"/>
      <c r="HV37" s="91"/>
      <c r="HW37" s="91"/>
      <c r="HX37" s="91"/>
      <c r="HY37" s="78"/>
      <c r="HZ37" s="78"/>
      <c r="IA37" s="78"/>
      <c r="IB37" s="78"/>
      <c r="IC37" s="78"/>
      <c r="ID37" s="78"/>
      <c r="IE37" s="78"/>
      <c r="IF37" s="78"/>
      <c r="IG37" s="78"/>
      <c r="IH37" s="78"/>
      <c r="II37" s="78"/>
      <c r="IJ37" s="78"/>
      <c r="IK37" s="78"/>
      <c r="IL37" s="78"/>
      <c r="IM37" s="78"/>
      <c r="IN37" s="78"/>
      <c r="IO37" s="78"/>
      <c r="IP37" s="78"/>
    </row>
    <row r="38" spans="1:250" s="90" customFormat="1">
      <c r="A38" s="101"/>
      <c r="B38" s="102"/>
      <c r="C38" s="103"/>
      <c r="D38" s="103"/>
      <c r="HU38" s="91"/>
      <c r="HV38" s="91"/>
      <c r="HW38" s="91"/>
      <c r="HX38" s="91"/>
      <c r="HY38" s="78"/>
      <c r="HZ38" s="78"/>
      <c r="IA38" s="78"/>
      <c r="IB38" s="78"/>
      <c r="IC38" s="78"/>
      <c r="ID38" s="78"/>
      <c r="IE38" s="78"/>
      <c r="IF38" s="78"/>
      <c r="IG38" s="78"/>
      <c r="IH38" s="78"/>
      <c r="II38" s="78"/>
      <c r="IJ38" s="78"/>
      <c r="IK38" s="78"/>
      <c r="IL38" s="78"/>
      <c r="IM38" s="78"/>
      <c r="IN38" s="78"/>
      <c r="IO38" s="78"/>
      <c r="IP38" s="78"/>
    </row>
    <row r="39" spans="1:250" s="90" customFormat="1">
      <c r="A39" s="101"/>
      <c r="B39" s="102"/>
      <c r="C39" s="103"/>
      <c r="D39" s="103"/>
      <c r="HU39" s="91"/>
      <c r="HV39" s="91"/>
      <c r="HW39" s="91"/>
      <c r="HX39" s="91"/>
      <c r="HY39" s="78"/>
      <c r="HZ39" s="78"/>
      <c r="IA39" s="78"/>
      <c r="IB39" s="78"/>
      <c r="IC39" s="78"/>
      <c r="ID39" s="78"/>
      <c r="IE39" s="78"/>
      <c r="IF39" s="78"/>
      <c r="IG39" s="78"/>
      <c r="IH39" s="78"/>
      <c r="II39" s="78"/>
      <c r="IJ39" s="78"/>
      <c r="IK39" s="78"/>
      <c r="IL39" s="78"/>
      <c r="IM39" s="78"/>
      <c r="IN39" s="78"/>
      <c r="IO39" s="78"/>
      <c r="IP39" s="78"/>
    </row>
    <row r="40" spans="1:250" s="90" customFormat="1">
      <c r="A40" s="101"/>
      <c r="B40" s="102"/>
      <c r="C40" s="103"/>
      <c r="D40" s="103"/>
      <c r="HU40" s="91"/>
      <c r="HV40" s="91"/>
      <c r="HW40" s="91"/>
      <c r="HX40" s="91"/>
      <c r="HY40" s="78"/>
      <c r="HZ40" s="78"/>
      <c r="IA40" s="78"/>
      <c r="IB40" s="78"/>
      <c r="IC40" s="78"/>
      <c r="ID40" s="78"/>
      <c r="IE40" s="78"/>
      <c r="IF40" s="78"/>
      <c r="IG40" s="78"/>
      <c r="IH40" s="78"/>
      <c r="II40" s="78"/>
      <c r="IJ40" s="78"/>
      <c r="IK40" s="78"/>
      <c r="IL40" s="78"/>
      <c r="IM40" s="78"/>
      <c r="IN40" s="78"/>
      <c r="IO40" s="78"/>
      <c r="IP40" s="78"/>
    </row>
    <row r="41" spans="1:250" s="90" customFormat="1">
      <c r="A41" s="101"/>
      <c r="B41" s="102"/>
      <c r="C41" s="103"/>
      <c r="D41" s="103"/>
      <c r="HU41" s="91"/>
      <c r="HV41" s="91"/>
      <c r="HW41" s="91"/>
      <c r="HX41" s="91"/>
      <c r="HY41" s="78"/>
      <c r="HZ41" s="78"/>
      <c r="IA41" s="78"/>
      <c r="IB41" s="78"/>
      <c r="IC41" s="78"/>
      <c r="ID41" s="78"/>
      <c r="IE41" s="78"/>
      <c r="IF41" s="78"/>
      <c r="IG41" s="78"/>
      <c r="IH41" s="78"/>
      <c r="II41" s="78"/>
      <c r="IJ41" s="78"/>
      <c r="IK41" s="78"/>
      <c r="IL41" s="78"/>
      <c r="IM41" s="78"/>
      <c r="IN41" s="78"/>
      <c r="IO41" s="78"/>
      <c r="IP41" s="78"/>
    </row>
    <row r="42" spans="1:250" s="90" customFormat="1">
      <c r="A42" s="101"/>
      <c r="B42" s="102"/>
      <c r="C42" s="103"/>
      <c r="D42" s="103"/>
      <c r="HU42" s="91"/>
      <c r="HV42" s="91"/>
      <c r="HW42" s="91"/>
      <c r="HX42" s="91"/>
      <c r="HY42" s="78"/>
      <c r="HZ42" s="78"/>
      <c r="IA42" s="78"/>
      <c r="IB42" s="78"/>
      <c r="IC42" s="78"/>
      <c r="ID42" s="78"/>
      <c r="IE42" s="78"/>
      <c r="IF42" s="78"/>
      <c r="IG42" s="78"/>
      <c r="IH42" s="78"/>
      <c r="II42" s="78"/>
      <c r="IJ42" s="78"/>
      <c r="IK42" s="78"/>
      <c r="IL42" s="78"/>
      <c r="IM42" s="78"/>
      <c r="IN42" s="78"/>
      <c r="IO42" s="78"/>
      <c r="IP42" s="78"/>
    </row>
    <row r="43" spans="1:250" s="90" customFormat="1">
      <c r="A43" s="101"/>
      <c r="B43" s="102"/>
      <c r="C43" s="103"/>
      <c r="D43" s="103"/>
      <c r="HU43" s="91"/>
      <c r="HV43" s="91"/>
      <c r="HW43" s="91"/>
      <c r="HX43" s="91"/>
      <c r="HY43" s="78"/>
      <c r="HZ43" s="78"/>
      <c r="IA43" s="78"/>
      <c r="IB43" s="78"/>
      <c r="IC43" s="78"/>
      <c r="ID43" s="78"/>
      <c r="IE43" s="78"/>
      <c r="IF43" s="78"/>
      <c r="IG43" s="78"/>
      <c r="IH43" s="78"/>
      <c r="II43" s="78"/>
      <c r="IJ43" s="78"/>
      <c r="IK43" s="78"/>
      <c r="IL43" s="78"/>
      <c r="IM43" s="78"/>
      <c r="IN43" s="78"/>
      <c r="IO43" s="78"/>
      <c r="IP43" s="78"/>
    </row>
    <row r="44" spans="1:250" s="90" customFormat="1">
      <c r="A44" s="101"/>
      <c r="B44" s="102"/>
      <c r="C44" s="103"/>
      <c r="D44" s="103"/>
      <c r="HU44" s="91"/>
      <c r="HV44" s="91"/>
      <c r="HW44" s="91"/>
      <c r="HX44" s="91"/>
      <c r="HY44" s="78"/>
      <c r="HZ44" s="78"/>
      <c r="IA44" s="78"/>
      <c r="IB44" s="78"/>
      <c r="IC44" s="78"/>
      <c r="ID44" s="78"/>
      <c r="IE44" s="78"/>
      <c r="IF44" s="78"/>
      <c r="IG44" s="78"/>
      <c r="IH44" s="78"/>
      <c r="II44" s="78"/>
      <c r="IJ44" s="78"/>
      <c r="IK44" s="78"/>
      <c r="IL44" s="78"/>
      <c r="IM44" s="78"/>
      <c r="IN44" s="78"/>
      <c r="IO44" s="78"/>
      <c r="IP44" s="78"/>
    </row>
    <row r="45" spans="1:250" s="90" customFormat="1">
      <c r="A45" s="101"/>
      <c r="B45" s="102"/>
      <c r="C45" s="103"/>
      <c r="D45" s="103"/>
      <c r="HU45" s="91"/>
      <c r="HV45" s="91"/>
      <c r="HW45" s="91"/>
      <c r="HX45" s="91"/>
      <c r="HY45" s="78"/>
      <c r="HZ45" s="78"/>
      <c r="IA45" s="78"/>
      <c r="IB45" s="78"/>
      <c r="IC45" s="78"/>
      <c r="ID45" s="78"/>
      <c r="IE45" s="78"/>
      <c r="IF45" s="78"/>
      <c r="IG45" s="78"/>
      <c r="IH45" s="78"/>
      <c r="II45" s="78"/>
      <c r="IJ45" s="78"/>
      <c r="IK45" s="78"/>
      <c r="IL45" s="78"/>
      <c r="IM45" s="78"/>
      <c r="IN45" s="78"/>
      <c r="IO45" s="78"/>
      <c r="IP45" s="78"/>
    </row>
    <row r="46" spans="1:250" s="90" customFormat="1">
      <c r="A46" s="101"/>
      <c r="B46" s="102"/>
      <c r="C46" s="103"/>
      <c r="D46" s="103"/>
      <c r="HU46" s="91"/>
      <c r="HV46" s="91"/>
      <c r="HW46" s="91"/>
      <c r="HX46" s="91"/>
      <c r="HY46" s="78"/>
      <c r="HZ46" s="78"/>
      <c r="IA46" s="78"/>
      <c r="IB46" s="78"/>
      <c r="IC46" s="78"/>
      <c r="ID46" s="78"/>
      <c r="IE46" s="78"/>
      <c r="IF46" s="78"/>
      <c r="IG46" s="78"/>
      <c r="IH46" s="78"/>
      <c r="II46" s="78"/>
      <c r="IJ46" s="78"/>
      <c r="IK46" s="78"/>
      <c r="IL46" s="78"/>
      <c r="IM46" s="78"/>
      <c r="IN46" s="78"/>
      <c r="IO46" s="78"/>
      <c r="IP46" s="78"/>
    </row>
    <row r="47" spans="1:250" s="90" customFormat="1">
      <c r="A47" s="101"/>
      <c r="B47" s="102"/>
      <c r="C47" s="103"/>
      <c r="D47" s="103"/>
      <c r="HU47" s="91"/>
      <c r="HV47" s="91"/>
      <c r="HW47" s="91"/>
      <c r="HX47" s="91"/>
      <c r="HY47" s="78"/>
      <c r="HZ47" s="78"/>
      <c r="IA47" s="78"/>
      <c r="IB47" s="78"/>
      <c r="IC47" s="78"/>
      <c r="ID47" s="78"/>
      <c r="IE47" s="78"/>
      <c r="IF47" s="78"/>
      <c r="IG47" s="78"/>
      <c r="IH47" s="78"/>
      <c r="II47" s="78"/>
      <c r="IJ47" s="78"/>
      <c r="IK47" s="78"/>
      <c r="IL47" s="78"/>
      <c r="IM47" s="78"/>
      <c r="IN47" s="78"/>
      <c r="IO47" s="78"/>
      <c r="IP47" s="78"/>
    </row>
    <row r="48" spans="1:250" s="90" customFormat="1">
      <c r="A48" s="101"/>
      <c r="B48" s="102"/>
      <c r="C48" s="103"/>
      <c r="D48" s="103"/>
      <c r="HU48" s="91"/>
      <c r="HV48" s="91"/>
      <c r="HW48" s="91"/>
      <c r="HX48" s="91"/>
      <c r="HY48" s="78"/>
      <c r="HZ48" s="78"/>
      <c r="IA48" s="78"/>
      <c r="IB48" s="78"/>
      <c r="IC48" s="78"/>
      <c r="ID48" s="78"/>
      <c r="IE48" s="78"/>
      <c r="IF48" s="78"/>
      <c r="IG48" s="78"/>
      <c r="IH48" s="78"/>
      <c r="II48" s="78"/>
      <c r="IJ48" s="78"/>
      <c r="IK48" s="78"/>
      <c r="IL48" s="78"/>
      <c r="IM48" s="78"/>
      <c r="IN48" s="78"/>
      <c r="IO48" s="78"/>
      <c r="IP48" s="78"/>
    </row>
    <row r="49" spans="1:250" s="90" customFormat="1">
      <c r="A49" s="101"/>
      <c r="B49" s="102"/>
      <c r="C49" s="103"/>
      <c r="D49" s="103"/>
      <c r="HU49" s="91"/>
      <c r="HV49" s="91"/>
      <c r="HW49" s="91"/>
      <c r="HX49" s="91"/>
      <c r="HY49" s="78"/>
      <c r="HZ49" s="78"/>
      <c r="IA49" s="78"/>
      <c r="IB49" s="78"/>
      <c r="IC49" s="78"/>
      <c r="ID49" s="78"/>
      <c r="IE49" s="78"/>
      <c r="IF49" s="78"/>
      <c r="IG49" s="78"/>
      <c r="IH49" s="78"/>
      <c r="II49" s="78"/>
      <c r="IJ49" s="78"/>
      <c r="IK49" s="78"/>
      <c r="IL49" s="78"/>
      <c r="IM49" s="78"/>
      <c r="IN49" s="78"/>
      <c r="IO49" s="78"/>
      <c r="IP49" s="78"/>
    </row>
    <row r="50" spans="1:250" s="90" customFormat="1">
      <c r="A50" s="101"/>
      <c r="B50" s="102"/>
      <c r="C50" s="103"/>
      <c r="D50" s="103"/>
      <c r="HU50" s="91"/>
      <c r="HV50" s="91"/>
      <c r="HW50" s="91"/>
      <c r="HX50" s="91"/>
      <c r="HY50" s="78"/>
      <c r="HZ50" s="78"/>
      <c r="IA50" s="78"/>
      <c r="IB50" s="78"/>
      <c r="IC50" s="78"/>
      <c r="ID50" s="78"/>
      <c r="IE50" s="78"/>
      <c r="IF50" s="78"/>
      <c r="IG50" s="78"/>
      <c r="IH50" s="78"/>
      <c r="II50" s="78"/>
      <c r="IJ50" s="78"/>
      <c r="IK50" s="78"/>
      <c r="IL50" s="78"/>
      <c r="IM50" s="78"/>
      <c r="IN50" s="78"/>
      <c r="IO50" s="78"/>
      <c r="IP50" s="78"/>
    </row>
    <row r="51" spans="1:250" s="90" customFormat="1">
      <c r="A51" s="101"/>
      <c r="B51" s="102"/>
      <c r="C51" s="103"/>
      <c r="D51" s="103"/>
      <c r="HU51" s="91"/>
      <c r="HV51" s="91"/>
      <c r="HW51" s="91"/>
      <c r="HX51" s="91"/>
      <c r="HY51" s="78"/>
      <c r="HZ51" s="78"/>
      <c r="IA51" s="78"/>
      <c r="IB51" s="78"/>
      <c r="IC51" s="78"/>
      <c r="ID51" s="78"/>
      <c r="IE51" s="78"/>
      <c r="IF51" s="78"/>
      <c r="IG51" s="78"/>
      <c r="IH51" s="78"/>
      <c r="II51" s="78"/>
      <c r="IJ51" s="78"/>
      <c r="IK51" s="78"/>
      <c r="IL51" s="78"/>
      <c r="IM51" s="78"/>
      <c r="IN51" s="78"/>
      <c r="IO51" s="78"/>
      <c r="IP51" s="78"/>
    </row>
    <row r="52" spans="1:250" s="90" customFormat="1">
      <c r="A52" s="101"/>
      <c r="B52" s="102"/>
      <c r="C52" s="103"/>
      <c r="D52" s="103"/>
      <c r="HU52" s="91"/>
      <c r="HV52" s="91"/>
      <c r="HW52" s="91"/>
      <c r="HX52" s="91"/>
      <c r="HY52" s="78"/>
      <c r="HZ52" s="78"/>
      <c r="IA52" s="78"/>
      <c r="IB52" s="78"/>
      <c r="IC52" s="78"/>
      <c r="ID52" s="78"/>
      <c r="IE52" s="78"/>
      <c r="IF52" s="78"/>
      <c r="IG52" s="78"/>
      <c r="IH52" s="78"/>
      <c r="II52" s="78"/>
      <c r="IJ52" s="78"/>
      <c r="IK52" s="78"/>
      <c r="IL52" s="78"/>
      <c r="IM52" s="78"/>
      <c r="IN52" s="78"/>
      <c r="IO52" s="78"/>
      <c r="IP52" s="78"/>
    </row>
    <row r="53" spans="1:250" s="90" customFormat="1">
      <c r="A53" s="101"/>
      <c r="B53" s="102"/>
      <c r="C53" s="103"/>
      <c r="D53" s="103"/>
      <c r="HU53" s="91"/>
      <c r="HV53" s="91"/>
      <c r="HW53" s="91"/>
      <c r="HX53" s="91"/>
      <c r="HY53" s="78"/>
      <c r="HZ53" s="78"/>
      <c r="IA53" s="78"/>
      <c r="IB53" s="78"/>
      <c r="IC53" s="78"/>
      <c r="ID53" s="78"/>
      <c r="IE53" s="78"/>
      <c r="IF53" s="78"/>
      <c r="IG53" s="78"/>
      <c r="IH53" s="78"/>
      <c r="II53" s="78"/>
      <c r="IJ53" s="78"/>
      <c r="IK53" s="78"/>
      <c r="IL53" s="78"/>
      <c r="IM53" s="78"/>
      <c r="IN53" s="78"/>
      <c r="IO53" s="78"/>
      <c r="IP53" s="78"/>
    </row>
    <row r="54" spans="1:250" s="90" customFormat="1">
      <c r="A54" s="101"/>
      <c r="B54" s="102"/>
      <c r="C54" s="103"/>
      <c r="D54" s="103"/>
      <c r="HU54" s="91"/>
      <c r="HV54" s="91"/>
      <c r="HW54" s="91"/>
      <c r="HX54" s="91"/>
      <c r="HY54" s="78"/>
      <c r="HZ54" s="78"/>
      <c r="IA54" s="78"/>
      <c r="IB54" s="78"/>
      <c r="IC54" s="78"/>
      <c r="ID54" s="78"/>
      <c r="IE54" s="78"/>
      <c r="IF54" s="78"/>
      <c r="IG54" s="78"/>
      <c r="IH54" s="78"/>
      <c r="II54" s="78"/>
      <c r="IJ54" s="78"/>
      <c r="IK54" s="78"/>
      <c r="IL54" s="78"/>
      <c r="IM54" s="78"/>
      <c r="IN54" s="78"/>
      <c r="IO54" s="78"/>
      <c r="IP54" s="78"/>
    </row>
    <row r="55" spans="1:250" s="90" customFormat="1">
      <c r="A55" s="101"/>
      <c r="B55" s="102"/>
      <c r="C55" s="103"/>
      <c r="D55" s="103"/>
      <c r="HU55" s="91"/>
      <c r="HV55" s="91"/>
      <c r="HW55" s="91"/>
      <c r="HX55" s="91"/>
      <c r="HY55" s="78"/>
      <c r="HZ55" s="78"/>
      <c r="IA55" s="78"/>
      <c r="IB55" s="78"/>
      <c r="IC55" s="78"/>
      <c r="ID55" s="78"/>
      <c r="IE55" s="78"/>
      <c r="IF55" s="78"/>
      <c r="IG55" s="78"/>
      <c r="IH55" s="78"/>
      <c r="II55" s="78"/>
      <c r="IJ55" s="78"/>
      <c r="IK55" s="78"/>
      <c r="IL55" s="78"/>
      <c r="IM55" s="78"/>
      <c r="IN55" s="78"/>
      <c r="IO55" s="78"/>
      <c r="IP55" s="78"/>
    </row>
    <row r="56" spans="1:250" s="90" customFormat="1">
      <c r="A56" s="101"/>
      <c r="B56" s="102"/>
      <c r="C56" s="103"/>
      <c r="D56" s="103"/>
      <c r="HU56" s="91"/>
      <c r="HV56" s="91"/>
      <c r="HW56" s="91"/>
      <c r="HX56" s="91"/>
      <c r="HY56" s="78"/>
      <c r="HZ56" s="78"/>
      <c r="IA56" s="78"/>
      <c r="IB56" s="78"/>
      <c r="IC56" s="78"/>
      <c r="ID56" s="78"/>
      <c r="IE56" s="78"/>
      <c r="IF56" s="78"/>
      <c r="IG56" s="78"/>
      <c r="IH56" s="78"/>
      <c r="II56" s="78"/>
      <c r="IJ56" s="78"/>
      <c r="IK56" s="78"/>
      <c r="IL56" s="78"/>
      <c r="IM56" s="78"/>
      <c r="IN56" s="78"/>
      <c r="IO56" s="78"/>
      <c r="IP56" s="78"/>
    </row>
    <row r="57" spans="1:250" s="90" customFormat="1">
      <c r="A57" s="101"/>
      <c r="B57" s="102"/>
      <c r="C57" s="103"/>
      <c r="D57" s="103"/>
      <c r="HU57" s="91"/>
      <c r="HV57" s="91"/>
      <c r="HW57" s="91"/>
      <c r="HX57" s="91"/>
      <c r="HY57" s="78"/>
      <c r="HZ57" s="78"/>
      <c r="IA57" s="78"/>
      <c r="IB57" s="78"/>
      <c r="IC57" s="78"/>
      <c r="ID57" s="78"/>
      <c r="IE57" s="78"/>
      <c r="IF57" s="78"/>
      <c r="IG57" s="78"/>
      <c r="IH57" s="78"/>
      <c r="II57" s="78"/>
      <c r="IJ57" s="78"/>
      <c r="IK57" s="78"/>
      <c r="IL57" s="78"/>
      <c r="IM57" s="78"/>
      <c r="IN57" s="78"/>
      <c r="IO57" s="78"/>
      <c r="IP57" s="78"/>
    </row>
    <row r="58" spans="1:250" s="90" customFormat="1">
      <c r="A58" s="101"/>
      <c r="B58" s="102"/>
      <c r="C58" s="103"/>
      <c r="D58" s="103"/>
      <c r="HU58" s="91"/>
      <c r="HV58" s="91"/>
      <c r="HW58" s="91"/>
      <c r="HX58" s="91"/>
      <c r="HY58" s="78"/>
      <c r="HZ58" s="78"/>
      <c r="IA58" s="78"/>
      <c r="IB58" s="78"/>
      <c r="IC58" s="78"/>
      <c r="ID58" s="78"/>
      <c r="IE58" s="78"/>
      <c r="IF58" s="78"/>
      <c r="IG58" s="78"/>
      <c r="IH58" s="78"/>
      <c r="II58" s="78"/>
      <c r="IJ58" s="78"/>
      <c r="IK58" s="78"/>
      <c r="IL58" s="78"/>
      <c r="IM58" s="78"/>
      <c r="IN58" s="78"/>
      <c r="IO58" s="78"/>
      <c r="IP58" s="78"/>
    </row>
    <row r="59" spans="1:250" s="90" customFormat="1">
      <c r="A59" s="101"/>
      <c r="B59" s="102"/>
      <c r="C59" s="103"/>
      <c r="D59" s="103"/>
      <c r="HU59" s="91"/>
      <c r="HV59" s="91"/>
      <c r="HW59" s="91"/>
      <c r="HX59" s="91"/>
      <c r="HY59" s="78"/>
      <c r="HZ59" s="78"/>
      <c r="IA59" s="78"/>
      <c r="IB59" s="78"/>
      <c r="IC59" s="78"/>
      <c r="ID59" s="78"/>
      <c r="IE59" s="78"/>
      <c r="IF59" s="78"/>
      <c r="IG59" s="78"/>
      <c r="IH59" s="78"/>
      <c r="II59" s="78"/>
      <c r="IJ59" s="78"/>
      <c r="IK59" s="78"/>
      <c r="IL59" s="78"/>
      <c r="IM59" s="78"/>
      <c r="IN59" s="78"/>
      <c r="IO59" s="78"/>
      <c r="IP59" s="78"/>
    </row>
    <row r="60" spans="1:250" s="90" customFormat="1">
      <c r="A60" s="101"/>
      <c r="B60" s="102"/>
      <c r="C60" s="103"/>
      <c r="D60" s="103"/>
      <c r="HU60" s="91"/>
      <c r="HV60" s="91"/>
      <c r="HW60" s="91"/>
      <c r="HX60" s="91"/>
      <c r="HY60" s="78"/>
      <c r="HZ60" s="78"/>
      <c r="IA60" s="78"/>
      <c r="IB60" s="78"/>
      <c r="IC60" s="78"/>
      <c r="ID60" s="78"/>
      <c r="IE60" s="78"/>
      <c r="IF60" s="78"/>
      <c r="IG60" s="78"/>
      <c r="IH60" s="78"/>
      <c r="II60" s="78"/>
      <c r="IJ60" s="78"/>
      <c r="IK60" s="78"/>
      <c r="IL60" s="78"/>
      <c r="IM60" s="78"/>
      <c r="IN60" s="78"/>
      <c r="IO60" s="78"/>
      <c r="IP60" s="78"/>
    </row>
    <row r="61" spans="1:250" s="90" customFormat="1">
      <c r="A61" s="101"/>
      <c r="B61" s="102"/>
      <c r="C61" s="103"/>
      <c r="D61" s="103"/>
      <c r="HU61" s="91"/>
      <c r="HV61" s="91"/>
      <c r="HW61" s="91"/>
      <c r="HX61" s="91"/>
      <c r="HY61" s="78"/>
      <c r="HZ61" s="78"/>
      <c r="IA61" s="78"/>
      <c r="IB61" s="78"/>
      <c r="IC61" s="78"/>
      <c r="ID61" s="78"/>
      <c r="IE61" s="78"/>
      <c r="IF61" s="78"/>
      <c r="IG61" s="78"/>
      <c r="IH61" s="78"/>
      <c r="II61" s="78"/>
      <c r="IJ61" s="78"/>
      <c r="IK61" s="78"/>
      <c r="IL61" s="78"/>
      <c r="IM61" s="78"/>
      <c r="IN61" s="78"/>
      <c r="IO61" s="78"/>
      <c r="IP61" s="78"/>
    </row>
    <row r="62" spans="1:250" s="90" customFormat="1">
      <c r="A62" s="101"/>
      <c r="B62" s="102"/>
      <c r="C62" s="103"/>
      <c r="D62" s="103"/>
      <c r="HU62" s="91"/>
      <c r="HV62" s="91"/>
      <c r="HW62" s="91"/>
      <c r="HX62" s="91"/>
      <c r="HY62" s="78"/>
      <c r="HZ62" s="78"/>
      <c r="IA62" s="78"/>
      <c r="IB62" s="78"/>
      <c r="IC62" s="78"/>
      <c r="ID62" s="78"/>
      <c r="IE62" s="78"/>
      <c r="IF62" s="78"/>
      <c r="IG62" s="78"/>
      <c r="IH62" s="78"/>
      <c r="II62" s="78"/>
      <c r="IJ62" s="78"/>
      <c r="IK62" s="78"/>
      <c r="IL62" s="78"/>
      <c r="IM62" s="78"/>
      <c r="IN62" s="78"/>
      <c r="IO62" s="78"/>
      <c r="IP62" s="78"/>
    </row>
    <row r="63" spans="1:250" s="90" customFormat="1">
      <c r="A63" s="101"/>
      <c r="B63" s="102"/>
      <c r="C63" s="103"/>
      <c r="D63" s="103"/>
      <c r="HU63" s="91"/>
      <c r="HV63" s="91"/>
      <c r="HW63" s="91"/>
      <c r="HX63" s="91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</row>
    <row r="64" spans="1:250" s="90" customFormat="1">
      <c r="A64" s="101"/>
      <c r="B64" s="102"/>
      <c r="C64" s="103"/>
      <c r="D64" s="103"/>
      <c r="HU64" s="91"/>
      <c r="HV64" s="91"/>
      <c r="HW64" s="91"/>
      <c r="HX64" s="91"/>
      <c r="HY64" s="78"/>
      <c r="HZ64" s="78"/>
      <c r="IA64" s="78"/>
      <c r="IB64" s="78"/>
      <c r="IC64" s="78"/>
      <c r="ID64" s="78"/>
      <c r="IE64" s="78"/>
      <c r="IF64" s="78"/>
      <c r="IG64" s="78"/>
      <c r="IH64" s="78"/>
      <c r="II64" s="78"/>
      <c r="IJ64" s="78"/>
      <c r="IK64" s="78"/>
      <c r="IL64" s="78"/>
      <c r="IM64" s="78"/>
      <c r="IN64" s="78"/>
      <c r="IO64" s="78"/>
      <c r="IP64" s="78"/>
    </row>
    <row r="65" spans="1:250" s="90" customFormat="1">
      <c r="A65" s="101"/>
      <c r="B65" s="102"/>
      <c r="C65" s="103"/>
      <c r="D65" s="103"/>
      <c r="HU65" s="91"/>
      <c r="HV65" s="91"/>
      <c r="HW65" s="91"/>
      <c r="HX65" s="91"/>
      <c r="HY65" s="78"/>
      <c r="HZ65" s="78"/>
      <c r="IA65" s="78"/>
      <c r="IB65" s="78"/>
      <c r="IC65" s="78"/>
      <c r="ID65" s="78"/>
      <c r="IE65" s="78"/>
      <c r="IF65" s="78"/>
      <c r="IG65" s="78"/>
      <c r="IH65" s="78"/>
      <c r="II65" s="78"/>
      <c r="IJ65" s="78"/>
      <c r="IK65" s="78"/>
      <c r="IL65" s="78"/>
      <c r="IM65" s="78"/>
      <c r="IN65" s="78"/>
      <c r="IO65" s="78"/>
      <c r="IP65" s="78"/>
    </row>
    <row r="66" spans="1:250" s="90" customFormat="1">
      <c r="A66" s="101"/>
      <c r="B66" s="102"/>
      <c r="C66" s="103"/>
      <c r="D66" s="103"/>
      <c r="HU66" s="91"/>
      <c r="HV66" s="91"/>
      <c r="HW66" s="91"/>
      <c r="HX66" s="91"/>
      <c r="HY66" s="78"/>
      <c r="HZ66" s="78"/>
      <c r="IA66" s="78"/>
      <c r="IB66" s="78"/>
      <c r="IC66" s="78"/>
      <c r="ID66" s="78"/>
      <c r="IE66" s="78"/>
      <c r="IF66" s="78"/>
      <c r="IG66" s="78"/>
      <c r="IH66" s="78"/>
      <c r="II66" s="78"/>
      <c r="IJ66" s="78"/>
      <c r="IK66" s="78"/>
      <c r="IL66" s="78"/>
      <c r="IM66" s="78"/>
      <c r="IN66" s="78"/>
      <c r="IO66" s="78"/>
      <c r="IP66" s="78"/>
    </row>
    <row r="67" spans="1:250" s="90" customFormat="1">
      <c r="A67" s="101"/>
      <c r="B67" s="102"/>
      <c r="C67" s="103"/>
      <c r="D67" s="103"/>
      <c r="HU67" s="91"/>
      <c r="HV67" s="91"/>
      <c r="HW67" s="91"/>
      <c r="HX67" s="91"/>
      <c r="HY67" s="78"/>
      <c r="HZ67" s="78"/>
      <c r="IA67" s="78"/>
      <c r="IB67" s="78"/>
      <c r="IC67" s="78"/>
      <c r="ID67" s="78"/>
      <c r="IE67" s="78"/>
      <c r="IF67" s="78"/>
      <c r="IG67" s="78"/>
      <c r="IH67" s="78"/>
      <c r="II67" s="78"/>
      <c r="IJ67" s="78"/>
      <c r="IK67" s="78"/>
      <c r="IL67" s="78"/>
      <c r="IM67" s="78"/>
      <c r="IN67" s="78"/>
      <c r="IO67" s="78"/>
      <c r="IP67" s="78"/>
    </row>
    <row r="68" spans="1:250" s="90" customFormat="1">
      <c r="A68" s="101"/>
      <c r="B68" s="102"/>
      <c r="C68" s="103"/>
      <c r="D68" s="103"/>
      <c r="HU68" s="91"/>
      <c r="HV68" s="91"/>
      <c r="HW68" s="91"/>
      <c r="HX68" s="91"/>
      <c r="HY68" s="78"/>
      <c r="HZ68" s="78"/>
      <c r="IA68" s="78"/>
      <c r="IB68" s="78"/>
      <c r="IC68" s="78"/>
      <c r="ID68" s="78"/>
      <c r="IE68" s="78"/>
      <c r="IF68" s="78"/>
      <c r="IG68" s="78"/>
      <c r="IH68" s="78"/>
      <c r="II68" s="78"/>
      <c r="IJ68" s="78"/>
      <c r="IK68" s="78"/>
      <c r="IL68" s="78"/>
      <c r="IM68" s="78"/>
      <c r="IN68" s="78"/>
      <c r="IO68" s="78"/>
      <c r="IP68" s="78"/>
    </row>
    <row r="69" spans="1:250" s="90" customFormat="1">
      <c r="A69" s="101"/>
      <c r="B69" s="102"/>
      <c r="C69" s="103"/>
      <c r="D69" s="103"/>
      <c r="HU69" s="91"/>
      <c r="HV69" s="91"/>
      <c r="HW69" s="91"/>
      <c r="HX69" s="91"/>
      <c r="HY69" s="78"/>
      <c r="HZ69" s="78"/>
      <c r="IA69" s="78"/>
      <c r="IB69" s="78"/>
      <c r="IC69" s="78"/>
      <c r="ID69" s="78"/>
      <c r="IE69" s="78"/>
      <c r="IF69" s="78"/>
      <c r="IG69" s="78"/>
      <c r="IH69" s="78"/>
      <c r="II69" s="78"/>
      <c r="IJ69" s="78"/>
      <c r="IK69" s="78"/>
      <c r="IL69" s="78"/>
      <c r="IM69" s="78"/>
      <c r="IN69" s="78"/>
      <c r="IO69" s="78"/>
      <c r="IP69" s="78"/>
    </row>
    <row r="70" spans="1:250" s="90" customFormat="1">
      <c r="A70" s="101"/>
      <c r="B70" s="102"/>
      <c r="C70" s="103"/>
      <c r="D70" s="103"/>
      <c r="HU70" s="91"/>
      <c r="HV70" s="91"/>
      <c r="HW70" s="91"/>
      <c r="HX70" s="91"/>
      <c r="HY70" s="78"/>
      <c r="HZ70" s="78"/>
      <c r="IA70" s="78"/>
      <c r="IB70" s="78"/>
      <c r="IC70" s="78"/>
      <c r="ID70" s="78"/>
      <c r="IE70" s="78"/>
      <c r="IF70" s="78"/>
      <c r="IG70" s="78"/>
      <c r="IH70" s="78"/>
      <c r="II70" s="78"/>
      <c r="IJ70" s="78"/>
      <c r="IK70" s="78"/>
      <c r="IL70" s="78"/>
      <c r="IM70" s="78"/>
      <c r="IN70" s="78"/>
      <c r="IO70" s="78"/>
      <c r="IP70" s="78"/>
    </row>
    <row r="71" spans="1:250" s="90" customFormat="1">
      <c r="A71" s="101"/>
      <c r="B71" s="102"/>
      <c r="C71" s="103"/>
      <c r="D71" s="103"/>
      <c r="HU71" s="91"/>
      <c r="HV71" s="91"/>
      <c r="HW71" s="91"/>
      <c r="HX71" s="91"/>
      <c r="HY71" s="78"/>
      <c r="HZ71" s="78"/>
      <c r="IA71" s="78"/>
      <c r="IB71" s="78"/>
      <c r="IC71" s="78"/>
      <c r="ID71" s="78"/>
      <c r="IE71" s="78"/>
      <c r="IF71" s="78"/>
      <c r="IG71" s="78"/>
      <c r="IH71" s="78"/>
      <c r="II71" s="78"/>
      <c r="IJ71" s="78"/>
      <c r="IK71" s="78"/>
      <c r="IL71" s="78"/>
      <c r="IM71" s="78"/>
      <c r="IN71" s="78"/>
      <c r="IO71" s="78"/>
      <c r="IP71" s="78"/>
    </row>
    <row r="72" spans="1:250" s="90" customFormat="1">
      <c r="A72" s="101"/>
      <c r="B72" s="102"/>
      <c r="C72" s="103"/>
      <c r="D72" s="103"/>
      <c r="HU72" s="91"/>
      <c r="HV72" s="91"/>
      <c r="HW72" s="91"/>
      <c r="HX72" s="91"/>
      <c r="HY72" s="78"/>
      <c r="HZ72" s="78"/>
      <c r="IA72" s="78"/>
      <c r="IB72" s="78"/>
      <c r="IC72" s="78"/>
      <c r="ID72" s="78"/>
      <c r="IE72" s="78"/>
      <c r="IF72" s="78"/>
      <c r="IG72" s="78"/>
      <c r="IH72" s="78"/>
      <c r="II72" s="78"/>
      <c r="IJ72" s="78"/>
      <c r="IK72" s="78"/>
      <c r="IL72" s="78"/>
      <c r="IM72" s="78"/>
      <c r="IN72" s="78"/>
      <c r="IO72" s="78"/>
      <c r="IP72" s="78"/>
    </row>
    <row r="73" spans="1:250" s="90" customFormat="1">
      <c r="A73" s="101"/>
      <c r="B73" s="102"/>
      <c r="C73" s="103"/>
      <c r="D73" s="103"/>
      <c r="HU73" s="91"/>
      <c r="HV73" s="91"/>
      <c r="HW73" s="91"/>
      <c r="HX73" s="91"/>
      <c r="HY73" s="78"/>
      <c r="HZ73" s="78"/>
      <c r="IA73" s="78"/>
      <c r="IB73" s="78"/>
      <c r="IC73" s="78"/>
      <c r="ID73" s="78"/>
      <c r="IE73" s="78"/>
      <c r="IF73" s="78"/>
      <c r="IG73" s="78"/>
      <c r="IH73" s="78"/>
      <c r="II73" s="78"/>
      <c r="IJ73" s="78"/>
      <c r="IK73" s="78"/>
      <c r="IL73" s="78"/>
      <c r="IM73" s="78"/>
      <c r="IN73" s="78"/>
      <c r="IO73" s="78"/>
      <c r="IP73" s="78"/>
    </row>
    <row r="74" spans="1:250" s="90" customFormat="1">
      <c r="A74" s="101"/>
      <c r="B74" s="102"/>
      <c r="C74" s="103"/>
      <c r="D74" s="103"/>
      <c r="HU74" s="91"/>
      <c r="HV74" s="91"/>
      <c r="HW74" s="91"/>
      <c r="HX74" s="91"/>
      <c r="HY74" s="78"/>
      <c r="HZ74" s="78"/>
      <c r="IA74" s="78"/>
      <c r="IB74" s="78"/>
      <c r="IC74" s="78"/>
      <c r="ID74" s="78"/>
      <c r="IE74" s="78"/>
      <c r="IF74" s="78"/>
      <c r="IG74" s="78"/>
      <c r="IH74" s="78"/>
      <c r="II74" s="78"/>
      <c r="IJ74" s="78"/>
      <c r="IK74" s="78"/>
      <c r="IL74" s="78"/>
      <c r="IM74" s="78"/>
      <c r="IN74" s="78"/>
      <c r="IO74" s="78"/>
      <c r="IP74" s="78"/>
    </row>
    <row r="75" spans="1:250" s="90" customFormat="1">
      <c r="A75" s="101"/>
      <c r="B75" s="102"/>
      <c r="C75" s="103"/>
      <c r="D75" s="103"/>
      <c r="HU75" s="91"/>
      <c r="HV75" s="91"/>
      <c r="HW75" s="91"/>
      <c r="HX75" s="91"/>
      <c r="HY75" s="78"/>
      <c r="HZ75" s="78"/>
      <c r="IA75" s="78"/>
      <c r="IB75" s="78"/>
      <c r="IC75" s="78"/>
      <c r="ID75" s="78"/>
      <c r="IE75" s="78"/>
      <c r="IF75" s="78"/>
      <c r="IG75" s="78"/>
      <c r="IH75" s="78"/>
      <c r="II75" s="78"/>
      <c r="IJ75" s="78"/>
      <c r="IK75" s="78"/>
      <c r="IL75" s="78"/>
      <c r="IM75" s="78"/>
      <c r="IN75" s="78"/>
      <c r="IO75" s="78"/>
      <c r="IP75" s="78"/>
    </row>
    <row r="76" spans="1:250" s="90" customFormat="1">
      <c r="A76" s="101"/>
      <c r="B76" s="102"/>
      <c r="C76" s="103"/>
      <c r="D76" s="103"/>
      <c r="HU76" s="91"/>
      <c r="HV76" s="91"/>
      <c r="HW76" s="91"/>
      <c r="HX76" s="91"/>
      <c r="HY76" s="78"/>
      <c r="HZ76" s="78"/>
      <c r="IA76" s="78"/>
      <c r="IB76" s="78"/>
      <c r="IC76" s="78"/>
      <c r="ID76" s="78"/>
      <c r="IE76" s="78"/>
      <c r="IF76" s="78"/>
      <c r="IG76" s="78"/>
      <c r="IH76" s="78"/>
      <c r="II76" s="78"/>
      <c r="IJ76" s="78"/>
      <c r="IK76" s="78"/>
      <c r="IL76" s="78"/>
      <c r="IM76" s="78"/>
      <c r="IN76" s="78"/>
      <c r="IO76" s="78"/>
      <c r="IP76" s="78"/>
    </row>
    <row r="77" spans="1:250" s="90" customFormat="1">
      <c r="A77" s="101"/>
      <c r="B77" s="102"/>
      <c r="C77" s="103"/>
      <c r="D77" s="103"/>
      <c r="HU77" s="91"/>
      <c r="HV77" s="91"/>
      <c r="HW77" s="91"/>
      <c r="HX77" s="91"/>
      <c r="HY77" s="78"/>
      <c r="HZ77" s="78"/>
      <c r="IA77" s="78"/>
      <c r="IB77" s="78"/>
      <c r="IC77" s="78"/>
      <c r="ID77" s="78"/>
      <c r="IE77" s="78"/>
      <c r="IF77" s="78"/>
      <c r="IG77" s="78"/>
      <c r="IH77" s="78"/>
      <c r="II77" s="78"/>
      <c r="IJ77" s="78"/>
      <c r="IK77" s="78"/>
      <c r="IL77" s="78"/>
      <c r="IM77" s="78"/>
      <c r="IN77" s="78"/>
      <c r="IO77" s="78"/>
      <c r="IP77" s="78"/>
    </row>
    <row r="78" spans="1:250" s="90" customFormat="1">
      <c r="A78" s="101"/>
      <c r="B78" s="102"/>
      <c r="C78" s="103"/>
      <c r="D78" s="103"/>
      <c r="HU78" s="91"/>
      <c r="HV78" s="91"/>
      <c r="HW78" s="91"/>
      <c r="HX78" s="91"/>
      <c r="HY78" s="78"/>
      <c r="HZ78" s="78"/>
      <c r="IA78" s="78"/>
      <c r="IB78" s="78"/>
      <c r="IC78" s="78"/>
      <c r="ID78" s="78"/>
      <c r="IE78" s="78"/>
      <c r="IF78" s="78"/>
      <c r="IG78" s="78"/>
      <c r="IH78" s="78"/>
      <c r="II78" s="78"/>
      <c r="IJ78" s="78"/>
      <c r="IK78" s="78"/>
      <c r="IL78" s="78"/>
      <c r="IM78" s="78"/>
      <c r="IN78" s="78"/>
      <c r="IO78" s="78"/>
      <c r="IP78" s="78"/>
    </row>
    <row r="79" spans="1:250" s="90" customFormat="1">
      <c r="A79" s="101"/>
      <c r="B79" s="102"/>
      <c r="C79" s="103"/>
      <c r="D79" s="103"/>
      <c r="HU79" s="91"/>
      <c r="HV79" s="91"/>
      <c r="HW79" s="91"/>
      <c r="HX79" s="91"/>
      <c r="HY79" s="78"/>
      <c r="HZ79" s="78"/>
      <c r="IA79" s="78"/>
      <c r="IB79" s="78"/>
      <c r="IC79" s="78"/>
      <c r="ID79" s="78"/>
      <c r="IE79" s="78"/>
      <c r="IF79" s="78"/>
      <c r="IG79" s="78"/>
      <c r="IH79" s="78"/>
      <c r="II79" s="78"/>
      <c r="IJ79" s="78"/>
      <c r="IK79" s="78"/>
      <c r="IL79" s="78"/>
      <c r="IM79" s="78"/>
      <c r="IN79" s="78"/>
      <c r="IO79" s="78"/>
      <c r="IP79" s="78"/>
    </row>
    <row r="80" spans="1:250" s="90" customFormat="1">
      <c r="A80" s="101"/>
      <c r="B80" s="102"/>
      <c r="C80" s="103"/>
      <c r="D80" s="103"/>
      <c r="HU80" s="91"/>
      <c r="HV80" s="91"/>
      <c r="HW80" s="91"/>
      <c r="HX80" s="91"/>
      <c r="HY80" s="78"/>
      <c r="HZ80" s="78"/>
      <c r="IA80" s="78"/>
      <c r="IB80" s="78"/>
      <c r="IC80" s="78"/>
      <c r="ID80" s="78"/>
      <c r="IE80" s="78"/>
      <c r="IF80" s="78"/>
      <c r="IG80" s="78"/>
      <c r="IH80" s="78"/>
      <c r="II80" s="78"/>
      <c r="IJ80" s="78"/>
      <c r="IK80" s="78"/>
      <c r="IL80" s="78"/>
      <c r="IM80" s="78"/>
      <c r="IN80" s="78"/>
      <c r="IO80" s="78"/>
      <c r="IP80" s="78"/>
    </row>
    <row r="81" spans="1:250" s="90" customFormat="1">
      <c r="A81" s="101"/>
      <c r="B81" s="102"/>
      <c r="C81" s="103"/>
      <c r="D81" s="103"/>
      <c r="HU81" s="91"/>
      <c r="HV81" s="91"/>
      <c r="HW81" s="91"/>
      <c r="HX81" s="91"/>
      <c r="HY81" s="78"/>
      <c r="HZ81" s="78"/>
      <c r="IA81" s="78"/>
      <c r="IB81" s="78"/>
      <c r="IC81" s="78"/>
      <c r="ID81" s="78"/>
      <c r="IE81" s="78"/>
      <c r="IF81" s="78"/>
      <c r="IG81" s="78"/>
      <c r="IH81" s="78"/>
      <c r="II81" s="78"/>
      <c r="IJ81" s="78"/>
      <c r="IK81" s="78"/>
      <c r="IL81" s="78"/>
      <c r="IM81" s="78"/>
      <c r="IN81" s="78"/>
      <c r="IO81" s="78"/>
      <c r="IP81" s="78"/>
    </row>
    <row r="82" spans="1:250" s="90" customFormat="1">
      <c r="A82" s="101"/>
      <c r="B82" s="102"/>
      <c r="C82" s="103"/>
      <c r="D82" s="103"/>
      <c r="HU82" s="91"/>
      <c r="HV82" s="91"/>
      <c r="HW82" s="91"/>
      <c r="HX82" s="91"/>
      <c r="HY82" s="78"/>
      <c r="HZ82" s="78"/>
      <c r="IA82" s="78"/>
      <c r="IB82" s="78"/>
      <c r="IC82" s="78"/>
      <c r="ID82" s="78"/>
      <c r="IE82" s="78"/>
      <c r="IF82" s="78"/>
      <c r="IG82" s="78"/>
      <c r="IH82" s="78"/>
      <c r="II82" s="78"/>
      <c r="IJ82" s="78"/>
      <c r="IK82" s="78"/>
      <c r="IL82" s="78"/>
      <c r="IM82" s="78"/>
      <c r="IN82" s="78"/>
      <c r="IO82" s="78"/>
      <c r="IP82" s="78"/>
    </row>
    <row r="83" spans="1:250" s="90" customFormat="1">
      <c r="A83" s="101"/>
      <c r="B83" s="102"/>
      <c r="C83" s="103"/>
      <c r="D83" s="103"/>
      <c r="HU83" s="91"/>
      <c r="HV83" s="91"/>
      <c r="HW83" s="91"/>
      <c r="HX83" s="91"/>
      <c r="HY83" s="78"/>
      <c r="HZ83" s="78"/>
      <c r="IA83" s="78"/>
      <c r="IB83" s="78"/>
      <c r="IC83" s="78"/>
      <c r="ID83" s="78"/>
      <c r="IE83" s="78"/>
      <c r="IF83" s="78"/>
      <c r="IG83" s="78"/>
      <c r="IH83" s="78"/>
      <c r="II83" s="78"/>
      <c r="IJ83" s="78"/>
      <c r="IK83" s="78"/>
      <c r="IL83" s="78"/>
      <c r="IM83" s="78"/>
      <c r="IN83" s="78"/>
      <c r="IO83" s="78"/>
      <c r="IP83" s="78"/>
    </row>
    <row r="84" spans="1:250" s="90" customFormat="1">
      <c r="A84" s="101"/>
      <c r="B84" s="102"/>
      <c r="C84" s="103"/>
      <c r="D84" s="103"/>
      <c r="HU84" s="91"/>
      <c r="HV84" s="91"/>
      <c r="HW84" s="91"/>
      <c r="HX84" s="91"/>
      <c r="HY84" s="78"/>
      <c r="HZ84" s="78"/>
      <c r="IA84" s="78"/>
      <c r="IB84" s="78"/>
      <c r="IC84" s="78"/>
      <c r="ID84" s="78"/>
      <c r="IE84" s="78"/>
      <c r="IF84" s="78"/>
      <c r="IG84" s="78"/>
      <c r="IH84" s="78"/>
      <c r="II84" s="78"/>
      <c r="IJ84" s="78"/>
      <c r="IK84" s="78"/>
      <c r="IL84" s="78"/>
      <c r="IM84" s="78"/>
      <c r="IN84" s="78"/>
      <c r="IO84" s="78"/>
      <c r="IP84" s="78"/>
    </row>
    <row r="85" spans="1:250" s="90" customFormat="1">
      <c r="A85" s="101"/>
      <c r="B85" s="102"/>
      <c r="C85" s="103"/>
      <c r="D85" s="103"/>
      <c r="HU85" s="91"/>
      <c r="HV85" s="91"/>
      <c r="HW85" s="91"/>
      <c r="HX85" s="91"/>
      <c r="HY85" s="78"/>
      <c r="HZ85" s="78"/>
      <c r="IA85" s="78"/>
      <c r="IB85" s="78"/>
      <c r="IC85" s="78"/>
      <c r="ID85" s="78"/>
      <c r="IE85" s="78"/>
      <c r="IF85" s="78"/>
      <c r="IG85" s="78"/>
      <c r="IH85" s="78"/>
      <c r="II85" s="78"/>
      <c r="IJ85" s="78"/>
      <c r="IK85" s="78"/>
      <c r="IL85" s="78"/>
      <c r="IM85" s="78"/>
      <c r="IN85" s="78"/>
      <c r="IO85" s="78"/>
      <c r="IP85" s="78"/>
    </row>
    <row r="86" spans="1:250" s="90" customFormat="1">
      <c r="A86" s="101"/>
      <c r="B86" s="102"/>
      <c r="C86" s="103"/>
      <c r="D86" s="103"/>
      <c r="HU86" s="91"/>
      <c r="HV86" s="91"/>
      <c r="HW86" s="91"/>
      <c r="HX86" s="91"/>
      <c r="HY86" s="78"/>
      <c r="HZ86" s="78"/>
      <c r="IA86" s="78"/>
      <c r="IB86" s="78"/>
      <c r="IC86" s="78"/>
      <c r="ID86" s="78"/>
      <c r="IE86" s="78"/>
      <c r="IF86" s="78"/>
      <c r="IG86" s="78"/>
      <c r="IH86" s="78"/>
      <c r="II86" s="78"/>
      <c r="IJ86" s="78"/>
      <c r="IK86" s="78"/>
      <c r="IL86" s="78"/>
      <c r="IM86" s="78"/>
      <c r="IN86" s="78"/>
      <c r="IO86" s="78"/>
      <c r="IP86" s="78"/>
    </row>
    <row r="87" spans="1:250" s="90" customFormat="1">
      <c r="A87" s="101"/>
      <c r="B87" s="102"/>
      <c r="C87" s="103"/>
      <c r="D87" s="103"/>
      <c r="HU87" s="91"/>
      <c r="HV87" s="91"/>
      <c r="HW87" s="91"/>
      <c r="HX87" s="91"/>
      <c r="HY87" s="78"/>
      <c r="HZ87" s="78"/>
      <c r="IA87" s="78"/>
      <c r="IB87" s="78"/>
      <c r="IC87" s="78"/>
      <c r="ID87" s="78"/>
      <c r="IE87" s="78"/>
      <c r="IF87" s="78"/>
      <c r="IG87" s="78"/>
      <c r="IH87" s="78"/>
      <c r="II87" s="78"/>
      <c r="IJ87" s="78"/>
      <c r="IK87" s="78"/>
      <c r="IL87" s="78"/>
      <c r="IM87" s="78"/>
      <c r="IN87" s="78"/>
      <c r="IO87" s="78"/>
      <c r="IP87" s="78"/>
    </row>
    <row r="88" spans="1:250" s="90" customFormat="1">
      <c r="A88" s="101"/>
      <c r="B88" s="102"/>
      <c r="C88" s="103"/>
      <c r="D88" s="103"/>
      <c r="HU88" s="91"/>
      <c r="HV88" s="91"/>
      <c r="HW88" s="91"/>
      <c r="HX88" s="91"/>
      <c r="HY88" s="78"/>
      <c r="HZ88" s="78"/>
      <c r="IA88" s="78"/>
      <c r="IB88" s="78"/>
      <c r="IC88" s="78"/>
      <c r="ID88" s="78"/>
      <c r="IE88" s="78"/>
      <c r="IF88" s="78"/>
      <c r="IG88" s="78"/>
      <c r="IH88" s="78"/>
      <c r="II88" s="78"/>
      <c r="IJ88" s="78"/>
      <c r="IK88" s="78"/>
      <c r="IL88" s="78"/>
      <c r="IM88" s="78"/>
      <c r="IN88" s="78"/>
      <c r="IO88" s="78"/>
      <c r="IP88" s="78"/>
    </row>
    <row r="89" spans="1:250" s="90" customFormat="1">
      <c r="A89" s="101"/>
      <c r="B89" s="102"/>
      <c r="C89" s="103"/>
      <c r="D89" s="103"/>
      <c r="HU89" s="91"/>
      <c r="HV89" s="91"/>
      <c r="HW89" s="91"/>
      <c r="HX89" s="91"/>
      <c r="HY89" s="78"/>
      <c r="HZ89" s="78"/>
      <c r="IA89" s="78"/>
      <c r="IB89" s="78"/>
      <c r="IC89" s="78"/>
      <c r="ID89" s="78"/>
      <c r="IE89" s="78"/>
      <c r="IF89" s="78"/>
      <c r="IG89" s="78"/>
      <c r="IH89" s="78"/>
      <c r="II89" s="78"/>
      <c r="IJ89" s="78"/>
      <c r="IK89" s="78"/>
      <c r="IL89" s="78"/>
      <c r="IM89" s="78"/>
      <c r="IN89" s="78"/>
      <c r="IO89" s="78"/>
      <c r="IP89" s="78"/>
    </row>
    <row r="90" spans="1:250" s="90" customFormat="1">
      <c r="A90" s="101"/>
      <c r="B90" s="102"/>
      <c r="C90" s="103"/>
      <c r="D90" s="103"/>
      <c r="HU90" s="91"/>
      <c r="HV90" s="91"/>
      <c r="HW90" s="91"/>
      <c r="HX90" s="91"/>
      <c r="HY90" s="78"/>
      <c r="HZ90" s="78"/>
      <c r="IA90" s="78"/>
      <c r="IB90" s="78"/>
      <c r="IC90" s="78"/>
      <c r="ID90" s="78"/>
      <c r="IE90" s="78"/>
      <c r="IF90" s="78"/>
      <c r="IG90" s="78"/>
      <c r="IH90" s="78"/>
      <c r="II90" s="78"/>
      <c r="IJ90" s="78"/>
      <c r="IK90" s="78"/>
      <c r="IL90" s="78"/>
      <c r="IM90" s="78"/>
      <c r="IN90" s="78"/>
      <c r="IO90" s="78"/>
      <c r="IP90" s="78"/>
    </row>
    <row r="91" spans="1:250" s="90" customFormat="1">
      <c r="A91" s="101"/>
      <c r="B91" s="102"/>
      <c r="C91" s="103"/>
      <c r="D91" s="103"/>
      <c r="HU91" s="91"/>
      <c r="HV91" s="91"/>
      <c r="HW91" s="91"/>
      <c r="HX91" s="91"/>
      <c r="HY91" s="78"/>
      <c r="HZ91" s="78"/>
      <c r="IA91" s="78"/>
      <c r="IB91" s="78"/>
      <c r="IC91" s="78"/>
      <c r="ID91" s="78"/>
      <c r="IE91" s="78"/>
      <c r="IF91" s="78"/>
      <c r="IG91" s="78"/>
      <c r="IH91" s="78"/>
      <c r="II91" s="78"/>
      <c r="IJ91" s="78"/>
      <c r="IK91" s="78"/>
      <c r="IL91" s="78"/>
      <c r="IM91" s="78"/>
      <c r="IN91" s="78"/>
      <c r="IO91" s="78"/>
      <c r="IP91" s="78"/>
    </row>
    <row r="92" spans="1:250" s="90" customFormat="1">
      <c r="A92" s="101"/>
      <c r="B92" s="102"/>
      <c r="C92" s="103"/>
      <c r="D92" s="103"/>
      <c r="HU92" s="91"/>
      <c r="HV92" s="91"/>
      <c r="HW92" s="91"/>
      <c r="HX92" s="91"/>
      <c r="HY92" s="78"/>
      <c r="HZ92" s="78"/>
      <c r="IA92" s="78"/>
      <c r="IB92" s="78"/>
      <c r="IC92" s="78"/>
      <c r="ID92" s="78"/>
      <c r="IE92" s="78"/>
      <c r="IF92" s="78"/>
      <c r="IG92" s="78"/>
      <c r="IH92" s="78"/>
      <c r="II92" s="78"/>
      <c r="IJ92" s="78"/>
      <c r="IK92" s="78"/>
      <c r="IL92" s="78"/>
      <c r="IM92" s="78"/>
      <c r="IN92" s="78"/>
      <c r="IO92" s="78"/>
      <c r="IP92" s="78"/>
    </row>
    <row r="93" spans="1:250" s="90" customFormat="1">
      <c r="A93" s="101"/>
      <c r="B93" s="102"/>
      <c r="C93" s="103"/>
      <c r="D93" s="103"/>
      <c r="HU93" s="91"/>
      <c r="HV93" s="91"/>
      <c r="HW93" s="91"/>
      <c r="HX93" s="91"/>
      <c r="HY93" s="78"/>
      <c r="HZ93" s="78"/>
      <c r="IA93" s="78"/>
      <c r="IB93" s="78"/>
      <c r="IC93" s="78"/>
      <c r="ID93" s="78"/>
      <c r="IE93" s="78"/>
      <c r="IF93" s="78"/>
      <c r="IG93" s="78"/>
      <c r="IH93" s="78"/>
      <c r="II93" s="78"/>
      <c r="IJ93" s="78"/>
      <c r="IK93" s="78"/>
      <c r="IL93" s="78"/>
      <c r="IM93" s="78"/>
      <c r="IN93" s="78"/>
      <c r="IO93" s="78"/>
      <c r="IP93" s="78"/>
    </row>
    <row r="94" spans="1:250" s="90" customFormat="1">
      <c r="A94" s="101"/>
      <c r="B94" s="102"/>
      <c r="C94" s="103"/>
      <c r="D94" s="103"/>
      <c r="HU94" s="91"/>
      <c r="HV94" s="91"/>
      <c r="HW94" s="91"/>
      <c r="HX94" s="91"/>
      <c r="HY94" s="78"/>
      <c r="HZ94" s="78"/>
      <c r="IA94" s="78"/>
      <c r="IB94" s="78"/>
      <c r="IC94" s="78"/>
      <c r="ID94" s="78"/>
      <c r="IE94" s="78"/>
      <c r="IF94" s="78"/>
      <c r="IG94" s="78"/>
      <c r="IH94" s="78"/>
      <c r="II94" s="78"/>
      <c r="IJ94" s="78"/>
      <c r="IK94" s="78"/>
      <c r="IL94" s="78"/>
      <c r="IM94" s="78"/>
      <c r="IN94" s="78"/>
      <c r="IO94" s="78"/>
      <c r="IP94" s="78"/>
    </row>
    <row r="95" spans="1:250" s="90" customFormat="1">
      <c r="A95" s="101"/>
      <c r="B95" s="102"/>
      <c r="C95" s="103"/>
      <c r="D95" s="103"/>
      <c r="HU95" s="91"/>
      <c r="HV95" s="91"/>
      <c r="HW95" s="91"/>
      <c r="HX95" s="91"/>
      <c r="HY95" s="78"/>
      <c r="HZ95" s="78"/>
      <c r="IA95" s="78"/>
      <c r="IB95" s="78"/>
      <c r="IC95" s="78"/>
      <c r="ID95" s="78"/>
      <c r="IE95" s="78"/>
      <c r="IF95" s="78"/>
      <c r="IG95" s="78"/>
      <c r="IH95" s="78"/>
      <c r="II95" s="78"/>
      <c r="IJ95" s="78"/>
      <c r="IK95" s="78"/>
      <c r="IL95" s="78"/>
      <c r="IM95" s="78"/>
      <c r="IN95" s="78"/>
      <c r="IO95" s="78"/>
      <c r="IP95" s="78"/>
    </row>
    <row r="96" spans="1:250" s="90" customFormat="1">
      <c r="A96" s="101"/>
      <c r="B96" s="102"/>
      <c r="C96" s="103"/>
      <c r="D96" s="103"/>
      <c r="HU96" s="91"/>
      <c r="HV96" s="91"/>
      <c r="HW96" s="91"/>
      <c r="HX96" s="91"/>
      <c r="HY96" s="78"/>
      <c r="HZ96" s="78"/>
      <c r="IA96" s="78"/>
      <c r="IB96" s="78"/>
      <c r="IC96" s="78"/>
      <c r="ID96" s="78"/>
      <c r="IE96" s="78"/>
      <c r="IF96" s="78"/>
      <c r="IG96" s="78"/>
      <c r="IH96" s="78"/>
      <c r="II96" s="78"/>
      <c r="IJ96" s="78"/>
      <c r="IK96" s="78"/>
      <c r="IL96" s="78"/>
      <c r="IM96" s="78"/>
      <c r="IN96" s="78"/>
      <c r="IO96" s="78"/>
      <c r="IP96" s="78"/>
    </row>
    <row r="97" spans="1:250" s="90" customFormat="1">
      <c r="A97" s="101"/>
      <c r="B97" s="102"/>
      <c r="C97" s="103"/>
      <c r="D97" s="103"/>
      <c r="HU97" s="91"/>
      <c r="HV97" s="91"/>
      <c r="HW97" s="91"/>
      <c r="HX97" s="91"/>
      <c r="HY97" s="78"/>
      <c r="HZ97" s="78"/>
      <c r="IA97" s="78"/>
      <c r="IB97" s="78"/>
      <c r="IC97" s="78"/>
      <c r="ID97" s="78"/>
      <c r="IE97" s="78"/>
      <c r="IF97" s="78"/>
      <c r="IG97" s="78"/>
      <c r="IH97" s="78"/>
      <c r="II97" s="78"/>
      <c r="IJ97" s="78"/>
      <c r="IK97" s="78"/>
      <c r="IL97" s="78"/>
      <c r="IM97" s="78"/>
      <c r="IN97" s="78"/>
      <c r="IO97" s="78"/>
      <c r="IP97" s="78"/>
    </row>
    <row r="98" spans="1:250" s="90" customFormat="1">
      <c r="A98" s="101"/>
      <c r="B98" s="102"/>
      <c r="C98" s="103"/>
      <c r="D98" s="103"/>
      <c r="HU98" s="91"/>
      <c r="HV98" s="91"/>
      <c r="HW98" s="91"/>
      <c r="HX98" s="91"/>
      <c r="HY98" s="78"/>
      <c r="HZ98" s="78"/>
      <c r="IA98" s="78"/>
      <c r="IB98" s="78"/>
      <c r="IC98" s="78"/>
      <c r="ID98" s="78"/>
      <c r="IE98" s="78"/>
      <c r="IF98" s="78"/>
      <c r="IG98" s="78"/>
      <c r="IH98" s="78"/>
      <c r="II98" s="78"/>
      <c r="IJ98" s="78"/>
      <c r="IK98" s="78"/>
      <c r="IL98" s="78"/>
      <c r="IM98" s="78"/>
      <c r="IN98" s="78"/>
      <c r="IO98" s="78"/>
      <c r="IP98" s="78"/>
    </row>
    <row r="99" spans="1:250" s="90" customFormat="1">
      <c r="A99" s="101"/>
      <c r="B99" s="102"/>
      <c r="C99" s="103"/>
      <c r="D99" s="103"/>
      <c r="HU99" s="91"/>
      <c r="HV99" s="91"/>
      <c r="HW99" s="91"/>
      <c r="HX99" s="91"/>
      <c r="HY99" s="78"/>
      <c r="HZ99" s="78"/>
      <c r="IA99" s="78"/>
      <c r="IB99" s="78"/>
      <c r="IC99" s="78"/>
      <c r="ID99" s="78"/>
      <c r="IE99" s="78"/>
      <c r="IF99" s="78"/>
      <c r="IG99" s="78"/>
      <c r="IH99" s="78"/>
      <c r="II99" s="78"/>
      <c r="IJ99" s="78"/>
      <c r="IK99" s="78"/>
      <c r="IL99" s="78"/>
      <c r="IM99" s="78"/>
      <c r="IN99" s="78"/>
      <c r="IO99" s="78"/>
      <c r="IP99" s="78"/>
    </row>
    <row r="100" spans="1:250" s="90" customFormat="1">
      <c r="A100" s="101"/>
      <c r="B100" s="102"/>
      <c r="C100" s="103"/>
      <c r="D100" s="103"/>
      <c r="HU100" s="91"/>
      <c r="HV100" s="91"/>
      <c r="HW100" s="91"/>
      <c r="HX100" s="91"/>
      <c r="HY100" s="78"/>
      <c r="HZ100" s="78"/>
      <c r="IA100" s="78"/>
      <c r="IB100" s="78"/>
      <c r="IC100" s="78"/>
      <c r="ID100" s="78"/>
      <c r="IE100" s="78"/>
      <c r="IF100" s="78"/>
      <c r="IG100" s="78"/>
      <c r="IH100" s="78"/>
      <c r="II100" s="78"/>
      <c r="IJ100" s="78"/>
      <c r="IK100" s="78"/>
      <c r="IL100" s="78"/>
      <c r="IM100" s="78"/>
      <c r="IN100" s="78"/>
      <c r="IO100" s="78"/>
      <c r="IP100" s="78"/>
    </row>
    <row r="101" spans="1:250" s="90" customFormat="1">
      <c r="A101" s="101"/>
      <c r="B101" s="102"/>
      <c r="C101" s="103"/>
      <c r="D101" s="103"/>
      <c r="HU101" s="91"/>
      <c r="HV101" s="91"/>
      <c r="HW101" s="91"/>
      <c r="HX101" s="91"/>
      <c r="HY101" s="78"/>
      <c r="HZ101" s="78"/>
      <c r="IA101" s="78"/>
      <c r="IB101" s="78"/>
      <c r="IC101" s="78"/>
      <c r="ID101" s="78"/>
      <c r="IE101" s="78"/>
      <c r="IF101" s="78"/>
      <c r="IG101" s="78"/>
      <c r="IH101" s="78"/>
      <c r="II101" s="78"/>
      <c r="IJ101" s="78"/>
      <c r="IK101" s="78"/>
      <c r="IL101" s="78"/>
      <c r="IM101" s="78"/>
      <c r="IN101" s="78"/>
      <c r="IO101" s="78"/>
      <c r="IP101" s="78"/>
    </row>
    <row r="102" spans="1:250" s="90" customFormat="1">
      <c r="A102" s="101"/>
      <c r="B102" s="102"/>
      <c r="C102" s="103"/>
      <c r="D102" s="103"/>
      <c r="HU102" s="91"/>
      <c r="HV102" s="91"/>
      <c r="HW102" s="91"/>
      <c r="HX102" s="91"/>
      <c r="HY102" s="78"/>
      <c r="HZ102" s="78"/>
      <c r="IA102" s="78"/>
      <c r="IB102" s="78"/>
      <c r="IC102" s="78"/>
      <c r="ID102" s="78"/>
      <c r="IE102" s="78"/>
      <c r="IF102" s="78"/>
      <c r="IG102" s="78"/>
      <c r="IH102" s="78"/>
      <c r="II102" s="78"/>
      <c r="IJ102" s="78"/>
      <c r="IK102" s="78"/>
      <c r="IL102" s="78"/>
      <c r="IM102" s="78"/>
      <c r="IN102" s="78"/>
      <c r="IO102" s="78"/>
      <c r="IP102" s="78"/>
    </row>
    <row r="103" spans="1:250" s="90" customFormat="1">
      <c r="A103" s="101"/>
      <c r="B103" s="102"/>
      <c r="C103" s="103"/>
      <c r="D103" s="103"/>
      <c r="HU103" s="91"/>
      <c r="HV103" s="91"/>
      <c r="HW103" s="91"/>
      <c r="HX103" s="91"/>
      <c r="HY103" s="78"/>
      <c r="HZ103" s="78"/>
      <c r="IA103" s="78"/>
      <c r="IB103" s="78"/>
      <c r="IC103" s="78"/>
      <c r="ID103" s="78"/>
      <c r="IE103" s="78"/>
      <c r="IF103" s="78"/>
      <c r="IG103" s="78"/>
      <c r="IH103" s="78"/>
      <c r="II103" s="78"/>
      <c r="IJ103" s="78"/>
      <c r="IK103" s="78"/>
      <c r="IL103" s="78"/>
      <c r="IM103" s="78"/>
      <c r="IN103" s="78"/>
      <c r="IO103" s="78"/>
      <c r="IP103" s="78"/>
    </row>
    <row r="104" spans="1:250" s="90" customFormat="1">
      <c r="A104" s="101"/>
      <c r="B104" s="102"/>
      <c r="C104" s="103"/>
      <c r="D104" s="103"/>
      <c r="HU104" s="91"/>
      <c r="HV104" s="91"/>
      <c r="HW104" s="91"/>
      <c r="HX104" s="91"/>
      <c r="HY104" s="78"/>
      <c r="HZ104" s="78"/>
      <c r="IA104" s="78"/>
      <c r="IB104" s="78"/>
      <c r="IC104" s="78"/>
      <c r="ID104" s="78"/>
      <c r="IE104" s="78"/>
      <c r="IF104" s="78"/>
      <c r="IG104" s="78"/>
      <c r="IH104" s="78"/>
      <c r="II104" s="78"/>
      <c r="IJ104" s="78"/>
      <c r="IK104" s="78"/>
      <c r="IL104" s="78"/>
      <c r="IM104" s="78"/>
      <c r="IN104" s="78"/>
      <c r="IO104" s="78"/>
      <c r="IP104" s="78"/>
    </row>
    <row r="105" spans="1:250" s="90" customFormat="1">
      <c r="A105" s="101"/>
      <c r="B105" s="102"/>
      <c r="C105" s="103"/>
      <c r="D105" s="103"/>
      <c r="HU105" s="91"/>
      <c r="HV105" s="91"/>
      <c r="HW105" s="91"/>
      <c r="HX105" s="91"/>
      <c r="HY105" s="78"/>
      <c r="HZ105" s="78"/>
      <c r="IA105" s="78"/>
      <c r="IB105" s="78"/>
      <c r="IC105" s="78"/>
      <c r="ID105" s="78"/>
      <c r="IE105" s="78"/>
      <c r="IF105" s="78"/>
      <c r="IG105" s="78"/>
      <c r="IH105" s="78"/>
      <c r="II105" s="78"/>
      <c r="IJ105" s="78"/>
      <c r="IK105" s="78"/>
      <c r="IL105" s="78"/>
      <c r="IM105" s="78"/>
      <c r="IN105" s="78"/>
      <c r="IO105" s="78"/>
      <c r="IP105" s="78"/>
    </row>
    <row r="106" spans="1:250" s="90" customFormat="1">
      <c r="A106" s="101"/>
      <c r="B106" s="102"/>
      <c r="C106" s="103"/>
      <c r="D106" s="103"/>
      <c r="HU106" s="91"/>
      <c r="HV106" s="91"/>
      <c r="HW106" s="91"/>
      <c r="HX106" s="91"/>
      <c r="HY106" s="78"/>
      <c r="HZ106" s="78"/>
      <c r="IA106" s="78"/>
      <c r="IB106" s="78"/>
      <c r="IC106" s="78"/>
      <c r="ID106" s="78"/>
      <c r="IE106" s="78"/>
      <c r="IF106" s="78"/>
      <c r="IG106" s="78"/>
      <c r="IH106" s="78"/>
      <c r="II106" s="78"/>
      <c r="IJ106" s="78"/>
      <c r="IK106" s="78"/>
      <c r="IL106" s="78"/>
      <c r="IM106" s="78"/>
      <c r="IN106" s="78"/>
      <c r="IO106" s="78"/>
      <c r="IP106" s="78"/>
    </row>
    <row r="107" spans="1:250" s="90" customFormat="1">
      <c r="A107" s="101"/>
      <c r="B107" s="102"/>
      <c r="C107" s="103"/>
      <c r="D107" s="103"/>
      <c r="HU107" s="91"/>
      <c r="HV107" s="91"/>
      <c r="HW107" s="91"/>
      <c r="HX107" s="91"/>
      <c r="HY107" s="78"/>
      <c r="HZ107" s="78"/>
      <c r="IA107" s="78"/>
      <c r="IB107" s="78"/>
      <c r="IC107" s="78"/>
      <c r="ID107" s="78"/>
      <c r="IE107" s="78"/>
      <c r="IF107" s="78"/>
      <c r="IG107" s="78"/>
      <c r="IH107" s="78"/>
      <c r="II107" s="78"/>
      <c r="IJ107" s="78"/>
      <c r="IK107" s="78"/>
      <c r="IL107" s="78"/>
      <c r="IM107" s="78"/>
      <c r="IN107" s="78"/>
      <c r="IO107" s="78"/>
      <c r="IP107" s="78"/>
    </row>
    <row r="108" spans="1:250" s="90" customFormat="1">
      <c r="A108" s="101"/>
      <c r="B108" s="102"/>
      <c r="C108" s="103"/>
      <c r="D108" s="103"/>
      <c r="HU108" s="91"/>
      <c r="HV108" s="91"/>
      <c r="HW108" s="91"/>
      <c r="HX108" s="91"/>
      <c r="HY108" s="78"/>
      <c r="HZ108" s="78"/>
      <c r="IA108" s="78"/>
      <c r="IB108" s="78"/>
      <c r="IC108" s="78"/>
      <c r="ID108" s="78"/>
      <c r="IE108" s="78"/>
      <c r="IF108" s="78"/>
      <c r="IG108" s="78"/>
      <c r="IH108" s="78"/>
      <c r="II108" s="78"/>
      <c r="IJ108" s="78"/>
      <c r="IK108" s="78"/>
      <c r="IL108" s="78"/>
      <c r="IM108" s="78"/>
      <c r="IN108" s="78"/>
      <c r="IO108" s="78"/>
      <c r="IP108" s="78"/>
    </row>
    <row r="109" spans="1:250" s="90" customFormat="1">
      <c r="A109" s="101"/>
      <c r="B109" s="102"/>
      <c r="C109" s="103"/>
      <c r="D109" s="103"/>
      <c r="HU109" s="91"/>
      <c r="HV109" s="91"/>
      <c r="HW109" s="91"/>
      <c r="HX109" s="91"/>
      <c r="HY109" s="78"/>
      <c r="HZ109" s="78"/>
      <c r="IA109" s="78"/>
      <c r="IB109" s="78"/>
      <c r="IC109" s="78"/>
      <c r="ID109" s="78"/>
      <c r="IE109" s="78"/>
      <c r="IF109" s="78"/>
      <c r="IG109" s="78"/>
      <c r="IH109" s="78"/>
      <c r="II109" s="78"/>
      <c r="IJ109" s="78"/>
      <c r="IK109" s="78"/>
      <c r="IL109" s="78"/>
      <c r="IM109" s="78"/>
      <c r="IN109" s="78"/>
      <c r="IO109" s="78"/>
      <c r="IP109" s="78"/>
    </row>
    <row r="110" spans="1:250" s="90" customFormat="1">
      <c r="A110" s="101"/>
      <c r="B110" s="102"/>
      <c r="C110" s="103"/>
      <c r="D110" s="103"/>
      <c r="HU110" s="91"/>
      <c r="HV110" s="91"/>
      <c r="HW110" s="91"/>
      <c r="HX110" s="91"/>
      <c r="HY110" s="78"/>
      <c r="HZ110" s="78"/>
      <c r="IA110" s="78"/>
      <c r="IB110" s="78"/>
      <c r="IC110" s="78"/>
      <c r="ID110" s="78"/>
      <c r="IE110" s="78"/>
      <c r="IF110" s="78"/>
      <c r="IG110" s="78"/>
      <c r="IH110" s="78"/>
      <c r="II110" s="78"/>
      <c r="IJ110" s="78"/>
      <c r="IK110" s="78"/>
      <c r="IL110" s="78"/>
      <c r="IM110" s="78"/>
      <c r="IN110" s="78"/>
      <c r="IO110" s="78"/>
      <c r="IP110" s="78"/>
    </row>
    <row r="111" spans="1:250" s="90" customFormat="1">
      <c r="A111" s="101"/>
      <c r="B111" s="102"/>
      <c r="C111" s="103"/>
      <c r="D111" s="103"/>
      <c r="HU111" s="91"/>
      <c r="HV111" s="91"/>
      <c r="HW111" s="91"/>
      <c r="HX111" s="91"/>
      <c r="HY111" s="78"/>
      <c r="HZ111" s="78"/>
      <c r="IA111" s="78"/>
      <c r="IB111" s="78"/>
      <c r="IC111" s="78"/>
      <c r="ID111" s="78"/>
      <c r="IE111" s="78"/>
      <c r="IF111" s="78"/>
      <c r="IG111" s="78"/>
      <c r="IH111" s="78"/>
      <c r="II111" s="78"/>
      <c r="IJ111" s="78"/>
      <c r="IK111" s="78"/>
      <c r="IL111" s="78"/>
      <c r="IM111" s="78"/>
      <c r="IN111" s="78"/>
      <c r="IO111" s="78"/>
      <c r="IP111" s="78"/>
    </row>
    <row r="112" spans="1:250" s="90" customFormat="1">
      <c r="A112" s="101"/>
      <c r="B112" s="102"/>
      <c r="C112" s="103"/>
      <c r="D112" s="103"/>
      <c r="HU112" s="91"/>
      <c r="HV112" s="91"/>
      <c r="HW112" s="91"/>
      <c r="HX112" s="91"/>
      <c r="HY112" s="78"/>
      <c r="HZ112" s="78"/>
      <c r="IA112" s="78"/>
      <c r="IB112" s="78"/>
      <c r="IC112" s="78"/>
      <c r="ID112" s="78"/>
      <c r="IE112" s="78"/>
      <c r="IF112" s="78"/>
      <c r="IG112" s="78"/>
      <c r="IH112" s="78"/>
      <c r="II112" s="78"/>
      <c r="IJ112" s="78"/>
      <c r="IK112" s="78"/>
      <c r="IL112" s="78"/>
      <c r="IM112" s="78"/>
      <c r="IN112" s="78"/>
      <c r="IO112" s="78"/>
      <c r="IP112" s="78"/>
    </row>
    <row r="113" spans="1:250" s="90" customFormat="1">
      <c r="A113" s="101"/>
      <c r="B113" s="102"/>
      <c r="C113" s="103"/>
      <c r="D113" s="103"/>
      <c r="HU113" s="91"/>
      <c r="HV113" s="91"/>
      <c r="HW113" s="91"/>
      <c r="HX113" s="91"/>
      <c r="HY113" s="78"/>
      <c r="HZ113" s="78"/>
      <c r="IA113" s="78"/>
      <c r="IB113" s="78"/>
      <c r="IC113" s="78"/>
      <c r="ID113" s="78"/>
      <c r="IE113" s="78"/>
      <c r="IF113" s="78"/>
      <c r="IG113" s="78"/>
      <c r="IH113" s="78"/>
      <c r="II113" s="78"/>
      <c r="IJ113" s="78"/>
      <c r="IK113" s="78"/>
      <c r="IL113" s="78"/>
      <c r="IM113" s="78"/>
      <c r="IN113" s="78"/>
      <c r="IO113" s="78"/>
      <c r="IP113" s="78"/>
    </row>
    <row r="114" spans="1:250" s="90" customFormat="1">
      <c r="A114" s="101"/>
      <c r="B114" s="102"/>
      <c r="C114" s="103"/>
      <c r="D114" s="103"/>
      <c r="HU114" s="91"/>
      <c r="HV114" s="91"/>
      <c r="HW114" s="91"/>
      <c r="HX114" s="91"/>
      <c r="HY114" s="78"/>
      <c r="HZ114" s="78"/>
      <c r="IA114" s="78"/>
      <c r="IB114" s="78"/>
      <c r="IC114" s="78"/>
      <c r="ID114" s="78"/>
      <c r="IE114" s="78"/>
      <c r="IF114" s="78"/>
      <c r="IG114" s="78"/>
      <c r="IH114" s="78"/>
      <c r="II114" s="78"/>
      <c r="IJ114" s="78"/>
      <c r="IK114" s="78"/>
      <c r="IL114" s="78"/>
      <c r="IM114" s="78"/>
      <c r="IN114" s="78"/>
      <c r="IO114" s="78"/>
      <c r="IP114" s="78"/>
    </row>
    <row r="115" spans="1:250" s="90" customFormat="1">
      <c r="A115" s="101"/>
      <c r="B115" s="102"/>
      <c r="C115" s="103"/>
      <c r="D115" s="103"/>
      <c r="HU115" s="91"/>
      <c r="HV115" s="91"/>
      <c r="HW115" s="91"/>
      <c r="HX115" s="91"/>
      <c r="HY115" s="78"/>
      <c r="HZ115" s="78"/>
      <c r="IA115" s="78"/>
      <c r="IB115" s="78"/>
      <c r="IC115" s="78"/>
      <c r="ID115" s="78"/>
      <c r="IE115" s="78"/>
      <c r="IF115" s="78"/>
      <c r="IG115" s="78"/>
      <c r="IH115" s="78"/>
      <c r="II115" s="78"/>
      <c r="IJ115" s="78"/>
      <c r="IK115" s="78"/>
      <c r="IL115" s="78"/>
      <c r="IM115" s="78"/>
      <c r="IN115" s="78"/>
      <c r="IO115" s="78"/>
      <c r="IP115" s="78"/>
    </row>
    <row r="116" spans="1:250" s="90" customFormat="1">
      <c r="A116" s="101"/>
      <c r="B116" s="102"/>
      <c r="C116" s="103"/>
      <c r="D116" s="103"/>
      <c r="HU116" s="91"/>
      <c r="HV116" s="91"/>
      <c r="HW116" s="91"/>
      <c r="HX116" s="91"/>
      <c r="HY116" s="78"/>
      <c r="HZ116" s="78"/>
      <c r="IA116" s="78"/>
      <c r="IB116" s="78"/>
      <c r="IC116" s="78"/>
      <c r="ID116" s="78"/>
      <c r="IE116" s="78"/>
      <c r="IF116" s="78"/>
      <c r="IG116" s="78"/>
      <c r="IH116" s="78"/>
      <c r="II116" s="78"/>
      <c r="IJ116" s="78"/>
      <c r="IK116" s="78"/>
      <c r="IL116" s="78"/>
      <c r="IM116" s="78"/>
      <c r="IN116" s="78"/>
      <c r="IO116" s="78"/>
      <c r="IP116" s="78"/>
    </row>
    <row r="117" spans="1:250" s="90" customFormat="1">
      <c r="A117" s="101"/>
      <c r="B117" s="102"/>
      <c r="C117" s="103"/>
      <c r="D117" s="103"/>
      <c r="HU117" s="91"/>
      <c r="HV117" s="91"/>
      <c r="HW117" s="91"/>
      <c r="HX117" s="91"/>
      <c r="HY117" s="78"/>
      <c r="HZ117" s="78"/>
      <c r="IA117" s="78"/>
      <c r="IB117" s="78"/>
      <c r="IC117" s="78"/>
      <c r="ID117" s="78"/>
      <c r="IE117" s="78"/>
      <c r="IF117" s="78"/>
      <c r="IG117" s="78"/>
      <c r="IH117" s="78"/>
      <c r="II117" s="78"/>
      <c r="IJ117" s="78"/>
      <c r="IK117" s="78"/>
      <c r="IL117" s="78"/>
      <c r="IM117" s="78"/>
      <c r="IN117" s="78"/>
      <c r="IO117" s="78"/>
      <c r="IP117" s="78"/>
    </row>
    <row r="118" spans="1:250" s="90" customFormat="1">
      <c r="A118" s="101"/>
      <c r="B118" s="102"/>
      <c r="C118" s="103"/>
      <c r="D118" s="103"/>
      <c r="HU118" s="91"/>
      <c r="HV118" s="91"/>
      <c r="HW118" s="91"/>
      <c r="HX118" s="91"/>
      <c r="HY118" s="78"/>
      <c r="HZ118" s="78"/>
      <c r="IA118" s="78"/>
      <c r="IB118" s="78"/>
      <c r="IC118" s="78"/>
      <c r="ID118" s="78"/>
      <c r="IE118" s="78"/>
      <c r="IF118" s="78"/>
      <c r="IG118" s="78"/>
      <c r="IH118" s="78"/>
      <c r="II118" s="78"/>
      <c r="IJ118" s="78"/>
      <c r="IK118" s="78"/>
      <c r="IL118" s="78"/>
      <c r="IM118" s="78"/>
      <c r="IN118" s="78"/>
      <c r="IO118" s="78"/>
      <c r="IP118" s="78"/>
    </row>
    <row r="119" spans="1:250" s="90" customFormat="1">
      <c r="A119" s="101"/>
      <c r="B119" s="102"/>
      <c r="C119" s="103"/>
      <c r="D119" s="103"/>
      <c r="HU119" s="91"/>
      <c r="HV119" s="91"/>
      <c r="HW119" s="91"/>
      <c r="HX119" s="91"/>
      <c r="HY119" s="78"/>
      <c r="HZ119" s="78"/>
      <c r="IA119" s="78"/>
      <c r="IB119" s="78"/>
      <c r="IC119" s="78"/>
      <c r="ID119" s="78"/>
      <c r="IE119" s="78"/>
      <c r="IF119" s="78"/>
      <c r="IG119" s="78"/>
      <c r="IH119" s="78"/>
      <c r="II119" s="78"/>
      <c r="IJ119" s="78"/>
      <c r="IK119" s="78"/>
      <c r="IL119" s="78"/>
      <c r="IM119" s="78"/>
      <c r="IN119" s="78"/>
      <c r="IO119" s="78"/>
      <c r="IP119" s="78"/>
    </row>
    <row r="120" spans="1:250" s="90" customFormat="1">
      <c r="A120" s="101"/>
      <c r="B120" s="102"/>
      <c r="C120" s="103"/>
      <c r="D120" s="103"/>
      <c r="HU120" s="91"/>
      <c r="HV120" s="91"/>
      <c r="HW120" s="91"/>
      <c r="HX120" s="91"/>
      <c r="HY120" s="78"/>
      <c r="HZ120" s="78"/>
      <c r="IA120" s="78"/>
      <c r="IB120" s="78"/>
      <c r="IC120" s="78"/>
      <c r="ID120" s="78"/>
      <c r="IE120" s="78"/>
      <c r="IF120" s="78"/>
      <c r="IG120" s="78"/>
      <c r="IH120" s="78"/>
      <c r="II120" s="78"/>
      <c r="IJ120" s="78"/>
      <c r="IK120" s="78"/>
      <c r="IL120" s="78"/>
      <c r="IM120" s="78"/>
      <c r="IN120" s="78"/>
      <c r="IO120" s="78"/>
      <c r="IP120" s="78"/>
    </row>
    <row r="121" spans="1:250" s="90" customFormat="1">
      <c r="A121" s="101"/>
      <c r="B121" s="102"/>
      <c r="C121" s="103"/>
      <c r="D121" s="103"/>
      <c r="HU121" s="91"/>
      <c r="HV121" s="91"/>
      <c r="HW121" s="91"/>
      <c r="HX121" s="91"/>
      <c r="HY121" s="78"/>
      <c r="HZ121" s="78"/>
      <c r="IA121" s="78"/>
      <c r="IB121" s="78"/>
      <c r="IC121" s="78"/>
      <c r="ID121" s="78"/>
      <c r="IE121" s="78"/>
      <c r="IF121" s="78"/>
      <c r="IG121" s="78"/>
      <c r="IH121" s="78"/>
      <c r="II121" s="78"/>
      <c r="IJ121" s="78"/>
      <c r="IK121" s="78"/>
      <c r="IL121" s="78"/>
      <c r="IM121" s="78"/>
      <c r="IN121" s="78"/>
      <c r="IO121" s="78"/>
      <c r="IP121" s="78"/>
    </row>
    <row r="122" spans="1:250" s="90" customFormat="1">
      <c r="A122" s="101"/>
      <c r="B122" s="102"/>
      <c r="C122" s="103"/>
      <c r="D122" s="103"/>
      <c r="HU122" s="91"/>
      <c r="HV122" s="91"/>
      <c r="HW122" s="91"/>
      <c r="HX122" s="91"/>
      <c r="HY122" s="78"/>
      <c r="HZ122" s="78"/>
      <c r="IA122" s="78"/>
      <c r="IB122" s="78"/>
      <c r="IC122" s="78"/>
      <c r="ID122" s="78"/>
      <c r="IE122" s="78"/>
      <c r="IF122" s="78"/>
      <c r="IG122" s="78"/>
      <c r="IH122" s="78"/>
      <c r="II122" s="78"/>
      <c r="IJ122" s="78"/>
      <c r="IK122" s="78"/>
      <c r="IL122" s="78"/>
      <c r="IM122" s="78"/>
      <c r="IN122" s="78"/>
      <c r="IO122" s="78"/>
      <c r="IP122" s="78"/>
    </row>
    <row r="123" spans="1:250" s="90" customFormat="1">
      <c r="A123" s="101"/>
      <c r="B123" s="102"/>
      <c r="C123" s="103"/>
      <c r="D123" s="103"/>
      <c r="HU123" s="91"/>
      <c r="HV123" s="91"/>
      <c r="HW123" s="91"/>
      <c r="HX123" s="91"/>
      <c r="HY123" s="78"/>
      <c r="HZ123" s="78"/>
      <c r="IA123" s="78"/>
      <c r="IB123" s="78"/>
      <c r="IC123" s="78"/>
      <c r="ID123" s="78"/>
      <c r="IE123" s="78"/>
      <c r="IF123" s="78"/>
      <c r="IG123" s="78"/>
      <c r="IH123" s="78"/>
      <c r="II123" s="78"/>
      <c r="IJ123" s="78"/>
      <c r="IK123" s="78"/>
      <c r="IL123" s="78"/>
      <c r="IM123" s="78"/>
      <c r="IN123" s="78"/>
      <c r="IO123" s="78"/>
      <c r="IP123" s="78"/>
    </row>
    <row r="124" spans="1:250" s="90" customFormat="1">
      <c r="A124" s="101"/>
      <c r="B124" s="102"/>
      <c r="C124" s="103"/>
      <c r="D124" s="103"/>
      <c r="HU124" s="91"/>
      <c r="HV124" s="91"/>
      <c r="HW124" s="91"/>
      <c r="HX124" s="91"/>
      <c r="HY124" s="78"/>
      <c r="HZ124" s="78"/>
      <c r="IA124" s="78"/>
      <c r="IB124" s="78"/>
      <c r="IC124" s="78"/>
      <c r="ID124" s="78"/>
      <c r="IE124" s="78"/>
      <c r="IF124" s="78"/>
      <c r="IG124" s="78"/>
      <c r="IH124" s="78"/>
      <c r="II124" s="78"/>
      <c r="IJ124" s="78"/>
      <c r="IK124" s="78"/>
      <c r="IL124" s="78"/>
      <c r="IM124" s="78"/>
      <c r="IN124" s="78"/>
      <c r="IO124" s="78"/>
      <c r="IP124" s="78"/>
    </row>
    <row r="125" spans="1:250" s="90" customFormat="1">
      <c r="A125" s="101"/>
      <c r="B125" s="102"/>
      <c r="C125" s="103"/>
      <c r="D125" s="103"/>
      <c r="HU125" s="91"/>
      <c r="HV125" s="91"/>
      <c r="HW125" s="91"/>
      <c r="HX125" s="91"/>
      <c r="HY125" s="78"/>
      <c r="HZ125" s="78"/>
      <c r="IA125" s="78"/>
      <c r="IB125" s="78"/>
      <c r="IC125" s="78"/>
      <c r="ID125" s="78"/>
      <c r="IE125" s="78"/>
      <c r="IF125" s="78"/>
      <c r="IG125" s="78"/>
      <c r="IH125" s="78"/>
      <c r="II125" s="78"/>
      <c r="IJ125" s="78"/>
      <c r="IK125" s="78"/>
      <c r="IL125" s="78"/>
      <c r="IM125" s="78"/>
      <c r="IN125" s="78"/>
      <c r="IO125" s="78"/>
      <c r="IP125" s="78"/>
    </row>
    <row r="126" spans="1:250" s="90" customFormat="1">
      <c r="A126" s="101"/>
      <c r="B126" s="102"/>
      <c r="C126" s="103"/>
      <c r="D126" s="103"/>
      <c r="HU126" s="91"/>
      <c r="HV126" s="91"/>
      <c r="HW126" s="91"/>
      <c r="HX126" s="91"/>
      <c r="HY126" s="78"/>
      <c r="HZ126" s="78"/>
      <c r="IA126" s="78"/>
      <c r="IB126" s="78"/>
      <c r="IC126" s="78"/>
      <c r="ID126" s="78"/>
      <c r="IE126" s="78"/>
      <c r="IF126" s="78"/>
      <c r="IG126" s="78"/>
      <c r="IH126" s="78"/>
      <c r="II126" s="78"/>
      <c r="IJ126" s="78"/>
      <c r="IK126" s="78"/>
      <c r="IL126" s="78"/>
      <c r="IM126" s="78"/>
      <c r="IN126" s="78"/>
      <c r="IO126" s="78"/>
      <c r="IP126" s="78"/>
    </row>
    <row r="127" spans="1:250" s="90" customFormat="1">
      <c r="A127" s="101"/>
      <c r="B127" s="102"/>
      <c r="C127" s="103"/>
      <c r="D127" s="103"/>
      <c r="HU127" s="91"/>
      <c r="HV127" s="91"/>
      <c r="HW127" s="91"/>
      <c r="HX127" s="91"/>
      <c r="HY127" s="78"/>
      <c r="HZ127" s="78"/>
      <c r="IA127" s="78"/>
      <c r="IB127" s="78"/>
      <c r="IC127" s="78"/>
      <c r="ID127" s="78"/>
      <c r="IE127" s="78"/>
      <c r="IF127" s="78"/>
      <c r="IG127" s="78"/>
      <c r="IH127" s="78"/>
      <c r="II127" s="78"/>
      <c r="IJ127" s="78"/>
      <c r="IK127" s="78"/>
      <c r="IL127" s="78"/>
      <c r="IM127" s="78"/>
      <c r="IN127" s="78"/>
      <c r="IO127" s="78"/>
      <c r="IP127" s="78"/>
    </row>
    <row r="128" spans="1:250" s="90" customFormat="1">
      <c r="A128" s="101"/>
      <c r="B128" s="102"/>
      <c r="C128" s="103"/>
      <c r="D128" s="103"/>
      <c r="HU128" s="91"/>
      <c r="HV128" s="91"/>
      <c r="HW128" s="91"/>
      <c r="HX128" s="91"/>
      <c r="HY128" s="78"/>
      <c r="HZ128" s="78"/>
      <c r="IA128" s="78"/>
      <c r="IB128" s="78"/>
      <c r="IC128" s="78"/>
      <c r="ID128" s="78"/>
      <c r="IE128" s="78"/>
      <c r="IF128" s="78"/>
      <c r="IG128" s="78"/>
      <c r="IH128" s="78"/>
      <c r="II128" s="78"/>
      <c r="IJ128" s="78"/>
      <c r="IK128" s="78"/>
      <c r="IL128" s="78"/>
      <c r="IM128" s="78"/>
      <c r="IN128" s="78"/>
      <c r="IO128" s="78"/>
      <c r="IP128" s="78"/>
    </row>
    <row r="129" spans="1:250" s="90" customFormat="1">
      <c r="A129" s="101"/>
      <c r="B129" s="102"/>
      <c r="C129" s="103"/>
      <c r="D129" s="103"/>
      <c r="HU129" s="91"/>
      <c r="HV129" s="91"/>
      <c r="HW129" s="91"/>
      <c r="HX129" s="91"/>
      <c r="HY129" s="78"/>
      <c r="HZ129" s="78"/>
      <c r="IA129" s="78"/>
      <c r="IB129" s="78"/>
      <c r="IC129" s="78"/>
      <c r="ID129" s="78"/>
      <c r="IE129" s="78"/>
      <c r="IF129" s="78"/>
      <c r="IG129" s="78"/>
      <c r="IH129" s="78"/>
      <c r="II129" s="78"/>
      <c r="IJ129" s="78"/>
      <c r="IK129" s="78"/>
      <c r="IL129" s="78"/>
      <c r="IM129" s="78"/>
      <c r="IN129" s="78"/>
      <c r="IO129" s="78"/>
      <c r="IP129" s="78"/>
    </row>
    <row r="130" spans="1:250" s="90" customFormat="1">
      <c r="A130" s="101"/>
      <c r="B130" s="102"/>
      <c r="C130" s="103"/>
      <c r="D130" s="103"/>
      <c r="HU130" s="91"/>
      <c r="HV130" s="91"/>
      <c r="HW130" s="91"/>
      <c r="HX130" s="91"/>
      <c r="HY130" s="78"/>
      <c r="HZ130" s="78"/>
      <c r="IA130" s="78"/>
      <c r="IB130" s="78"/>
      <c r="IC130" s="78"/>
      <c r="ID130" s="78"/>
      <c r="IE130" s="78"/>
      <c r="IF130" s="78"/>
      <c r="IG130" s="78"/>
      <c r="IH130" s="78"/>
      <c r="II130" s="78"/>
      <c r="IJ130" s="78"/>
      <c r="IK130" s="78"/>
      <c r="IL130" s="78"/>
      <c r="IM130" s="78"/>
      <c r="IN130" s="78"/>
      <c r="IO130" s="78"/>
      <c r="IP130" s="78"/>
    </row>
    <row r="131" spans="1:250" s="90" customFormat="1">
      <c r="A131" s="101"/>
      <c r="B131" s="102"/>
      <c r="C131" s="103"/>
      <c r="D131" s="103"/>
      <c r="HU131" s="91"/>
      <c r="HV131" s="91"/>
      <c r="HW131" s="91"/>
      <c r="HX131" s="91"/>
      <c r="HY131" s="78"/>
      <c r="HZ131" s="78"/>
      <c r="IA131" s="78"/>
      <c r="IB131" s="78"/>
      <c r="IC131" s="78"/>
      <c r="ID131" s="78"/>
      <c r="IE131" s="78"/>
      <c r="IF131" s="78"/>
      <c r="IG131" s="78"/>
      <c r="IH131" s="78"/>
      <c r="II131" s="78"/>
      <c r="IJ131" s="78"/>
      <c r="IK131" s="78"/>
      <c r="IL131" s="78"/>
      <c r="IM131" s="78"/>
      <c r="IN131" s="78"/>
      <c r="IO131" s="78"/>
      <c r="IP131" s="78"/>
    </row>
    <row r="132" spans="1:250" s="90" customFormat="1">
      <c r="A132" s="101"/>
      <c r="B132" s="102"/>
      <c r="C132" s="103"/>
      <c r="D132" s="103"/>
      <c r="HU132" s="91"/>
      <c r="HV132" s="91"/>
      <c r="HW132" s="91"/>
      <c r="HX132" s="91"/>
      <c r="HY132" s="78"/>
      <c r="HZ132" s="78"/>
      <c r="IA132" s="78"/>
      <c r="IB132" s="78"/>
      <c r="IC132" s="78"/>
      <c r="ID132" s="78"/>
      <c r="IE132" s="78"/>
      <c r="IF132" s="78"/>
      <c r="IG132" s="78"/>
      <c r="IH132" s="78"/>
      <c r="II132" s="78"/>
      <c r="IJ132" s="78"/>
      <c r="IK132" s="78"/>
      <c r="IL132" s="78"/>
      <c r="IM132" s="78"/>
      <c r="IN132" s="78"/>
      <c r="IO132" s="78"/>
      <c r="IP132" s="78"/>
    </row>
    <row r="133" spans="1:250" s="90" customFormat="1">
      <c r="A133" s="101"/>
      <c r="B133" s="102"/>
      <c r="C133" s="103"/>
      <c r="D133" s="103"/>
      <c r="HU133" s="91"/>
      <c r="HV133" s="91"/>
      <c r="HW133" s="91"/>
      <c r="HX133" s="91"/>
      <c r="HY133" s="78"/>
      <c r="HZ133" s="78"/>
      <c r="IA133" s="78"/>
      <c r="IB133" s="78"/>
      <c r="IC133" s="78"/>
      <c r="ID133" s="78"/>
      <c r="IE133" s="78"/>
      <c r="IF133" s="78"/>
      <c r="IG133" s="78"/>
      <c r="IH133" s="78"/>
      <c r="II133" s="78"/>
      <c r="IJ133" s="78"/>
      <c r="IK133" s="78"/>
      <c r="IL133" s="78"/>
      <c r="IM133" s="78"/>
      <c r="IN133" s="78"/>
      <c r="IO133" s="78"/>
      <c r="IP133" s="78"/>
    </row>
    <row r="134" spans="1:250" s="90" customFormat="1">
      <c r="A134" s="101"/>
      <c r="B134" s="102"/>
      <c r="C134" s="103"/>
      <c r="D134" s="103"/>
      <c r="HU134" s="91"/>
      <c r="HV134" s="91"/>
      <c r="HW134" s="91"/>
      <c r="HX134" s="91"/>
      <c r="HY134" s="78"/>
      <c r="HZ134" s="78"/>
      <c r="IA134" s="78"/>
      <c r="IB134" s="78"/>
      <c r="IC134" s="78"/>
      <c r="ID134" s="78"/>
      <c r="IE134" s="78"/>
      <c r="IF134" s="78"/>
      <c r="IG134" s="78"/>
      <c r="IH134" s="78"/>
      <c r="II134" s="78"/>
      <c r="IJ134" s="78"/>
      <c r="IK134" s="78"/>
      <c r="IL134" s="78"/>
      <c r="IM134" s="78"/>
      <c r="IN134" s="78"/>
      <c r="IO134" s="78"/>
      <c r="IP134" s="78"/>
    </row>
    <row r="135" spans="1:250" s="90" customFormat="1">
      <c r="A135" s="101"/>
      <c r="B135" s="102"/>
      <c r="C135" s="103"/>
      <c r="D135" s="103"/>
      <c r="HU135" s="91"/>
      <c r="HV135" s="91"/>
      <c r="HW135" s="91"/>
      <c r="HX135" s="91"/>
      <c r="HY135" s="78"/>
      <c r="HZ135" s="78"/>
      <c r="IA135" s="78"/>
      <c r="IB135" s="78"/>
      <c r="IC135" s="78"/>
      <c r="ID135" s="78"/>
      <c r="IE135" s="78"/>
      <c r="IF135" s="78"/>
      <c r="IG135" s="78"/>
      <c r="IH135" s="78"/>
      <c r="II135" s="78"/>
      <c r="IJ135" s="78"/>
      <c r="IK135" s="78"/>
      <c r="IL135" s="78"/>
      <c r="IM135" s="78"/>
      <c r="IN135" s="78"/>
      <c r="IO135" s="78"/>
      <c r="IP135" s="78"/>
    </row>
    <row r="136" spans="1:250" s="90" customFormat="1">
      <c r="A136" s="101"/>
      <c r="B136" s="102"/>
      <c r="C136" s="103"/>
      <c r="D136" s="103"/>
      <c r="HU136" s="91"/>
      <c r="HV136" s="91"/>
      <c r="HW136" s="91"/>
      <c r="HX136" s="91"/>
      <c r="HY136" s="78"/>
      <c r="HZ136" s="78"/>
      <c r="IA136" s="78"/>
      <c r="IB136" s="78"/>
      <c r="IC136" s="78"/>
      <c r="ID136" s="78"/>
      <c r="IE136" s="78"/>
      <c r="IF136" s="78"/>
      <c r="IG136" s="78"/>
      <c r="IH136" s="78"/>
      <c r="II136" s="78"/>
      <c r="IJ136" s="78"/>
      <c r="IK136" s="78"/>
      <c r="IL136" s="78"/>
      <c r="IM136" s="78"/>
      <c r="IN136" s="78"/>
      <c r="IO136" s="78"/>
      <c r="IP136" s="78"/>
    </row>
    <row r="137" spans="1:250" s="90" customFormat="1">
      <c r="A137" s="101"/>
      <c r="B137" s="102"/>
      <c r="C137" s="103"/>
      <c r="D137" s="103"/>
      <c r="HU137" s="91"/>
      <c r="HV137" s="91"/>
      <c r="HW137" s="91"/>
      <c r="HX137" s="91"/>
      <c r="HY137" s="78"/>
      <c r="HZ137" s="78"/>
      <c r="IA137" s="78"/>
      <c r="IB137" s="78"/>
      <c r="IC137" s="78"/>
      <c r="ID137" s="78"/>
      <c r="IE137" s="78"/>
      <c r="IF137" s="78"/>
      <c r="IG137" s="78"/>
      <c r="IH137" s="78"/>
      <c r="II137" s="78"/>
      <c r="IJ137" s="78"/>
      <c r="IK137" s="78"/>
      <c r="IL137" s="78"/>
      <c r="IM137" s="78"/>
      <c r="IN137" s="78"/>
      <c r="IO137" s="78"/>
      <c r="IP137" s="78"/>
    </row>
    <row r="138" spans="1:250" s="90" customFormat="1">
      <c r="A138" s="101"/>
      <c r="B138" s="102"/>
      <c r="C138" s="103"/>
      <c r="D138" s="103"/>
      <c r="HU138" s="91"/>
      <c r="HV138" s="91"/>
      <c r="HW138" s="91"/>
      <c r="HX138" s="91"/>
      <c r="HY138" s="78"/>
      <c r="HZ138" s="78"/>
      <c r="IA138" s="78"/>
      <c r="IB138" s="78"/>
      <c r="IC138" s="78"/>
      <c r="ID138" s="78"/>
      <c r="IE138" s="78"/>
      <c r="IF138" s="78"/>
      <c r="IG138" s="78"/>
      <c r="IH138" s="78"/>
      <c r="II138" s="78"/>
      <c r="IJ138" s="78"/>
      <c r="IK138" s="78"/>
      <c r="IL138" s="78"/>
      <c r="IM138" s="78"/>
      <c r="IN138" s="78"/>
      <c r="IO138" s="78"/>
      <c r="IP138" s="78"/>
    </row>
    <row r="139" spans="1:250" s="90" customFormat="1">
      <c r="A139" s="101"/>
      <c r="B139" s="102"/>
      <c r="C139" s="103"/>
      <c r="D139" s="103"/>
      <c r="HU139" s="91"/>
      <c r="HV139" s="91"/>
      <c r="HW139" s="91"/>
      <c r="HX139" s="91"/>
      <c r="HY139" s="78"/>
      <c r="HZ139" s="78"/>
      <c r="IA139" s="78"/>
      <c r="IB139" s="78"/>
      <c r="IC139" s="78"/>
      <c r="ID139" s="78"/>
      <c r="IE139" s="78"/>
      <c r="IF139" s="78"/>
      <c r="IG139" s="78"/>
      <c r="IH139" s="78"/>
      <c r="II139" s="78"/>
      <c r="IJ139" s="78"/>
      <c r="IK139" s="78"/>
      <c r="IL139" s="78"/>
      <c r="IM139" s="78"/>
      <c r="IN139" s="78"/>
      <c r="IO139" s="78"/>
      <c r="IP139" s="78"/>
    </row>
    <row r="140" spans="1:250" s="90" customFormat="1">
      <c r="A140" s="101"/>
      <c r="B140" s="102"/>
      <c r="C140" s="103"/>
      <c r="D140" s="103"/>
      <c r="HU140" s="91"/>
      <c r="HV140" s="91"/>
      <c r="HW140" s="91"/>
      <c r="HX140" s="91"/>
      <c r="HY140" s="78"/>
      <c r="HZ140" s="78"/>
      <c r="IA140" s="78"/>
      <c r="IB140" s="78"/>
      <c r="IC140" s="78"/>
      <c r="ID140" s="78"/>
      <c r="IE140" s="78"/>
      <c r="IF140" s="78"/>
      <c r="IG140" s="78"/>
      <c r="IH140" s="78"/>
      <c r="II140" s="78"/>
      <c r="IJ140" s="78"/>
      <c r="IK140" s="78"/>
      <c r="IL140" s="78"/>
      <c r="IM140" s="78"/>
      <c r="IN140" s="78"/>
      <c r="IO140" s="78"/>
      <c r="IP140" s="78"/>
    </row>
    <row r="141" spans="1:250" s="90" customFormat="1">
      <c r="A141" s="101"/>
      <c r="B141" s="102"/>
      <c r="C141" s="103"/>
      <c r="D141" s="103"/>
      <c r="HU141" s="91"/>
      <c r="HV141" s="91"/>
      <c r="HW141" s="91"/>
      <c r="HX141" s="91"/>
      <c r="HY141" s="78"/>
      <c r="HZ141" s="78"/>
      <c r="IA141" s="78"/>
      <c r="IB141" s="78"/>
      <c r="IC141" s="78"/>
      <c r="ID141" s="78"/>
      <c r="IE141" s="78"/>
      <c r="IF141" s="78"/>
      <c r="IG141" s="78"/>
      <c r="IH141" s="78"/>
      <c r="II141" s="78"/>
      <c r="IJ141" s="78"/>
      <c r="IK141" s="78"/>
      <c r="IL141" s="78"/>
      <c r="IM141" s="78"/>
      <c r="IN141" s="78"/>
      <c r="IO141" s="78"/>
      <c r="IP141" s="78"/>
    </row>
    <row r="142" spans="1:250" s="90" customFormat="1">
      <c r="A142" s="101"/>
      <c r="B142" s="102"/>
      <c r="C142" s="103"/>
      <c r="D142" s="103"/>
      <c r="HU142" s="91"/>
      <c r="HV142" s="91"/>
      <c r="HW142" s="91"/>
      <c r="HX142" s="91"/>
      <c r="HY142" s="78"/>
      <c r="HZ142" s="78"/>
      <c r="IA142" s="78"/>
      <c r="IB142" s="78"/>
      <c r="IC142" s="78"/>
      <c r="ID142" s="78"/>
      <c r="IE142" s="78"/>
      <c r="IF142" s="78"/>
      <c r="IG142" s="78"/>
      <c r="IH142" s="78"/>
      <c r="II142" s="78"/>
      <c r="IJ142" s="78"/>
      <c r="IK142" s="78"/>
      <c r="IL142" s="78"/>
      <c r="IM142" s="78"/>
      <c r="IN142" s="78"/>
      <c r="IO142" s="78"/>
      <c r="IP142" s="78"/>
    </row>
    <row r="143" spans="1:250" s="90" customFormat="1">
      <c r="A143" s="101"/>
      <c r="B143" s="102"/>
      <c r="C143" s="103"/>
      <c r="D143" s="103"/>
      <c r="HU143" s="91"/>
      <c r="HV143" s="91"/>
      <c r="HW143" s="91"/>
      <c r="HX143" s="91"/>
      <c r="HY143" s="78"/>
      <c r="HZ143" s="78"/>
      <c r="IA143" s="78"/>
      <c r="IB143" s="78"/>
      <c r="IC143" s="78"/>
      <c r="ID143" s="78"/>
      <c r="IE143" s="78"/>
      <c r="IF143" s="78"/>
      <c r="IG143" s="78"/>
      <c r="IH143" s="78"/>
      <c r="II143" s="78"/>
      <c r="IJ143" s="78"/>
      <c r="IK143" s="78"/>
      <c r="IL143" s="78"/>
      <c r="IM143" s="78"/>
      <c r="IN143" s="78"/>
      <c r="IO143" s="78"/>
      <c r="IP143" s="78"/>
    </row>
    <row r="144" spans="1:250" s="90" customFormat="1">
      <c r="A144" s="101"/>
      <c r="B144" s="102"/>
      <c r="C144" s="103"/>
      <c r="D144" s="103"/>
      <c r="HU144" s="91"/>
      <c r="HV144" s="91"/>
      <c r="HW144" s="91"/>
      <c r="HX144" s="91"/>
      <c r="HY144" s="78"/>
      <c r="HZ144" s="78"/>
      <c r="IA144" s="78"/>
      <c r="IB144" s="78"/>
      <c r="IC144" s="78"/>
      <c r="ID144" s="78"/>
      <c r="IE144" s="78"/>
      <c r="IF144" s="78"/>
      <c r="IG144" s="78"/>
      <c r="IH144" s="78"/>
      <c r="II144" s="78"/>
      <c r="IJ144" s="78"/>
      <c r="IK144" s="78"/>
      <c r="IL144" s="78"/>
      <c r="IM144" s="78"/>
      <c r="IN144" s="78"/>
      <c r="IO144" s="78"/>
      <c r="IP144" s="78"/>
    </row>
    <row r="145" spans="1:250" s="90" customFormat="1">
      <c r="A145" s="101"/>
      <c r="B145" s="102"/>
      <c r="C145" s="103"/>
      <c r="D145" s="103"/>
      <c r="HU145" s="91"/>
      <c r="HV145" s="91"/>
      <c r="HW145" s="91"/>
      <c r="HX145" s="91"/>
      <c r="HY145" s="78"/>
      <c r="HZ145" s="78"/>
      <c r="IA145" s="78"/>
      <c r="IB145" s="78"/>
      <c r="IC145" s="78"/>
      <c r="ID145" s="78"/>
      <c r="IE145" s="78"/>
      <c r="IF145" s="78"/>
      <c r="IG145" s="78"/>
      <c r="IH145" s="78"/>
      <c r="II145" s="78"/>
      <c r="IJ145" s="78"/>
      <c r="IK145" s="78"/>
      <c r="IL145" s="78"/>
      <c r="IM145" s="78"/>
      <c r="IN145" s="78"/>
      <c r="IO145" s="78"/>
      <c r="IP145" s="78"/>
    </row>
    <row r="146" spans="1:250" s="90" customFormat="1">
      <c r="A146" s="101"/>
      <c r="B146" s="102"/>
      <c r="C146" s="103"/>
      <c r="D146" s="103"/>
      <c r="HU146" s="91"/>
      <c r="HV146" s="91"/>
      <c r="HW146" s="91"/>
      <c r="HX146" s="91"/>
      <c r="HY146" s="78"/>
      <c r="HZ146" s="78"/>
      <c r="IA146" s="78"/>
      <c r="IB146" s="78"/>
      <c r="IC146" s="78"/>
      <c r="ID146" s="78"/>
      <c r="IE146" s="78"/>
      <c r="IF146" s="78"/>
      <c r="IG146" s="78"/>
      <c r="IH146" s="78"/>
      <c r="II146" s="78"/>
      <c r="IJ146" s="78"/>
      <c r="IK146" s="78"/>
      <c r="IL146" s="78"/>
      <c r="IM146" s="78"/>
      <c r="IN146" s="78"/>
      <c r="IO146" s="78"/>
      <c r="IP146" s="78"/>
    </row>
    <row r="147" spans="1:250" s="90" customFormat="1">
      <c r="A147" s="101"/>
      <c r="B147" s="102"/>
      <c r="C147" s="103"/>
      <c r="D147" s="103"/>
      <c r="HU147" s="91"/>
      <c r="HV147" s="91"/>
      <c r="HW147" s="91"/>
      <c r="HX147" s="91"/>
      <c r="HY147" s="78"/>
      <c r="HZ147" s="78"/>
      <c r="IA147" s="78"/>
      <c r="IB147" s="78"/>
      <c r="IC147" s="78"/>
      <c r="ID147" s="78"/>
      <c r="IE147" s="78"/>
      <c r="IF147" s="78"/>
      <c r="IG147" s="78"/>
      <c r="IH147" s="78"/>
      <c r="II147" s="78"/>
      <c r="IJ147" s="78"/>
      <c r="IK147" s="78"/>
      <c r="IL147" s="78"/>
      <c r="IM147" s="78"/>
      <c r="IN147" s="78"/>
      <c r="IO147" s="78"/>
      <c r="IP147" s="78"/>
    </row>
    <row r="148" spans="1:250" s="90" customFormat="1">
      <c r="A148" s="101"/>
      <c r="B148" s="102"/>
      <c r="C148" s="103"/>
      <c r="D148" s="103"/>
      <c r="HU148" s="91"/>
      <c r="HV148" s="91"/>
      <c r="HW148" s="91"/>
      <c r="HX148" s="91"/>
      <c r="HY148" s="78"/>
      <c r="HZ148" s="78"/>
      <c r="IA148" s="78"/>
      <c r="IB148" s="78"/>
      <c r="IC148" s="78"/>
      <c r="ID148" s="78"/>
      <c r="IE148" s="78"/>
      <c r="IF148" s="78"/>
      <c r="IG148" s="78"/>
      <c r="IH148" s="78"/>
      <c r="II148" s="78"/>
      <c r="IJ148" s="78"/>
      <c r="IK148" s="78"/>
      <c r="IL148" s="78"/>
      <c r="IM148" s="78"/>
      <c r="IN148" s="78"/>
      <c r="IO148" s="78"/>
      <c r="IP148" s="78"/>
    </row>
    <row r="149" spans="1:250" s="90" customFormat="1">
      <c r="A149" s="101"/>
      <c r="B149" s="102"/>
      <c r="C149" s="103"/>
      <c r="D149" s="103"/>
      <c r="HU149" s="91"/>
      <c r="HV149" s="91"/>
      <c r="HW149" s="91"/>
      <c r="HX149" s="91"/>
      <c r="HY149" s="78"/>
      <c r="HZ149" s="78"/>
      <c r="IA149" s="78"/>
      <c r="IB149" s="78"/>
      <c r="IC149" s="78"/>
      <c r="ID149" s="78"/>
      <c r="IE149" s="78"/>
      <c r="IF149" s="78"/>
      <c r="IG149" s="78"/>
      <c r="IH149" s="78"/>
      <c r="II149" s="78"/>
      <c r="IJ149" s="78"/>
      <c r="IK149" s="78"/>
      <c r="IL149" s="78"/>
      <c r="IM149" s="78"/>
      <c r="IN149" s="78"/>
      <c r="IO149" s="78"/>
      <c r="IP149" s="78"/>
    </row>
    <row r="150" spans="1:250" s="90" customFormat="1">
      <c r="A150" s="101"/>
      <c r="B150" s="102"/>
      <c r="C150" s="103"/>
      <c r="D150" s="103"/>
      <c r="HU150" s="91"/>
      <c r="HV150" s="91"/>
      <c r="HW150" s="91"/>
      <c r="HX150" s="91"/>
      <c r="HY150" s="78"/>
      <c r="HZ150" s="78"/>
      <c r="IA150" s="78"/>
      <c r="IB150" s="78"/>
      <c r="IC150" s="78"/>
      <c r="ID150" s="78"/>
      <c r="IE150" s="78"/>
      <c r="IF150" s="78"/>
      <c r="IG150" s="78"/>
      <c r="IH150" s="78"/>
      <c r="II150" s="78"/>
      <c r="IJ150" s="78"/>
      <c r="IK150" s="78"/>
      <c r="IL150" s="78"/>
      <c r="IM150" s="78"/>
      <c r="IN150" s="78"/>
      <c r="IO150" s="78"/>
      <c r="IP150" s="78"/>
    </row>
    <row r="151" spans="1:250" s="90" customFormat="1">
      <c r="A151" s="101"/>
      <c r="B151" s="102"/>
      <c r="C151" s="103"/>
      <c r="D151" s="103"/>
      <c r="HU151" s="91"/>
      <c r="HV151" s="91"/>
      <c r="HW151" s="91"/>
      <c r="HX151" s="91"/>
      <c r="HY151" s="78"/>
      <c r="HZ151" s="78"/>
      <c r="IA151" s="78"/>
      <c r="IB151" s="78"/>
      <c r="IC151" s="78"/>
      <c r="ID151" s="78"/>
      <c r="IE151" s="78"/>
      <c r="IF151" s="78"/>
      <c r="IG151" s="78"/>
      <c r="IH151" s="78"/>
      <c r="II151" s="78"/>
      <c r="IJ151" s="78"/>
      <c r="IK151" s="78"/>
      <c r="IL151" s="78"/>
      <c r="IM151" s="78"/>
      <c r="IN151" s="78"/>
      <c r="IO151" s="78"/>
      <c r="IP151" s="78"/>
    </row>
    <row r="152" spans="1:250" s="90" customFormat="1">
      <c r="A152" s="101"/>
      <c r="B152" s="102"/>
      <c r="C152" s="103"/>
      <c r="D152" s="103"/>
      <c r="HU152" s="91"/>
      <c r="HV152" s="91"/>
      <c r="HW152" s="91"/>
      <c r="HX152" s="91"/>
      <c r="HY152" s="78"/>
      <c r="HZ152" s="78"/>
      <c r="IA152" s="78"/>
      <c r="IB152" s="78"/>
      <c r="IC152" s="78"/>
      <c r="ID152" s="78"/>
      <c r="IE152" s="78"/>
      <c r="IF152" s="78"/>
      <c r="IG152" s="78"/>
      <c r="IH152" s="78"/>
      <c r="II152" s="78"/>
      <c r="IJ152" s="78"/>
      <c r="IK152" s="78"/>
      <c r="IL152" s="78"/>
      <c r="IM152" s="78"/>
      <c r="IN152" s="78"/>
      <c r="IO152" s="78"/>
      <c r="IP152" s="78"/>
    </row>
    <row r="153" spans="1:250" s="90" customFormat="1">
      <c r="A153" s="101"/>
      <c r="B153" s="102"/>
      <c r="C153" s="103"/>
      <c r="D153" s="103"/>
      <c r="HU153" s="91"/>
      <c r="HV153" s="91"/>
      <c r="HW153" s="91"/>
      <c r="HX153" s="91"/>
      <c r="HY153" s="78"/>
      <c r="HZ153" s="78"/>
      <c r="IA153" s="78"/>
      <c r="IB153" s="78"/>
      <c r="IC153" s="78"/>
      <c r="ID153" s="78"/>
      <c r="IE153" s="78"/>
      <c r="IF153" s="78"/>
      <c r="IG153" s="78"/>
      <c r="IH153" s="78"/>
      <c r="II153" s="78"/>
      <c r="IJ153" s="78"/>
      <c r="IK153" s="78"/>
      <c r="IL153" s="78"/>
      <c r="IM153" s="78"/>
      <c r="IN153" s="78"/>
      <c r="IO153" s="78"/>
      <c r="IP153" s="78"/>
    </row>
    <row r="154" spans="1:250" s="90" customFormat="1">
      <c r="A154" s="101"/>
      <c r="B154" s="102"/>
      <c r="C154" s="103"/>
      <c r="D154" s="103"/>
      <c r="HU154" s="91"/>
      <c r="HV154" s="91"/>
      <c r="HW154" s="91"/>
      <c r="HX154" s="91"/>
      <c r="HY154" s="78"/>
      <c r="HZ154" s="78"/>
      <c r="IA154" s="78"/>
      <c r="IB154" s="78"/>
      <c r="IC154" s="78"/>
      <c r="ID154" s="78"/>
      <c r="IE154" s="78"/>
      <c r="IF154" s="78"/>
      <c r="IG154" s="78"/>
      <c r="IH154" s="78"/>
      <c r="II154" s="78"/>
      <c r="IJ154" s="78"/>
      <c r="IK154" s="78"/>
      <c r="IL154" s="78"/>
      <c r="IM154" s="78"/>
      <c r="IN154" s="78"/>
      <c r="IO154" s="78"/>
      <c r="IP154" s="78"/>
    </row>
    <row r="155" spans="1:250" s="90" customFormat="1">
      <c r="A155" s="101"/>
      <c r="B155" s="102"/>
      <c r="C155" s="103"/>
      <c r="D155" s="103"/>
      <c r="HU155" s="91"/>
      <c r="HV155" s="91"/>
      <c r="HW155" s="91"/>
      <c r="HX155" s="91"/>
      <c r="HY155" s="78"/>
      <c r="HZ155" s="78"/>
      <c r="IA155" s="78"/>
      <c r="IB155" s="78"/>
      <c r="IC155" s="78"/>
      <c r="ID155" s="78"/>
      <c r="IE155" s="78"/>
      <c r="IF155" s="78"/>
      <c r="IG155" s="78"/>
      <c r="IH155" s="78"/>
      <c r="II155" s="78"/>
      <c r="IJ155" s="78"/>
      <c r="IK155" s="78"/>
      <c r="IL155" s="78"/>
      <c r="IM155" s="78"/>
      <c r="IN155" s="78"/>
      <c r="IO155" s="78"/>
      <c r="IP155" s="78"/>
    </row>
    <row r="156" spans="1:250" s="90" customFormat="1">
      <c r="A156" s="101"/>
      <c r="B156" s="102"/>
      <c r="C156" s="103"/>
      <c r="D156" s="103"/>
      <c r="HU156" s="91"/>
      <c r="HV156" s="91"/>
      <c r="HW156" s="91"/>
      <c r="HX156" s="91"/>
      <c r="HY156" s="78"/>
      <c r="HZ156" s="78"/>
      <c r="IA156" s="78"/>
      <c r="IB156" s="78"/>
      <c r="IC156" s="78"/>
      <c r="ID156" s="78"/>
      <c r="IE156" s="78"/>
      <c r="IF156" s="78"/>
      <c r="IG156" s="78"/>
      <c r="IH156" s="78"/>
      <c r="II156" s="78"/>
      <c r="IJ156" s="78"/>
      <c r="IK156" s="78"/>
      <c r="IL156" s="78"/>
      <c r="IM156" s="78"/>
      <c r="IN156" s="78"/>
      <c r="IO156" s="78"/>
      <c r="IP156" s="78"/>
    </row>
    <row r="157" spans="1:250" s="90" customFormat="1">
      <c r="A157" s="101"/>
      <c r="B157" s="102"/>
      <c r="C157" s="103"/>
      <c r="D157" s="103"/>
      <c r="HU157" s="91"/>
      <c r="HV157" s="91"/>
      <c r="HW157" s="91"/>
      <c r="HX157" s="91"/>
      <c r="HY157" s="78"/>
      <c r="HZ157" s="78"/>
      <c r="IA157" s="78"/>
      <c r="IB157" s="78"/>
      <c r="IC157" s="78"/>
      <c r="ID157" s="78"/>
      <c r="IE157" s="78"/>
      <c r="IF157" s="78"/>
      <c r="IG157" s="78"/>
      <c r="IH157" s="78"/>
      <c r="II157" s="78"/>
      <c r="IJ157" s="78"/>
      <c r="IK157" s="78"/>
      <c r="IL157" s="78"/>
      <c r="IM157" s="78"/>
      <c r="IN157" s="78"/>
      <c r="IO157" s="78"/>
      <c r="IP157" s="78"/>
    </row>
  </sheetData>
  <printOptions horizontalCentered="1"/>
  <pageMargins left="0.78740157480314965" right="0.78740157480314965" top="1.9270833333333333" bottom="1.4173228346456694" header="0.78740157480314965" footer="0.78740157480314965"/>
  <pageSetup paperSize="9" scale="85" firstPageNumber="0" orientation="portrait" r:id="rId1"/>
  <headerFooter alignWithMargins="0">
    <oddHeader xml:space="preserve">&amp;L 2/D melléklet a 20/2014. (VI.30.) önkormányzati rendelethez&amp;C&amp;"Arial,Félkövér"&amp;10
&amp;"-,Félkövér"&amp;16Tartalékok működési és felhalmozási cél szerinti bontásban&amp;R&amp;10 </oddHeader>
    <oddFooter>&amp;C&amp;8&amp;D &amp;T&amp;R&amp;9&amp;P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39</vt:i4>
      </vt:variant>
      <vt:variant>
        <vt:lpstr>Névvel ellátott tartományok</vt:lpstr>
      </vt:variant>
      <vt:variant>
        <vt:i4>50</vt:i4>
      </vt:variant>
    </vt:vector>
  </HeadingPairs>
  <TitlesOfParts>
    <vt:vector size="89" baseType="lpstr">
      <vt:lpstr>0.Mérleg</vt:lpstr>
      <vt:lpstr>1A. Fő bev</vt:lpstr>
      <vt:lpstr>1B. Fő kiad</vt:lpstr>
      <vt:lpstr>1C Bev kiad fel</vt:lpstr>
      <vt:lpstr>2A Önk bev</vt:lpstr>
      <vt:lpstr>2B Önk kiad</vt:lpstr>
      <vt:lpstr>4_1 Önk kiad fel</vt:lpstr>
      <vt:lpstr>2C Önk bev kiad fel</vt:lpstr>
      <vt:lpstr>2D Céltartalék</vt:lpstr>
      <vt:lpstr>3A PH</vt:lpstr>
      <vt:lpstr>3B PH fel</vt:lpstr>
      <vt:lpstr>4A. VG bev kiad</vt:lpstr>
      <vt:lpstr>4B VG fel</vt:lpstr>
      <vt:lpstr>5A Walla</vt:lpstr>
      <vt:lpstr>5B Nyitnikék</vt:lpstr>
      <vt:lpstr>5C Bóbita</vt:lpstr>
      <vt:lpstr>5D MMMH</vt:lpstr>
      <vt:lpstr>5E Könyvtár</vt:lpstr>
      <vt:lpstr>5F Segítő Kéz</vt:lpstr>
      <vt:lpstr>5G GSZNR fel</vt:lpstr>
      <vt:lpstr>6. létszámkeret</vt:lpstr>
      <vt:lpstr>7. beruházás</vt:lpstr>
      <vt:lpstr>8. felújítás</vt:lpstr>
      <vt:lpstr>9. hitelállomány</vt:lpstr>
      <vt:lpstr>10. stab tv</vt:lpstr>
      <vt:lpstr>11. címrend</vt:lpstr>
      <vt:lpstr>12. Uniós tám</vt:lpstr>
      <vt:lpstr>Állami tám</vt:lpstr>
      <vt:lpstr>SKSZ</vt:lpstr>
      <vt:lpstr>ph</vt:lpstr>
      <vt:lpstr>ÖK kiad</vt:lpstr>
      <vt:lpstr>Volf</vt:lpstr>
      <vt:lpstr>MMMH</vt:lpstr>
      <vt:lpstr>MMMH reszletes</vt:lpstr>
      <vt:lpstr>MMMH dologi</vt:lpstr>
      <vt:lpstr>MMMH bevetel</vt:lpstr>
      <vt:lpstr>Bóbita</vt:lpstr>
      <vt:lpstr>Nyitnikék</vt:lpstr>
      <vt:lpstr>Walla</vt:lpstr>
      <vt:lpstr>'1A. Fő bev'!Nyomtatási_cím</vt:lpstr>
      <vt:lpstr>'1B. Fő kiad'!Nyomtatási_cím</vt:lpstr>
      <vt:lpstr>'1C Bev kiad fel'!Nyomtatási_cím</vt:lpstr>
      <vt:lpstr>'2A Önk bev'!Nyomtatási_cím</vt:lpstr>
      <vt:lpstr>'2B Önk kiad'!Nyomtatási_cím</vt:lpstr>
      <vt:lpstr>'2C Önk bev kiad fel'!Nyomtatási_cím</vt:lpstr>
      <vt:lpstr>'3A PH'!Nyomtatási_cím</vt:lpstr>
      <vt:lpstr>'3B PH fel'!Nyomtatási_cím</vt:lpstr>
      <vt:lpstr>'4A. VG bev kiad'!Nyomtatási_cím</vt:lpstr>
      <vt:lpstr>'4B VG fel'!Nyomtatási_cím</vt:lpstr>
      <vt:lpstr>'5A Walla'!Nyomtatási_cím</vt:lpstr>
      <vt:lpstr>'5B Nyitnikék'!Nyomtatási_cím</vt:lpstr>
      <vt:lpstr>'5C Bóbita'!Nyomtatási_cím</vt:lpstr>
      <vt:lpstr>'5D MMMH'!Nyomtatási_cím</vt:lpstr>
      <vt:lpstr>'5E Könyvtár'!Nyomtatási_cím</vt:lpstr>
      <vt:lpstr>'5F Segítő Kéz'!Nyomtatási_cím</vt:lpstr>
      <vt:lpstr>'5G GSZNR fel'!Nyomtatási_cím</vt:lpstr>
      <vt:lpstr>'7. beruházás'!Nyomtatási_cím</vt:lpstr>
      <vt:lpstr>'9. hitelállomány'!Nyomtatási_cím</vt:lpstr>
      <vt:lpstr>'Állami tám'!Nyomtatási_cím</vt:lpstr>
      <vt:lpstr>Nyitnikék!Nyomtatási_cím</vt:lpstr>
      <vt:lpstr>'ÖK kiad'!Nyomtatási_cím</vt:lpstr>
      <vt:lpstr>SKSZ!Nyomtatási_cím</vt:lpstr>
      <vt:lpstr>Volf!Nyomtatási_cím</vt:lpstr>
      <vt:lpstr>Walla!Nyomtatási_cím</vt:lpstr>
      <vt:lpstr>'0.Mérleg'!Nyomtatási_terület</vt:lpstr>
      <vt:lpstr>'11. címrend'!Nyomtatási_terület</vt:lpstr>
      <vt:lpstr>'1B. Fő kiad'!Nyomtatási_terület</vt:lpstr>
      <vt:lpstr>'1C Bev kiad fel'!Nyomtatási_terület</vt:lpstr>
      <vt:lpstr>'2A Önk bev'!Nyomtatási_terület</vt:lpstr>
      <vt:lpstr>'2B Önk kiad'!Nyomtatási_terület</vt:lpstr>
      <vt:lpstr>'2C Önk bev kiad fel'!Nyomtatási_terület</vt:lpstr>
      <vt:lpstr>'2D Céltartalék'!Nyomtatási_terület</vt:lpstr>
      <vt:lpstr>'3A PH'!Nyomtatási_terület</vt:lpstr>
      <vt:lpstr>'3B PH fel'!Nyomtatási_terület</vt:lpstr>
      <vt:lpstr>'4A. VG bev kiad'!Nyomtatási_terület</vt:lpstr>
      <vt:lpstr>'4B VG fel'!Nyomtatási_terület</vt:lpstr>
      <vt:lpstr>'5A Walla'!Nyomtatási_terület</vt:lpstr>
      <vt:lpstr>'5B Nyitnikék'!Nyomtatási_terület</vt:lpstr>
      <vt:lpstr>'5C Bóbita'!Nyomtatási_terület</vt:lpstr>
      <vt:lpstr>'5D MMMH'!Nyomtatási_terület</vt:lpstr>
      <vt:lpstr>'5E Könyvtár'!Nyomtatási_terület</vt:lpstr>
      <vt:lpstr>'5F Segítő Kéz'!Nyomtatási_terület</vt:lpstr>
      <vt:lpstr>'5G GSZNR fel'!Nyomtatási_terület</vt:lpstr>
      <vt:lpstr>'6. létszámkeret'!Nyomtatási_terület</vt:lpstr>
      <vt:lpstr>'7. beruházás'!Nyomtatási_terület</vt:lpstr>
      <vt:lpstr>'8. felújítás'!Nyomtatási_terület</vt:lpstr>
      <vt:lpstr>'9. hitelállomány'!Nyomtatási_terület</vt:lpstr>
      <vt:lpstr>Nyitnikék!Nyomtatási_terület</vt:lpstr>
      <vt:lpstr>Print_Titles_1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lantoso</dc:creator>
  <cp:lastModifiedBy>kovacsg</cp:lastModifiedBy>
  <cp:lastPrinted>2014-06-27T07:49:40Z</cp:lastPrinted>
  <dcterms:created xsi:type="dcterms:W3CDTF">2013-11-29T13:02:37Z</dcterms:created>
  <dcterms:modified xsi:type="dcterms:W3CDTF">2014-06-30T14:27:52Z</dcterms:modified>
</cp:coreProperties>
</file>