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20\Csókakő\5.2020 Csókakő 2019. évi költségvetés módosítás\"/>
    </mc:Choice>
  </mc:AlternateContent>
  <xr:revisionPtr revIDLastSave="0" documentId="8_{61BA52A5-BC2B-44B4-A931-1EEFA6A0B71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VÖT 2019." sheetId="1" r:id="rId1"/>
    <sheet name="Hsg 2018. teljesítés" sheetId="2" r:id="rId2"/>
    <sheet name="Szoc.étk. 2018. teljesítés" sheetId="3" r:id="rId3"/>
    <sheet name="Gyejó 2018. teljesítés" sheetId="4" r:id="rId4"/>
    <sheet name="Falugondnoki szolg. 2018. telj." sheetId="5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3" i="4" l="1"/>
  <c r="C31" i="4"/>
  <c r="C25" i="4"/>
  <c r="C24" i="4"/>
  <c r="C23" i="4"/>
  <c r="B20" i="4"/>
  <c r="C18" i="4"/>
  <c r="C17" i="4"/>
  <c r="B16" i="4"/>
  <c r="B21" i="4" s="1"/>
  <c r="C15" i="4"/>
  <c r="C16" i="4" s="1"/>
  <c r="C8" i="4"/>
  <c r="B7" i="4"/>
  <c r="B10" i="4" s="1"/>
  <c r="C6" i="4"/>
  <c r="C7" i="4" s="1"/>
  <c r="C10" i="4" s="1"/>
  <c r="B33" i="5"/>
  <c r="C30" i="5"/>
  <c r="C29" i="5"/>
  <c r="C28" i="5"/>
  <c r="C25" i="5"/>
  <c r="C23" i="5"/>
  <c r="B20" i="5"/>
  <c r="C19" i="5"/>
  <c r="C18" i="5"/>
  <c r="C17" i="5"/>
  <c r="C16" i="5"/>
  <c r="B16" i="5"/>
  <c r="C9" i="5"/>
  <c r="C8" i="5"/>
  <c r="B7" i="5"/>
  <c r="B10" i="5" s="1"/>
  <c r="C6" i="5"/>
  <c r="C7" i="5" s="1"/>
  <c r="B44" i="3"/>
  <c r="C43" i="3"/>
  <c r="C42" i="3"/>
  <c r="C41" i="3"/>
  <c r="C44" i="3" s="1"/>
  <c r="B33" i="3"/>
  <c r="C26" i="3"/>
  <c r="C33" i="3" s="1"/>
  <c r="B20" i="3"/>
  <c r="C19" i="3"/>
  <c r="C17" i="3"/>
  <c r="B16" i="3"/>
  <c r="C14" i="3"/>
  <c r="C18" i="3" s="1"/>
  <c r="B7" i="3"/>
  <c r="B10" i="3" s="1"/>
  <c r="C6" i="3"/>
  <c r="C7" i="3" s="1"/>
  <c r="C10" i="3" s="1"/>
  <c r="B33" i="2"/>
  <c r="C25" i="2"/>
  <c r="C33" i="2" s="1"/>
  <c r="B20" i="2"/>
  <c r="C19" i="2"/>
  <c r="C17" i="2"/>
  <c r="B16" i="2"/>
  <c r="C14" i="2"/>
  <c r="C18" i="2" s="1"/>
  <c r="C20" i="2" s="1"/>
  <c r="B7" i="2"/>
  <c r="B10" i="2" s="1"/>
  <c r="C6" i="2"/>
  <c r="C7" i="2" s="1"/>
  <c r="C10" i="2" s="1"/>
  <c r="F31" i="1"/>
  <c r="F30" i="1"/>
  <c r="F29" i="1"/>
  <c r="F28" i="1"/>
  <c r="F27" i="1"/>
  <c r="F26" i="1"/>
  <c r="E25" i="1"/>
  <c r="E32" i="1" s="1"/>
  <c r="D25" i="1"/>
  <c r="D32" i="1" s="1"/>
  <c r="C25" i="1"/>
  <c r="C32" i="1" s="1"/>
  <c r="B25" i="1"/>
  <c r="B32" i="1" s="1"/>
  <c r="F24" i="1"/>
  <c r="F23" i="1"/>
  <c r="F22" i="1"/>
  <c r="E19" i="1"/>
  <c r="D19" i="1"/>
  <c r="C19" i="1"/>
  <c r="B19" i="1"/>
  <c r="E18" i="1"/>
  <c r="D18" i="1"/>
  <c r="C18" i="1"/>
  <c r="E17" i="1"/>
  <c r="D17" i="1"/>
  <c r="C17" i="1"/>
  <c r="B17" i="1"/>
  <c r="E16" i="1"/>
  <c r="D16" i="1"/>
  <c r="C16" i="1"/>
  <c r="F15" i="1"/>
  <c r="B14" i="1"/>
  <c r="B18" i="1" s="1"/>
  <c r="F13" i="1"/>
  <c r="F10" i="1"/>
  <c r="C9" i="1"/>
  <c r="C12" i="1" s="1"/>
  <c r="E8" i="1"/>
  <c r="E9" i="1" s="1"/>
  <c r="E12" i="1" s="1"/>
  <c r="D8" i="1"/>
  <c r="D9" i="1" s="1"/>
  <c r="D12" i="1" s="1"/>
  <c r="B8" i="1"/>
  <c r="F7" i="1"/>
  <c r="B35" i="4" l="1"/>
  <c r="C33" i="4"/>
  <c r="C16" i="2"/>
  <c r="B16" i="1"/>
  <c r="F16" i="1" s="1"/>
  <c r="F17" i="1"/>
  <c r="C20" i="1"/>
  <c r="C21" i="1" s="1"/>
  <c r="C33" i="1" s="1"/>
  <c r="C35" i="1" s="1"/>
  <c r="B42" i="1" s="1"/>
  <c r="F8" i="1"/>
  <c r="D20" i="1"/>
  <c r="D21" i="1" s="1"/>
  <c r="D33" i="1" s="1"/>
  <c r="D35" i="1" s="1"/>
  <c r="E20" i="1"/>
  <c r="E21" i="1" s="1"/>
  <c r="E33" i="1" s="1"/>
  <c r="E35" i="1" s="1"/>
  <c r="F19" i="1"/>
  <c r="F25" i="1"/>
  <c r="C10" i="5"/>
  <c r="C19" i="4"/>
  <c r="C20" i="4" s="1"/>
  <c r="C21" i="4" s="1"/>
  <c r="C35" i="4" s="1"/>
  <c r="C37" i="4" s="1"/>
  <c r="C20" i="5"/>
  <c r="C21" i="5" s="1"/>
  <c r="B21" i="5"/>
  <c r="B35" i="5" s="1"/>
  <c r="C26" i="5"/>
  <c r="C33" i="5" s="1"/>
  <c r="C20" i="3"/>
  <c r="B21" i="3"/>
  <c r="B35" i="3" s="1"/>
  <c r="C16" i="3"/>
  <c r="C21" i="2"/>
  <c r="C34" i="2" s="1"/>
  <c r="C36" i="2" s="1"/>
  <c r="B21" i="2"/>
  <c r="B34" i="2" s="1"/>
  <c r="F32" i="1"/>
  <c r="F18" i="1"/>
  <c r="B20" i="1"/>
  <c r="F14" i="1"/>
  <c r="B9" i="1"/>
  <c r="F20" i="1" l="1"/>
  <c r="B41" i="1"/>
  <c r="C41" i="1" s="1"/>
  <c r="B40" i="1"/>
  <c r="C40" i="1" s="1"/>
  <c r="C42" i="1"/>
  <c r="B39" i="1"/>
  <c r="C39" i="1" s="1"/>
  <c r="C35" i="5"/>
  <c r="C37" i="5" s="1"/>
  <c r="C21" i="3"/>
  <c r="C35" i="3" s="1"/>
  <c r="C37" i="3" s="1"/>
  <c r="B51" i="3" s="1"/>
  <c r="B48" i="3" s="1"/>
  <c r="B12" i="1"/>
  <c r="F9" i="1"/>
  <c r="F12" i="1" s="1"/>
  <c r="B21" i="1"/>
  <c r="B50" i="3" l="1"/>
  <c r="B49" i="3"/>
  <c r="B33" i="1"/>
  <c r="F33" i="1" s="1"/>
  <c r="F21" i="1"/>
  <c r="B3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Jegyzo</author>
  </authors>
  <commentList>
    <comment ref="B8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Jegyzo:</t>
        </r>
        <r>
          <rPr>
            <sz val="9"/>
            <color indexed="81"/>
            <rFont val="Tahoma"/>
            <family val="2"/>
            <charset val="238"/>
          </rPr>
          <t xml:space="preserve">
Szoc.ágazati pótlék: 0,047</t>
        </r>
      </text>
    </comment>
    <comment ref="C8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Jegyzo:</t>
        </r>
        <r>
          <rPr>
            <sz val="9"/>
            <color indexed="81"/>
            <rFont val="Tahoma"/>
            <family val="2"/>
            <charset val="238"/>
          </rPr>
          <t xml:space="preserve">
Szoc.ágazati pótlék: 0,047</t>
        </r>
      </text>
    </comment>
    <comment ref="D8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Jegyzo:</t>
        </r>
        <r>
          <rPr>
            <sz val="9"/>
            <color indexed="81"/>
            <rFont val="Tahoma"/>
            <family val="2"/>
            <charset val="238"/>
          </rPr>
          <t xml:space="preserve">
Szoc.ágazati pótlék: 0,816</t>
        </r>
      </text>
    </comment>
    <comment ref="E8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Jegyzo:</t>
        </r>
        <r>
          <rPr>
            <sz val="9"/>
            <color indexed="81"/>
            <rFont val="Tahoma"/>
            <family val="2"/>
            <charset val="238"/>
          </rPr>
          <t xml:space="preserve">
Szoc.ágazati pótlék: 0,09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Jegyzo</author>
  </authors>
  <commentList>
    <comment ref="A6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Jegyzo:</t>
        </r>
        <r>
          <rPr>
            <sz val="9"/>
            <color indexed="81"/>
            <rFont val="Tahoma"/>
            <family val="2"/>
            <charset val="238"/>
          </rPr>
          <t xml:space="preserve">
Szoc.ágazati pótlék: 0,047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Jegyzo</author>
  </authors>
  <commentList>
    <comment ref="A6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Jegyzo:</t>
        </r>
        <r>
          <rPr>
            <sz val="9"/>
            <color indexed="81"/>
            <rFont val="Tahoma"/>
            <family val="2"/>
            <charset val="238"/>
          </rPr>
          <t xml:space="preserve">
Szoc.ágazati pótlék: 0,047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Jegyzo</author>
  </authors>
  <commentList>
    <comment ref="A6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38"/>
          </rPr>
          <t>Jegyzo:</t>
        </r>
        <r>
          <rPr>
            <sz val="9"/>
            <color indexed="81"/>
            <rFont val="Tahoma"/>
            <family val="2"/>
            <charset val="238"/>
          </rPr>
          <t xml:space="preserve">
Szoc.ágazati pótlék: 0,816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Jegyzo</author>
  </authors>
  <commentList>
    <comment ref="A6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>Jegyzo:</t>
        </r>
        <r>
          <rPr>
            <sz val="9"/>
            <color indexed="81"/>
            <rFont val="Tahoma"/>
            <family val="2"/>
            <charset val="238"/>
          </rPr>
          <t xml:space="preserve">
Szoc.ágazati pótlék: 0,09</t>
        </r>
      </text>
    </comment>
  </commentList>
</comments>
</file>

<file path=xl/sharedStrings.xml><?xml version="1.0" encoding="utf-8"?>
<sst xmlns="http://schemas.openxmlformats.org/spreadsheetml/2006/main" count="175" uniqueCount="69">
  <si>
    <t>Vértesalja Önkormányzati Társulás 2019. évi költségvetése</t>
  </si>
  <si>
    <t xml:space="preserve">HSG </t>
  </si>
  <si>
    <t>Szoc. Étkeztetés</t>
  </si>
  <si>
    <t>Gyermekjóléti szolgálat</t>
  </si>
  <si>
    <t>Falugondnoki szolgálat</t>
  </si>
  <si>
    <t>Összesen</t>
  </si>
  <si>
    <t>Állami normatíva</t>
  </si>
  <si>
    <t>Szoc. Pótlék és járuléka támogatása</t>
  </si>
  <si>
    <t>Összes állami támogatás</t>
  </si>
  <si>
    <t>Gondozási díjak</t>
  </si>
  <si>
    <t>Önkormányzatok által befizetett összeg</t>
  </si>
  <si>
    <t>Bevétel összesen</t>
  </si>
  <si>
    <t>bér</t>
  </si>
  <si>
    <t>cafetéria</t>
  </si>
  <si>
    <t>helyettesítés</t>
  </si>
  <si>
    <t>Személyi juttatások összesen</t>
  </si>
  <si>
    <t>bér járuléka</t>
  </si>
  <si>
    <t>cafetéria járuléka</t>
  </si>
  <si>
    <t>helyettesítés járuléka</t>
  </si>
  <si>
    <t>Járulékok összesen</t>
  </si>
  <si>
    <t>Személyi jellegű kiadások összesen</t>
  </si>
  <si>
    <t>biztosítás, üzemanyag, egyéb</t>
  </si>
  <si>
    <t>cégautóadó</t>
  </si>
  <si>
    <t>vásárolt élelmezés</t>
  </si>
  <si>
    <t>áfa</t>
  </si>
  <si>
    <t>bankktg</t>
  </si>
  <si>
    <t>kiküldetés</t>
  </si>
  <si>
    <t>irodaszer</t>
  </si>
  <si>
    <t>egyéb szolgáltatás</t>
  </si>
  <si>
    <t>képzés ktge</t>
  </si>
  <si>
    <t>munkaruha</t>
  </si>
  <si>
    <t>Dologi összesen</t>
  </si>
  <si>
    <t>Kiadás összesen:</t>
  </si>
  <si>
    <t>Házi segítségnyújtás</t>
  </si>
  <si>
    <t>2018. évi terv</t>
  </si>
  <si>
    <t>2018. évi teljesítés</t>
  </si>
  <si>
    <t>Gondozási díj, térítési díj bevétel</t>
  </si>
  <si>
    <t>Bér</t>
  </si>
  <si>
    <t>Cafeteria</t>
  </si>
  <si>
    <t>Helyettesítés</t>
  </si>
  <si>
    <t>Bér járuléka</t>
  </si>
  <si>
    <t>Cafetéria járuléka</t>
  </si>
  <si>
    <t>Helyettesítés járuléka</t>
  </si>
  <si>
    <t>Biztosítás, üzemanyag, egyéb</t>
  </si>
  <si>
    <t>Cégautóadó</t>
  </si>
  <si>
    <t>Vásárolt élelmezés</t>
  </si>
  <si>
    <t>Áfa</t>
  </si>
  <si>
    <t>Bankköltség</t>
  </si>
  <si>
    <t>Kiküldetés</t>
  </si>
  <si>
    <t>Irodaszer</t>
  </si>
  <si>
    <t>Egyéb szolgáltatás (fogl.eü., gépjármű egyéb ktsg.)</t>
  </si>
  <si>
    <t>Képzés ktge</t>
  </si>
  <si>
    <t>Munkaruha</t>
  </si>
  <si>
    <t>Egyenleg</t>
  </si>
  <si>
    <t>Szociális étkeztetés</t>
  </si>
  <si>
    <t>Szociális étkezés 2018. évi megoszlási aránya:</t>
  </si>
  <si>
    <t>%</t>
  </si>
  <si>
    <t>Osztószám</t>
  </si>
  <si>
    <t>Csákberény</t>
  </si>
  <si>
    <t>Söréd</t>
  </si>
  <si>
    <t>Csókakő</t>
  </si>
  <si>
    <t>Hiány megoszlási aránya</t>
  </si>
  <si>
    <t>2018.</t>
  </si>
  <si>
    <t>Egyéb szolgáltatás</t>
  </si>
  <si>
    <t>2019. terv</t>
  </si>
  <si>
    <t>Havi befizetési kötelezettség</t>
  </si>
  <si>
    <t>Megnevezés</t>
  </si>
  <si>
    <t>13.  melléklet a 7/2019. (II.14.) önkormányzati rendelethez</t>
  </si>
  <si>
    <t>10. melléklet az 5/2020. (VII.9.)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</si>
</sst>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&quot;Ft&quot;_-;\-* #,##0\ &quot;Ft&quot;_-;_-* &quot;-&quot;??\ &quot;Ft&quot;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color rgb="FF0070C0"/>
      <name val="Arial"/>
      <family val="2"/>
      <charset val="238"/>
    </font>
    <font>
      <b/>
      <sz val="12"/>
      <color rgb="FF0070C0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i/>
      <sz val="12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98">
    <xf numFmtId="0" fontId="0" fillId="0" borderId="0" xfId="0"/>
    <xf numFmtId="0" fontId="3" fillId="0" borderId="0" xfId="1" applyFont="1"/>
    <xf numFmtId="164" fontId="3" fillId="0" borderId="0" xfId="1" applyNumberFormat="1" applyFont="1" applyFill="1"/>
    <xf numFmtId="0" fontId="4" fillId="0" borderId="0" xfId="1" applyFont="1"/>
    <xf numFmtId="164" fontId="8" fillId="0" borderId="0" xfId="0" applyNumberFormat="1" applyFont="1" applyFill="1"/>
    <xf numFmtId="0" fontId="9" fillId="0" borderId="0" xfId="1" applyFont="1"/>
    <xf numFmtId="0" fontId="4" fillId="0" borderId="1" xfId="1" applyFont="1" applyBorder="1"/>
    <xf numFmtId="164" fontId="6" fillId="0" borderId="0" xfId="1" applyNumberFormat="1" applyFont="1" applyFill="1"/>
    <xf numFmtId="164" fontId="11" fillId="5" borderId="4" xfId="0" applyNumberFormat="1" applyFont="1" applyFill="1" applyBorder="1"/>
    <xf numFmtId="0" fontId="8" fillId="0" borderId="0" xfId="0" applyFont="1" applyFill="1"/>
    <xf numFmtId="0" fontId="10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3" fillId="0" borderId="0" xfId="1" applyFont="1" applyBorder="1"/>
    <xf numFmtId="164" fontId="4" fillId="0" borderId="2" xfId="1" applyNumberFormat="1" applyFont="1" applyFill="1" applyBorder="1"/>
    <xf numFmtId="164" fontId="7" fillId="0" borderId="3" xfId="0" applyNumberFormat="1" applyFont="1" applyFill="1" applyBorder="1"/>
    <xf numFmtId="164" fontId="3" fillId="0" borderId="0" xfId="1" applyNumberFormat="1" applyFont="1" applyFill="1" applyBorder="1"/>
    <xf numFmtId="164" fontId="4" fillId="0" borderId="2" xfId="1" applyNumberFormat="1" applyFont="1" applyBorder="1"/>
    <xf numFmtId="164" fontId="7" fillId="0" borderId="3" xfId="1" applyNumberFormat="1" applyFont="1" applyBorder="1"/>
    <xf numFmtId="0" fontId="4" fillId="5" borderId="4" xfId="1" applyFont="1" applyFill="1" applyBorder="1"/>
    <xf numFmtId="0" fontId="3" fillId="0" borderId="5" xfId="1" applyFont="1" applyBorder="1"/>
    <xf numFmtId="0" fontId="8" fillId="0" borderId="0" xfId="0" applyFont="1" applyFill="1" applyBorder="1"/>
    <xf numFmtId="0" fontId="0" fillId="0" borderId="6" xfId="0" applyBorder="1"/>
    <xf numFmtId="164" fontId="5" fillId="0" borderId="6" xfId="0" applyNumberFormat="1" applyFont="1" applyFill="1" applyBorder="1"/>
    <xf numFmtId="0" fontId="4" fillId="0" borderId="5" xfId="1" applyFont="1" applyBorder="1"/>
    <xf numFmtId="164" fontId="4" fillId="0" borderId="0" xfId="1" applyNumberFormat="1" applyFont="1" applyFill="1" applyBorder="1"/>
    <xf numFmtId="164" fontId="6" fillId="0" borderId="6" xfId="0" applyNumberFormat="1" applyFont="1" applyFill="1" applyBorder="1"/>
    <xf numFmtId="0" fontId="3" fillId="0" borderId="0" xfId="1" applyFont="1" applyFill="1" applyBorder="1"/>
    <xf numFmtId="164" fontId="8" fillId="0" borderId="6" xfId="0" applyNumberFormat="1" applyFont="1" applyFill="1" applyBorder="1"/>
    <xf numFmtId="164" fontId="4" fillId="0" borderId="0" xfId="1" applyNumberFormat="1" applyFont="1" applyBorder="1"/>
    <xf numFmtId="164" fontId="7" fillId="0" borderId="6" xfId="1" applyNumberFormat="1" applyFont="1" applyBorder="1"/>
    <xf numFmtId="164" fontId="3" fillId="0" borderId="0" xfId="1" applyNumberFormat="1" applyFont="1" applyBorder="1"/>
    <xf numFmtId="164" fontId="10" fillId="0" borderId="6" xfId="0" applyNumberFormat="1" applyFont="1" applyFill="1" applyBorder="1"/>
    <xf numFmtId="0" fontId="8" fillId="0" borderId="7" xfId="0" applyFont="1" applyFill="1" applyBorder="1"/>
    <xf numFmtId="164" fontId="0" fillId="0" borderId="0" xfId="0" applyNumberFormat="1"/>
    <xf numFmtId="164" fontId="1" fillId="0" borderId="0" xfId="0" applyNumberFormat="1" applyFont="1"/>
    <xf numFmtId="164" fontId="8" fillId="0" borderId="0" xfId="0" applyNumberFormat="1" applyFont="1" applyFill="1" applyBorder="1"/>
    <xf numFmtId="0" fontId="4" fillId="4" borderId="4" xfId="1" applyFont="1" applyFill="1" applyBorder="1"/>
    <xf numFmtId="0" fontId="10" fillId="4" borderId="4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5" fillId="0" borderId="0" xfId="0" applyFont="1" applyFill="1"/>
    <xf numFmtId="0" fontId="3" fillId="4" borderId="4" xfId="1" applyFont="1" applyFill="1" applyBorder="1"/>
    <xf numFmtId="0" fontId="5" fillId="4" borderId="4" xfId="0" applyFont="1" applyFill="1" applyBorder="1"/>
    <xf numFmtId="0" fontId="8" fillId="4" borderId="4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1" fontId="6" fillId="0" borderId="0" xfId="0" applyNumberFormat="1" applyFont="1" applyFill="1"/>
    <xf numFmtId="1" fontId="6" fillId="4" borderId="4" xfId="0" applyNumberFormat="1" applyFont="1" applyFill="1" applyBorder="1"/>
    <xf numFmtId="1" fontId="6" fillId="0" borderId="0" xfId="0" applyNumberFormat="1" applyFont="1" applyFill="1" applyBorder="1"/>
    <xf numFmtId="0" fontId="0" fillId="0" borderId="10" xfId="0" applyBorder="1"/>
    <xf numFmtId="164" fontId="9" fillId="0" borderId="0" xfId="1" applyNumberFormat="1" applyFont="1" applyBorder="1"/>
    <xf numFmtId="164" fontId="7" fillId="0" borderId="6" xfId="0" applyNumberFormat="1" applyFont="1" applyFill="1" applyBorder="1"/>
    <xf numFmtId="0" fontId="4" fillId="0" borderId="11" xfId="1" applyFont="1" applyBorder="1"/>
    <xf numFmtId="164" fontId="4" fillId="0" borderId="12" xfId="1" applyNumberFormat="1" applyFont="1" applyFill="1" applyBorder="1"/>
    <xf numFmtId="164" fontId="7" fillId="0" borderId="13" xfId="0" applyNumberFormat="1" applyFont="1" applyFill="1" applyBorder="1"/>
    <xf numFmtId="0" fontId="3" fillId="0" borderId="5" xfId="1" applyFont="1" applyFill="1" applyBorder="1"/>
    <xf numFmtId="164" fontId="5" fillId="0" borderId="6" xfId="1" applyNumberFormat="1" applyFont="1" applyFill="1" applyBorder="1"/>
    <xf numFmtId="0" fontId="3" fillId="4" borderId="4" xfId="1" applyFont="1" applyFill="1" applyBorder="1" applyAlignment="1">
      <alignment wrapText="1"/>
    </xf>
    <xf numFmtId="0" fontId="3" fillId="6" borderId="0" xfId="1" applyFont="1" applyFill="1"/>
    <xf numFmtId="0" fontId="1" fillId="0" borderId="0" xfId="0" applyFont="1" applyAlignment="1"/>
    <xf numFmtId="164" fontId="5" fillId="0" borderId="14" xfId="0" applyNumberFormat="1" applyFont="1" applyFill="1" applyBorder="1"/>
    <xf numFmtId="164" fontId="6" fillId="0" borderId="14" xfId="0" applyNumberFormat="1" applyFont="1" applyFill="1" applyBorder="1"/>
    <xf numFmtId="164" fontId="7" fillId="0" borderId="14" xfId="0" applyNumberFormat="1" applyFont="1" applyFill="1" applyBorder="1"/>
    <xf numFmtId="164" fontId="8" fillId="0" borderId="14" xfId="0" applyNumberFormat="1" applyFont="1" applyFill="1" applyBorder="1"/>
    <xf numFmtId="164" fontId="7" fillId="0" borderId="14" xfId="1" applyNumberFormat="1" applyFont="1" applyFill="1" applyBorder="1"/>
    <xf numFmtId="164" fontId="7" fillId="0" borderId="14" xfId="1" applyNumberFormat="1" applyFont="1" applyBorder="1"/>
    <xf numFmtId="0" fontId="4" fillId="3" borderId="16" xfId="1" applyFont="1" applyFill="1" applyBorder="1" applyAlignment="1">
      <alignment horizontal="center" vertical="center" wrapText="1"/>
    </xf>
    <xf numFmtId="164" fontId="4" fillId="3" borderId="17" xfId="1" applyNumberFormat="1" applyFont="1" applyFill="1" applyBorder="1" applyAlignment="1">
      <alignment horizontal="center" vertical="center" wrapText="1"/>
    </xf>
    <xf numFmtId="0" fontId="3" fillId="0" borderId="18" xfId="1" applyFont="1" applyBorder="1"/>
    <xf numFmtId="0" fontId="4" fillId="0" borderId="18" xfId="1" applyFont="1" applyBorder="1"/>
    <xf numFmtId="0" fontId="9" fillId="0" borderId="18" xfId="1" applyFont="1" applyBorder="1"/>
    <xf numFmtId="0" fontId="8" fillId="0" borderId="18" xfId="1" applyFont="1" applyBorder="1"/>
    <xf numFmtId="164" fontId="8" fillId="0" borderId="14" xfId="1" applyNumberFormat="1" applyFont="1" applyFill="1" applyBorder="1"/>
    <xf numFmtId="0" fontId="14" fillId="0" borderId="18" xfId="1" applyFont="1" applyBorder="1"/>
    <xf numFmtId="164" fontId="10" fillId="0" borderId="14" xfId="1" applyNumberFormat="1" applyFont="1" applyFill="1" applyBorder="1"/>
    <xf numFmtId="164" fontId="10" fillId="0" borderId="14" xfId="1" applyNumberFormat="1" applyFont="1" applyBorder="1"/>
    <xf numFmtId="0" fontId="10" fillId="0" borderId="18" xfId="1" applyFont="1" applyBorder="1"/>
    <xf numFmtId="164" fontId="8" fillId="6" borderId="19" xfId="1" applyNumberFormat="1" applyFont="1" applyFill="1" applyBorder="1"/>
    <xf numFmtId="164" fontId="10" fillId="6" borderId="19" xfId="1" applyNumberFormat="1" applyFont="1" applyFill="1" applyBorder="1"/>
    <xf numFmtId="0" fontId="10" fillId="7" borderId="18" xfId="1" applyFont="1" applyFill="1" applyBorder="1"/>
    <xf numFmtId="164" fontId="10" fillId="7" borderId="14" xfId="0" applyNumberFormat="1" applyFont="1" applyFill="1" applyBorder="1"/>
    <xf numFmtId="164" fontId="10" fillId="7" borderId="19" xfId="0" applyNumberFormat="1" applyFont="1" applyFill="1" applyBorder="1"/>
    <xf numFmtId="0" fontId="4" fillId="7" borderId="20" xfId="1" applyFont="1" applyFill="1" applyBorder="1"/>
    <xf numFmtId="164" fontId="7" fillId="7" borderId="21" xfId="1" applyNumberFormat="1" applyFont="1" applyFill="1" applyBorder="1"/>
    <xf numFmtId="164" fontId="10" fillId="7" borderId="22" xfId="1" applyNumberFormat="1" applyFont="1" applyFill="1" applyBorder="1"/>
    <xf numFmtId="0" fontId="4" fillId="3" borderId="15" xfId="1" applyFont="1" applyFill="1" applyBorder="1" applyAlignment="1">
      <alignment horizontal="center" vertical="center"/>
    </xf>
    <xf numFmtId="164" fontId="11" fillId="5" borderId="1" xfId="0" applyNumberFormat="1" applyFont="1" applyFill="1" applyBorder="1"/>
    <xf numFmtId="164" fontId="7" fillId="6" borderId="0" xfId="1" applyNumberFormat="1" applyFont="1" applyFill="1" applyBorder="1"/>
    <xf numFmtId="1" fontId="6" fillId="4" borderId="3" xfId="0" applyNumberFormat="1" applyFont="1" applyFill="1" applyBorder="1"/>
    <xf numFmtId="0" fontId="3" fillId="6" borderId="0" xfId="1" applyFont="1" applyFill="1" applyBorder="1"/>
    <xf numFmtId="0" fontId="4" fillId="6" borderId="0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right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tabSelected="1" workbookViewId="0">
      <selection sqref="A1:F1"/>
    </sheetView>
  </sheetViews>
  <sheetFormatPr defaultColWidth="9.109375" defaultRowHeight="15" x14ac:dyDescent="0.25"/>
  <cols>
    <col min="1" max="1" width="50.44140625" style="1" bestFit="1" customWidth="1"/>
    <col min="2" max="2" width="15.6640625" style="1" hidden="1" customWidth="1"/>
    <col min="3" max="5" width="17.109375" style="1" hidden="1" customWidth="1"/>
    <col min="6" max="6" width="24.5546875" style="2" customWidth="1"/>
    <col min="7" max="16384" width="9.109375" style="1"/>
  </cols>
  <sheetData>
    <row r="1" spans="1:9" ht="15.6" x14ac:dyDescent="0.3">
      <c r="A1" s="97" t="s">
        <v>68</v>
      </c>
      <c r="B1" s="97"/>
      <c r="C1" s="97"/>
      <c r="D1" s="97"/>
      <c r="E1" s="97"/>
      <c r="F1" s="97"/>
    </row>
    <row r="2" spans="1:9" ht="15.6" x14ac:dyDescent="0.3">
      <c r="A2" s="96" t="s">
        <v>67</v>
      </c>
      <c r="B2" s="96"/>
      <c r="C2" s="96"/>
      <c r="D2" s="96"/>
      <c r="E2" s="96"/>
      <c r="F2" s="96"/>
      <c r="G2" s="58"/>
    </row>
    <row r="3" spans="1:9" ht="15.6" x14ac:dyDescent="0.3">
      <c r="A3" s="58"/>
      <c r="B3" s="58"/>
      <c r="C3" s="58"/>
      <c r="D3" s="58"/>
      <c r="E3" s="58"/>
      <c r="F3" s="58"/>
      <c r="G3" s="58"/>
    </row>
    <row r="4" spans="1:9" ht="15.6" x14ac:dyDescent="0.25">
      <c r="A4" s="89" t="s">
        <v>0</v>
      </c>
      <c r="B4" s="89"/>
      <c r="C4" s="89"/>
      <c r="D4" s="89"/>
      <c r="E4" s="89"/>
      <c r="F4" s="89"/>
      <c r="G4" s="89"/>
    </row>
    <row r="5" spans="1:9" ht="15.6" thickBot="1" x14ac:dyDescent="0.3">
      <c r="A5" s="13"/>
      <c r="B5" s="13"/>
      <c r="C5" s="13"/>
      <c r="D5" s="13"/>
      <c r="E5" s="13"/>
      <c r="F5" s="16"/>
      <c r="G5" s="13"/>
    </row>
    <row r="6" spans="1:9" ht="31.2" x14ac:dyDescent="0.25">
      <c r="A6" s="84" t="s">
        <v>66</v>
      </c>
      <c r="B6" s="65" t="s">
        <v>1</v>
      </c>
      <c r="C6" s="65" t="s">
        <v>2</v>
      </c>
      <c r="D6" s="65" t="s">
        <v>3</v>
      </c>
      <c r="E6" s="65" t="s">
        <v>4</v>
      </c>
      <c r="F6" s="66" t="s">
        <v>5</v>
      </c>
    </row>
    <row r="7" spans="1:9" x14ac:dyDescent="0.25">
      <c r="A7" s="67" t="s">
        <v>6</v>
      </c>
      <c r="B7" s="59">
        <v>1287000</v>
      </c>
      <c r="C7" s="59">
        <v>2253152</v>
      </c>
      <c r="D7" s="59">
        <v>3400000</v>
      </c>
      <c r="E7" s="59">
        <v>3100000</v>
      </c>
      <c r="F7" s="76">
        <f>SUM(B7:E7)</f>
        <v>10040152</v>
      </c>
    </row>
    <row r="8" spans="1:9" x14ac:dyDescent="0.25">
      <c r="A8" s="67" t="s">
        <v>7</v>
      </c>
      <c r="B8" s="59">
        <f>1267469*0.047</f>
        <v>59571.042999999998</v>
      </c>
      <c r="C8" s="59">
        <v>59571</v>
      </c>
      <c r="D8" s="59">
        <f>1267469*0.816</f>
        <v>1034254.7039999999</v>
      </c>
      <c r="E8" s="59">
        <f>1267469*0.09</f>
        <v>114072.20999999999</v>
      </c>
      <c r="F8" s="76">
        <f t="shared" ref="F8:F33" si="0">SUM(B8:E8)</f>
        <v>1267468.9569999999</v>
      </c>
    </row>
    <row r="9" spans="1:9" ht="15.6" x14ac:dyDescent="0.3">
      <c r="A9" s="68" t="s">
        <v>8</v>
      </c>
      <c r="B9" s="60">
        <f>SUM(B7:B8)</f>
        <v>1346571.0430000001</v>
      </c>
      <c r="C9" s="60">
        <f>SUM(C7:C8)</f>
        <v>2312723</v>
      </c>
      <c r="D9" s="61">
        <f>SUM(D7:D8)</f>
        <v>4434254.7039999999</v>
      </c>
      <c r="E9" s="60">
        <f>SUM(E7:E8)</f>
        <v>3214072.21</v>
      </c>
      <c r="F9" s="76">
        <f t="shared" si="0"/>
        <v>11307620.956999999</v>
      </c>
      <c r="I9" s="57"/>
    </row>
    <row r="10" spans="1:9" x14ac:dyDescent="0.25">
      <c r="A10" s="67" t="s">
        <v>9</v>
      </c>
      <c r="B10" s="59">
        <v>510000</v>
      </c>
      <c r="C10" s="59">
        <v>5150000</v>
      </c>
      <c r="D10" s="59">
        <v>0</v>
      </c>
      <c r="E10" s="59">
        <v>0</v>
      </c>
      <c r="F10" s="76">
        <f t="shared" si="0"/>
        <v>5660000</v>
      </c>
    </row>
    <row r="11" spans="1:9" x14ac:dyDescent="0.25">
      <c r="A11" s="67" t="s">
        <v>10</v>
      </c>
      <c r="B11" s="59">
        <v>0</v>
      </c>
      <c r="C11" s="59">
        <v>0</v>
      </c>
      <c r="D11" s="59">
        <v>0</v>
      </c>
      <c r="E11" s="59">
        <v>0</v>
      </c>
      <c r="F11" s="76">
        <v>160750</v>
      </c>
    </row>
    <row r="12" spans="1:9" ht="15.6" x14ac:dyDescent="0.3">
      <c r="A12" s="78" t="s">
        <v>11</v>
      </c>
      <c r="B12" s="79">
        <f>SUM(B9:B11)</f>
        <v>1856571.0430000001</v>
      </c>
      <c r="C12" s="79">
        <f>SUM(C9:C11)</f>
        <v>7462723</v>
      </c>
      <c r="D12" s="79">
        <f>SUM(D9:D11)</f>
        <v>4434254.7039999999</v>
      </c>
      <c r="E12" s="79">
        <f>SUM(E9:E11)</f>
        <v>3214072.21</v>
      </c>
      <c r="F12" s="80">
        <f>SUM(F9+F10+F11)</f>
        <v>17128370.956999999</v>
      </c>
    </row>
    <row r="13" spans="1:9" x14ac:dyDescent="0.25">
      <c r="A13" s="70" t="s">
        <v>12</v>
      </c>
      <c r="B13" s="62">
        <v>1214750</v>
      </c>
      <c r="C13" s="62">
        <v>1214750</v>
      </c>
      <c r="D13" s="62">
        <v>3190544</v>
      </c>
      <c r="E13" s="62">
        <v>1873000</v>
      </c>
      <c r="F13" s="76">
        <f t="shared" si="0"/>
        <v>7493044</v>
      </c>
    </row>
    <row r="14" spans="1:9" x14ac:dyDescent="0.25">
      <c r="A14" s="70" t="s">
        <v>13</v>
      </c>
      <c r="B14" s="62">
        <f>89405/2</f>
        <v>44702.5</v>
      </c>
      <c r="C14" s="62">
        <v>44703</v>
      </c>
      <c r="D14" s="62">
        <v>89405</v>
      </c>
      <c r="E14" s="71">
        <v>89405</v>
      </c>
      <c r="F14" s="76">
        <f t="shared" si="0"/>
        <v>268215.5</v>
      </c>
    </row>
    <row r="15" spans="1:9" x14ac:dyDescent="0.25">
      <c r="A15" s="70" t="s">
        <v>14</v>
      </c>
      <c r="B15" s="62">
        <v>67500</v>
      </c>
      <c r="C15" s="62">
        <v>67500</v>
      </c>
      <c r="D15" s="62">
        <v>0</v>
      </c>
      <c r="E15" s="62">
        <v>0</v>
      </c>
      <c r="F15" s="76">
        <f t="shared" si="0"/>
        <v>135000</v>
      </c>
    </row>
    <row r="16" spans="1:9" s="5" customFormat="1" ht="15.6" x14ac:dyDescent="0.3">
      <c r="A16" s="72" t="s">
        <v>15</v>
      </c>
      <c r="B16" s="73">
        <f>SUM(B13:B15)</f>
        <v>1326952.5</v>
      </c>
      <c r="C16" s="73">
        <f>SUM(C13:C15)</f>
        <v>1326953</v>
      </c>
      <c r="D16" s="74">
        <f>SUM(D13:D15)</f>
        <v>3279949</v>
      </c>
      <c r="E16" s="74">
        <f>SUM(E13:E15)</f>
        <v>1962405</v>
      </c>
      <c r="F16" s="77">
        <f t="shared" si="0"/>
        <v>7896259.5</v>
      </c>
    </row>
    <row r="17" spans="1:6" x14ac:dyDescent="0.25">
      <c r="A17" s="70" t="s">
        <v>16</v>
      </c>
      <c r="B17" s="62">
        <f>B13*0.195</f>
        <v>236876.25</v>
      </c>
      <c r="C17" s="62">
        <f>C13*0.195</f>
        <v>236876.25</v>
      </c>
      <c r="D17" s="62">
        <f>D13*0.195</f>
        <v>622156.08000000007</v>
      </c>
      <c r="E17" s="62">
        <f>E13*0.195</f>
        <v>365235</v>
      </c>
      <c r="F17" s="76">
        <f t="shared" si="0"/>
        <v>1461143.58</v>
      </c>
    </row>
    <row r="18" spans="1:6" x14ac:dyDescent="0.25">
      <c r="A18" s="70" t="s">
        <v>17</v>
      </c>
      <c r="B18" s="62">
        <f>B14*0.3422</f>
        <v>15297.1955</v>
      </c>
      <c r="C18" s="62">
        <f>C14*0.3422</f>
        <v>15297.366599999999</v>
      </c>
      <c r="D18" s="62">
        <f>D14*0.3422</f>
        <v>30594.391</v>
      </c>
      <c r="E18" s="62">
        <f>E14*0.3422</f>
        <v>30594.391</v>
      </c>
      <c r="F18" s="76">
        <f t="shared" si="0"/>
        <v>91783.344100000002</v>
      </c>
    </row>
    <row r="19" spans="1:6" x14ac:dyDescent="0.25">
      <c r="A19" s="70" t="s">
        <v>18</v>
      </c>
      <c r="B19" s="62">
        <f>B15*0.195</f>
        <v>13162.5</v>
      </c>
      <c r="C19" s="62">
        <f>C15*0.195</f>
        <v>13162.5</v>
      </c>
      <c r="D19" s="62">
        <f>D15*0.195</f>
        <v>0</v>
      </c>
      <c r="E19" s="62">
        <f>E15*0.195</f>
        <v>0</v>
      </c>
      <c r="F19" s="76">
        <f t="shared" si="0"/>
        <v>26325</v>
      </c>
    </row>
    <row r="20" spans="1:6" s="5" customFormat="1" ht="15.6" x14ac:dyDescent="0.3">
      <c r="A20" s="72" t="s">
        <v>19</v>
      </c>
      <c r="B20" s="73">
        <f>SUM(B17:B19)</f>
        <v>265335.94550000003</v>
      </c>
      <c r="C20" s="73">
        <f>SUM(C17:C19)</f>
        <v>265336.11660000001</v>
      </c>
      <c r="D20" s="74">
        <f>SUM(D17:D19)</f>
        <v>652750.47100000002</v>
      </c>
      <c r="E20" s="74">
        <f>SUM(E17:E19)</f>
        <v>395829.391</v>
      </c>
      <c r="F20" s="77">
        <f t="shared" si="0"/>
        <v>1579251.9241000002</v>
      </c>
    </row>
    <row r="21" spans="1:6" ht="15.6" x14ac:dyDescent="0.3">
      <c r="A21" s="75" t="s">
        <v>20</v>
      </c>
      <c r="B21" s="74">
        <f>B16+B20</f>
        <v>1592288.4454999999</v>
      </c>
      <c r="C21" s="74">
        <f>SUM(C16+C20)</f>
        <v>1592289.1166000001</v>
      </c>
      <c r="D21" s="74">
        <f>D16+D20</f>
        <v>3932699.4709999999</v>
      </c>
      <c r="E21" s="74">
        <f>E16+E20</f>
        <v>2358234.3909999998</v>
      </c>
      <c r="F21" s="77">
        <f t="shared" si="0"/>
        <v>9475511.4241000004</v>
      </c>
    </row>
    <row r="22" spans="1:6" x14ac:dyDescent="0.25">
      <c r="A22" s="70" t="s">
        <v>21</v>
      </c>
      <c r="B22" s="62">
        <v>100000</v>
      </c>
      <c r="C22" s="62">
        <v>100000</v>
      </c>
      <c r="D22" s="62">
        <v>0</v>
      </c>
      <c r="E22" s="62">
        <v>150000</v>
      </c>
      <c r="F22" s="76">
        <f t="shared" si="0"/>
        <v>350000</v>
      </c>
    </row>
    <row r="23" spans="1:6" x14ac:dyDescent="0.25">
      <c r="A23" s="70" t="s">
        <v>22</v>
      </c>
      <c r="B23" s="62">
        <v>60000</v>
      </c>
      <c r="C23" s="62">
        <v>60000</v>
      </c>
      <c r="D23" s="62">
        <v>0</v>
      </c>
      <c r="E23" s="62">
        <v>0</v>
      </c>
      <c r="F23" s="76">
        <f t="shared" si="0"/>
        <v>120000</v>
      </c>
    </row>
    <row r="24" spans="1:6" x14ac:dyDescent="0.25">
      <c r="A24" s="70" t="s">
        <v>23</v>
      </c>
      <c r="B24" s="62">
        <v>0</v>
      </c>
      <c r="C24" s="62">
        <v>4850000</v>
      </c>
      <c r="D24" s="62">
        <v>0</v>
      </c>
      <c r="E24" s="62">
        <v>0</v>
      </c>
      <c r="F24" s="76">
        <f t="shared" si="0"/>
        <v>4850000</v>
      </c>
    </row>
    <row r="25" spans="1:6" x14ac:dyDescent="0.25">
      <c r="A25" s="70" t="s">
        <v>24</v>
      </c>
      <c r="B25" s="62">
        <f>(B22+B29+B28)*0.27</f>
        <v>42120</v>
      </c>
      <c r="C25" s="62">
        <f>(C22+C29+C28+C24)*0.27</f>
        <v>1351620</v>
      </c>
      <c r="D25" s="62">
        <f>(D22+D29+D28+D24)*0.27</f>
        <v>55620.000000000007</v>
      </c>
      <c r="E25" s="62">
        <f>(E22+E29+E28+E24)*0.27</f>
        <v>40500</v>
      </c>
      <c r="F25" s="76">
        <f t="shared" si="0"/>
        <v>1489860</v>
      </c>
    </row>
    <row r="26" spans="1:6" x14ac:dyDescent="0.25">
      <c r="A26" s="70" t="s">
        <v>25</v>
      </c>
      <c r="B26" s="62">
        <v>60000</v>
      </c>
      <c r="C26" s="62">
        <v>60000</v>
      </c>
      <c r="D26" s="62">
        <v>60000</v>
      </c>
      <c r="E26" s="62">
        <v>60000</v>
      </c>
      <c r="F26" s="76">
        <f t="shared" si="0"/>
        <v>240000</v>
      </c>
    </row>
    <row r="27" spans="1:6" x14ac:dyDescent="0.25">
      <c r="A27" s="70" t="s">
        <v>26</v>
      </c>
      <c r="B27" s="62">
        <v>45000</v>
      </c>
      <c r="C27" s="62">
        <v>45000</v>
      </c>
      <c r="D27" s="62">
        <v>165000</v>
      </c>
      <c r="E27" s="62">
        <v>0</v>
      </c>
      <c r="F27" s="76">
        <f t="shared" si="0"/>
        <v>255000</v>
      </c>
    </row>
    <row r="28" spans="1:6" x14ac:dyDescent="0.25">
      <c r="A28" s="70" t="s">
        <v>27</v>
      </c>
      <c r="B28" s="62">
        <v>6000</v>
      </c>
      <c r="C28" s="62">
        <v>6000</v>
      </c>
      <c r="D28" s="62">
        <v>6000</v>
      </c>
      <c r="E28" s="62">
        <v>0</v>
      </c>
      <c r="F28" s="76">
        <f t="shared" si="0"/>
        <v>18000</v>
      </c>
    </row>
    <row r="29" spans="1:6" x14ac:dyDescent="0.25">
      <c r="A29" s="70" t="s">
        <v>28</v>
      </c>
      <c r="B29" s="62">
        <v>50000</v>
      </c>
      <c r="C29" s="62">
        <v>50000</v>
      </c>
      <c r="D29" s="62">
        <v>200000</v>
      </c>
      <c r="E29" s="62">
        <v>0</v>
      </c>
      <c r="F29" s="76">
        <f t="shared" si="0"/>
        <v>300000</v>
      </c>
    </row>
    <row r="30" spans="1:6" x14ac:dyDescent="0.25">
      <c r="A30" s="70" t="s">
        <v>29</v>
      </c>
      <c r="B30" s="62">
        <v>0</v>
      </c>
      <c r="C30" s="62">
        <v>0</v>
      </c>
      <c r="D30" s="62">
        <v>0</v>
      </c>
      <c r="E30" s="62">
        <v>0</v>
      </c>
      <c r="F30" s="76">
        <f t="shared" si="0"/>
        <v>0</v>
      </c>
    </row>
    <row r="31" spans="1:6" x14ac:dyDescent="0.25">
      <c r="A31" s="70" t="s">
        <v>30</v>
      </c>
      <c r="B31" s="62">
        <v>5000</v>
      </c>
      <c r="C31" s="62">
        <v>5000</v>
      </c>
      <c r="D31" s="62">
        <v>10000</v>
      </c>
      <c r="E31" s="62">
        <v>10000</v>
      </c>
      <c r="F31" s="76">
        <f t="shared" si="0"/>
        <v>30000</v>
      </c>
    </row>
    <row r="32" spans="1:6" s="3" customFormat="1" ht="15.6" x14ac:dyDescent="0.3">
      <c r="A32" s="69" t="s">
        <v>31</v>
      </c>
      <c r="B32" s="64">
        <f>SUM(B22:B31)</f>
        <v>368120</v>
      </c>
      <c r="C32" s="63">
        <f>SUM(C22:C31)</f>
        <v>6527620</v>
      </c>
      <c r="D32" s="64">
        <f>SUM(D22:D31)</f>
        <v>496620</v>
      </c>
      <c r="E32" s="64">
        <f>SUM(E22:E31)</f>
        <v>260500</v>
      </c>
      <c r="F32" s="76">
        <f t="shared" si="0"/>
        <v>7652860</v>
      </c>
    </row>
    <row r="33" spans="1:6" ht="16.2" thickBot="1" x14ac:dyDescent="0.35">
      <c r="A33" s="81" t="s">
        <v>32</v>
      </c>
      <c r="B33" s="82">
        <f>B21+B32</f>
        <v>1960408.4454999999</v>
      </c>
      <c r="C33" s="82">
        <f>C21+C32</f>
        <v>8119909.1166000003</v>
      </c>
      <c r="D33" s="82">
        <f>D21+D32</f>
        <v>4429319.4709999999</v>
      </c>
      <c r="E33" s="82">
        <f>E21+E32</f>
        <v>2618734.3909999998</v>
      </c>
      <c r="F33" s="83">
        <f t="shared" si="0"/>
        <v>17128371.4241</v>
      </c>
    </row>
    <row r="34" spans="1:6" ht="15.6" thickBot="1" x14ac:dyDescent="0.3">
      <c r="C34" s="4"/>
      <c r="D34" s="4"/>
      <c r="E34" s="4"/>
      <c r="F34" s="7"/>
    </row>
    <row r="35" spans="1:6" ht="16.2" thickBot="1" x14ac:dyDescent="0.35">
      <c r="B35" s="8">
        <f>B12-B33</f>
        <v>-103837.40249999985</v>
      </c>
      <c r="C35" s="8">
        <f>C12-C33</f>
        <v>-657186.1166000003</v>
      </c>
      <c r="D35" s="8">
        <f>D12-D33</f>
        <v>4935.2330000000075</v>
      </c>
      <c r="E35" s="85">
        <f>E12-E33</f>
        <v>595337.81900000013</v>
      </c>
      <c r="F35" s="86"/>
    </row>
    <row r="37" spans="1:6" ht="15.6" thickBot="1" x14ac:dyDescent="0.3"/>
    <row r="38" spans="1:6" ht="30.6" thickBot="1" x14ac:dyDescent="0.3">
      <c r="A38" s="88"/>
      <c r="B38" s="44" t="s">
        <v>64</v>
      </c>
      <c r="C38" s="56" t="s">
        <v>65</v>
      </c>
    </row>
    <row r="39" spans="1:6" x14ac:dyDescent="0.25">
      <c r="A39" s="88"/>
      <c r="B39" s="45">
        <f>B42*0.5958</f>
        <v>391551.48827028018</v>
      </c>
      <c r="C39" s="45">
        <f>B39/12</f>
        <v>32629.290689190017</v>
      </c>
    </row>
    <row r="40" spans="1:6" x14ac:dyDescent="0.25">
      <c r="A40" s="88"/>
      <c r="B40" s="45">
        <f>B42*0.2505</f>
        <v>164625.12220830008</v>
      </c>
      <c r="C40" s="45">
        <f t="shared" ref="C40:C42" si="1">B40/12</f>
        <v>13718.760184025006</v>
      </c>
    </row>
    <row r="41" spans="1:6" ht="15.6" thickBot="1" x14ac:dyDescent="0.3">
      <c r="A41" s="88"/>
      <c r="B41" s="45">
        <f>B42*0.1537</f>
        <v>101009.50612142005</v>
      </c>
      <c r="C41" s="45">
        <f t="shared" si="1"/>
        <v>8417.4588434516718</v>
      </c>
    </row>
    <row r="42" spans="1:6" ht="15.6" thickBot="1" x14ac:dyDescent="0.3">
      <c r="A42" s="88"/>
      <c r="B42" s="87">
        <f>ABS(C35)</f>
        <v>657186.1166000003</v>
      </c>
      <c r="C42" s="46">
        <f t="shared" si="1"/>
        <v>54765.509716666689</v>
      </c>
    </row>
    <row r="43" spans="1:6" x14ac:dyDescent="0.25">
      <c r="A43" s="27"/>
      <c r="B43" s="47"/>
    </row>
    <row r="44" spans="1:6" ht="15.6" x14ac:dyDescent="0.3">
      <c r="B44"/>
    </row>
  </sheetData>
  <mergeCells count="3">
    <mergeCell ref="A4:G4"/>
    <mergeCell ref="A2:F2"/>
    <mergeCell ref="A1:F1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6"/>
  <sheetViews>
    <sheetView topLeftCell="A16" workbookViewId="0">
      <selection sqref="A1:C36"/>
    </sheetView>
  </sheetViews>
  <sheetFormatPr defaultColWidth="9.109375" defaultRowHeight="15.6" x14ac:dyDescent="0.3"/>
  <cols>
    <col min="1" max="1" width="40.109375" style="1" bestFit="1" customWidth="1"/>
    <col min="2" max="2" width="24.109375" style="9" bestFit="1" customWidth="1"/>
    <col min="3" max="3" width="20.5546875" bestFit="1" customWidth="1"/>
    <col min="4" max="6" width="9.109375" style="1"/>
    <col min="7" max="7" width="10" style="1" bestFit="1" customWidth="1"/>
    <col min="8" max="16384" width="9.109375" style="1"/>
  </cols>
  <sheetData>
    <row r="1" spans="1:9" ht="16.2" thickBot="1" x14ac:dyDescent="0.35">
      <c r="A1" s="90"/>
      <c r="B1" s="90"/>
    </row>
    <row r="2" spans="1:9" ht="16.2" thickBot="1" x14ac:dyDescent="0.3">
      <c r="A2" s="91" t="s">
        <v>33</v>
      </c>
      <c r="B2" s="92"/>
      <c r="C2" s="93"/>
    </row>
    <row r="3" spans="1:9" ht="16.2" thickBot="1" x14ac:dyDescent="0.35">
      <c r="A3" s="20"/>
      <c r="B3" s="21"/>
      <c r="C3" s="22"/>
    </row>
    <row r="4" spans="1:9" ht="16.2" thickBot="1" x14ac:dyDescent="0.35">
      <c r="A4" s="10"/>
      <c r="B4" s="11" t="s">
        <v>34</v>
      </c>
      <c r="C4" s="12" t="s">
        <v>35</v>
      </c>
    </row>
    <row r="5" spans="1:9" ht="15" x14ac:dyDescent="0.25">
      <c r="A5" s="20" t="s">
        <v>6</v>
      </c>
      <c r="B5" s="16">
        <v>819000</v>
      </c>
      <c r="C5" s="23">
        <v>1312000</v>
      </c>
    </row>
    <row r="6" spans="1:9" ht="15" x14ac:dyDescent="0.25">
      <c r="A6" s="20" t="s">
        <v>7</v>
      </c>
      <c r="B6" s="16">
        <v>59615</v>
      </c>
      <c r="C6" s="23">
        <f>1267469*0.047</f>
        <v>59571.042999999998</v>
      </c>
    </row>
    <row r="7" spans="1:9" x14ac:dyDescent="0.3">
      <c r="A7" s="24" t="s">
        <v>8</v>
      </c>
      <c r="B7" s="25">
        <f>SUM(B5:B6)</f>
        <v>878615</v>
      </c>
      <c r="C7" s="26">
        <f>SUM(C5:C6)</f>
        <v>1371571.0430000001</v>
      </c>
    </row>
    <row r="8" spans="1:9" ht="15" x14ac:dyDescent="0.25">
      <c r="A8" s="20" t="s">
        <v>36</v>
      </c>
      <c r="B8" s="16">
        <v>200000</v>
      </c>
      <c r="C8" s="23">
        <v>516670</v>
      </c>
    </row>
    <row r="9" spans="1:9" thickBot="1" x14ac:dyDescent="0.3">
      <c r="A9" s="20" t="s">
        <v>10</v>
      </c>
      <c r="B9" s="16">
        <v>406546</v>
      </c>
      <c r="C9" s="23">
        <v>0</v>
      </c>
      <c r="G9" s="13"/>
      <c r="H9" s="13"/>
      <c r="I9" s="13"/>
    </row>
    <row r="10" spans="1:9" ht="16.2" thickBot="1" x14ac:dyDescent="0.35">
      <c r="A10" s="6" t="s">
        <v>11</v>
      </c>
      <c r="B10" s="14">
        <f>B7+B8+B9</f>
        <v>1485161</v>
      </c>
      <c r="C10" s="15">
        <f>C7+C8+C9</f>
        <v>1888241.0430000001</v>
      </c>
    </row>
    <row r="11" spans="1:9" ht="15" x14ac:dyDescent="0.25">
      <c r="A11" s="20"/>
      <c r="B11" s="27"/>
      <c r="C11" s="28"/>
    </row>
    <row r="12" spans="1:9" x14ac:dyDescent="0.3">
      <c r="A12" s="20"/>
      <c r="B12" s="27"/>
      <c r="C12" s="28"/>
      <c r="F12" s="5"/>
      <c r="G12" s="5"/>
      <c r="H12" s="5"/>
      <c r="I12" s="5"/>
    </row>
    <row r="13" spans="1:9" s="13" customFormat="1" ht="15" x14ac:dyDescent="0.25">
      <c r="A13" s="20" t="s">
        <v>37</v>
      </c>
      <c r="B13" s="16">
        <v>1123050</v>
      </c>
      <c r="C13" s="23">
        <v>1108843</v>
      </c>
      <c r="F13" s="1"/>
      <c r="G13" s="1"/>
      <c r="H13" s="1"/>
      <c r="I13" s="1"/>
    </row>
    <row r="14" spans="1:9" ht="15" x14ac:dyDescent="0.25">
      <c r="A14" s="20" t="s">
        <v>38</v>
      </c>
      <c r="B14" s="16">
        <v>44703</v>
      </c>
      <c r="C14" s="23">
        <f>89405/2</f>
        <v>44702.5</v>
      </c>
    </row>
    <row r="15" spans="1:9" ht="15" x14ac:dyDescent="0.25">
      <c r="A15" s="20" t="s">
        <v>39</v>
      </c>
      <c r="B15" s="16">
        <v>50000</v>
      </c>
      <c r="C15" s="23">
        <v>67500</v>
      </c>
    </row>
    <row r="16" spans="1:9" s="5" customFormat="1" x14ac:dyDescent="0.3">
      <c r="A16" s="24" t="s">
        <v>15</v>
      </c>
      <c r="B16" s="29">
        <f>SUM(B13:B15)</f>
        <v>1217753</v>
      </c>
      <c r="C16" s="30">
        <f>SUM(C13:C15)</f>
        <v>1221045.5</v>
      </c>
    </row>
    <row r="17" spans="1:9" ht="15" x14ac:dyDescent="0.25">
      <c r="A17" s="20" t="s">
        <v>40</v>
      </c>
      <c r="B17" s="31">
        <v>221111</v>
      </c>
      <c r="C17" s="26">
        <f>C13*0.195</f>
        <v>216224.38500000001</v>
      </c>
    </row>
    <row r="18" spans="1:9" ht="15" x14ac:dyDescent="0.25">
      <c r="A18" s="20" t="s">
        <v>41</v>
      </c>
      <c r="B18" s="31">
        <v>15297</v>
      </c>
      <c r="C18" s="26">
        <f>C14*0.3422</f>
        <v>15297.1955</v>
      </c>
    </row>
    <row r="19" spans="1:9" ht="15" x14ac:dyDescent="0.25">
      <c r="A19" s="20" t="s">
        <v>42</v>
      </c>
      <c r="B19" s="31">
        <v>13500</v>
      </c>
      <c r="C19" s="26">
        <f>C15*0.195</f>
        <v>13162.5</v>
      </c>
    </row>
    <row r="20" spans="1:9" s="5" customFormat="1" x14ac:dyDescent="0.3">
      <c r="A20" s="24" t="s">
        <v>19</v>
      </c>
      <c r="B20" s="29">
        <f>SUM(B17:B19)</f>
        <v>249908</v>
      </c>
      <c r="C20" s="30">
        <f>SUM(C17:C19)</f>
        <v>244684.08050000001</v>
      </c>
      <c r="F20" s="1"/>
      <c r="G20" s="1"/>
      <c r="H20" s="1"/>
      <c r="I20" s="1"/>
    </row>
    <row r="21" spans="1:9" x14ac:dyDescent="0.3">
      <c r="A21" s="24" t="s">
        <v>20</v>
      </c>
      <c r="B21" s="29">
        <f>B16+B20</f>
        <v>1467661</v>
      </c>
      <c r="C21" s="30">
        <f>C16+C20</f>
        <v>1465729.5804999999</v>
      </c>
    </row>
    <row r="22" spans="1:9" x14ac:dyDescent="0.3">
      <c r="A22" s="20"/>
      <c r="B22" s="31"/>
      <c r="C22" s="32"/>
    </row>
    <row r="23" spans="1:9" ht="15" x14ac:dyDescent="0.25">
      <c r="A23" s="20" t="s">
        <v>43</v>
      </c>
      <c r="B23" s="31">
        <v>0</v>
      </c>
      <c r="C23" s="23">
        <v>97072</v>
      </c>
    </row>
    <row r="24" spans="1:9" ht="15" x14ac:dyDescent="0.25">
      <c r="A24" s="20" t="s">
        <v>44</v>
      </c>
      <c r="B24" s="31">
        <v>0</v>
      </c>
      <c r="C24" s="23">
        <v>55300</v>
      </c>
    </row>
    <row r="25" spans="1:9" ht="15" x14ac:dyDescent="0.25">
      <c r="A25" s="20" t="s">
        <v>45</v>
      </c>
      <c r="B25" s="31">
        <v>0</v>
      </c>
      <c r="C25" s="23">
        <f t="shared" ref="C25" si="0">B25/2</f>
        <v>0</v>
      </c>
    </row>
    <row r="26" spans="1:9" ht="15" x14ac:dyDescent="0.25">
      <c r="A26" s="20" t="s">
        <v>46</v>
      </c>
      <c r="B26" s="31">
        <v>0</v>
      </c>
      <c r="C26" s="23">
        <v>44747</v>
      </c>
    </row>
    <row r="27" spans="1:9" ht="15" x14ac:dyDescent="0.25">
      <c r="A27" s="20" t="s">
        <v>47</v>
      </c>
      <c r="B27" s="31">
        <v>0</v>
      </c>
      <c r="C27" s="23">
        <v>56143</v>
      </c>
    </row>
    <row r="28" spans="1:9" ht="15" x14ac:dyDescent="0.25">
      <c r="A28" s="20" t="s">
        <v>48</v>
      </c>
      <c r="B28" s="31">
        <v>12500</v>
      </c>
      <c r="C28" s="23">
        <v>42312</v>
      </c>
    </row>
    <row r="29" spans="1:9" x14ac:dyDescent="0.3">
      <c r="A29" s="20" t="s">
        <v>49</v>
      </c>
      <c r="B29" s="31">
        <v>0</v>
      </c>
      <c r="C29" s="23">
        <v>5503</v>
      </c>
      <c r="F29" s="3"/>
      <c r="G29" s="3"/>
      <c r="H29" s="3"/>
      <c r="I29" s="3"/>
    </row>
    <row r="30" spans="1:9" ht="15" x14ac:dyDescent="0.25">
      <c r="A30" s="20" t="s">
        <v>50</v>
      </c>
      <c r="B30" s="31">
        <v>0</v>
      </c>
      <c r="C30" s="23">
        <v>63155</v>
      </c>
    </row>
    <row r="31" spans="1:9" ht="15" x14ac:dyDescent="0.25">
      <c r="A31" s="20" t="s">
        <v>51</v>
      </c>
      <c r="B31" s="31">
        <v>0</v>
      </c>
      <c r="C31" s="23">
        <v>93500</v>
      </c>
    </row>
    <row r="32" spans="1:9" ht="15" x14ac:dyDescent="0.25">
      <c r="A32" s="20" t="s">
        <v>52</v>
      </c>
      <c r="B32" s="31">
        <v>5000</v>
      </c>
      <c r="C32" s="23">
        <v>0</v>
      </c>
    </row>
    <row r="33" spans="1:9" s="3" customFormat="1" ht="16.2" thickBot="1" x14ac:dyDescent="0.35">
      <c r="A33" s="24" t="s">
        <v>31</v>
      </c>
      <c r="B33" s="29">
        <f>SUM(B23:B32)</f>
        <v>17500</v>
      </c>
      <c r="C33" s="30">
        <f>SUM(C23:C32)</f>
        <v>457732</v>
      </c>
      <c r="F33" s="1"/>
      <c r="G33" s="1"/>
      <c r="H33" s="1"/>
      <c r="I33" s="1"/>
    </row>
    <row r="34" spans="1:9" ht="16.2" thickBot="1" x14ac:dyDescent="0.35">
      <c r="A34" s="6" t="s">
        <v>32</v>
      </c>
      <c r="B34" s="17">
        <f>B21+B33</f>
        <v>1485161</v>
      </c>
      <c r="C34" s="18">
        <f>C21+C33</f>
        <v>1923461.5804999999</v>
      </c>
    </row>
    <row r="35" spans="1:9" thickBot="1" x14ac:dyDescent="0.3">
      <c r="A35" s="20"/>
      <c r="B35" s="31"/>
      <c r="C35" s="28"/>
    </row>
    <row r="36" spans="1:9" ht="16.2" thickBot="1" x14ac:dyDescent="0.35">
      <c r="A36" s="19" t="s">
        <v>53</v>
      </c>
      <c r="B36" s="33"/>
      <c r="C36" s="8">
        <f>C10-C34</f>
        <v>-35220.53749999986</v>
      </c>
    </row>
  </sheetData>
  <mergeCells count="2">
    <mergeCell ref="A1:B1"/>
    <mergeCell ref="A2:C2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2"/>
  <sheetViews>
    <sheetView topLeftCell="A31" workbookViewId="0">
      <selection sqref="A1:C51"/>
    </sheetView>
  </sheetViews>
  <sheetFormatPr defaultColWidth="9.109375" defaultRowHeight="15.6" x14ac:dyDescent="0.3"/>
  <cols>
    <col min="1" max="1" width="52.5546875" style="1" bestFit="1" customWidth="1"/>
    <col min="2" max="2" width="24.109375" style="9" bestFit="1" customWidth="1"/>
    <col min="3" max="3" width="20.5546875" bestFit="1" customWidth="1"/>
    <col min="4" max="6" width="9.109375" style="1"/>
    <col min="7" max="7" width="9.6640625" style="1" bestFit="1" customWidth="1"/>
    <col min="8" max="16384" width="9.109375" style="1"/>
  </cols>
  <sheetData>
    <row r="1" spans="1:8" ht="16.2" thickBot="1" x14ac:dyDescent="0.35">
      <c r="A1" s="94"/>
      <c r="B1" s="95"/>
      <c r="C1" s="48"/>
    </row>
    <row r="2" spans="1:8" ht="16.2" thickBot="1" x14ac:dyDescent="0.3">
      <c r="A2" s="91" t="s">
        <v>54</v>
      </c>
      <c r="B2" s="92"/>
      <c r="C2" s="93"/>
    </row>
    <row r="3" spans="1:8" ht="16.2" thickBot="1" x14ac:dyDescent="0.35">
      <c r="A3" s="20"/>
      <c r="B3" s="21"/>
      <c r="C3" s="22"/>
    </row>
    <row r="4" spans="1:8" ht="16.2" thickBot="1" x14ac:dyDescent="0.35">
      <c r="A4" s="10"/>
      <c r="B4" s="11" t="s">
        <v>34</v>
      </c>
      <c r="C4" s="12" t="s">
        <v>35</v>
      </c>
    </row>
    <row r="5" spans="1:8" ht="15" x14ac:dyDescent="0.25">
      <c r="A5" s="20" t="s">
        <v>6</v>
      </c>
      <c r="B5" s="16">
        <v>2009568</v>
      </c>
      <c r="C5" s="23">
        <v>2192256</v>
      </c>
    </row>
    <row r="6" spans="1:8" ht="15" x14ac:dyDescent="0.25">
      <c r="A6" s="20" t="s">
        <v>7</v>
      </c>
      <c r="B6" s="16">
        <v>59615</v>
      </c>
      <c r="C6" s="23">
        <f>1267469*0.047</f>
        <v>59571.042999999998</v>
      </c>
    </row>
    <row r="7" spans="1:8" x14ac:dyDescent="0.3">
      <c r="A7" s="24" t="s">
        <v>8</v>
      </c>
      <c r="B7" s="25">
        <f>SUM(B5:B6)</f>
        <v>2069183</v>
      </c>
      <c r="C7" s="26">
        <f>SUM(C5:C6)</f>
        <v>2251827.0430000001</v>
      </c>
      <c r="F7"/>
      <c r="G7"/>
      <c r="H7"/>
    </row>
    <row r="8" spans="1:8" x14ac:dyDescent="0.3">
      <c r="A8" s="20" t="s">
        <v>36</v>
      </c>
      <c r="B8" s="16">
        <v>4300000</v>
      </c>
      <c r="C8" s="23">
        <v>5133775</v>
      </c>
      <c r="F8"/>
      <c r="G8" s="34"/>
      <c r="H8"/>
    </row>
    <row r="9" spans="1:8" ht="16.2" thickBot="1" x14ac:dyDescent="0.35">
      <c r="A9" s="20" t="s">
        <v>10</v>
      </c>
      <c r="B9" s="16">
        <v>76578</v>
      </c>
      <c r="C9" s="23">
        <v>0</v>
      </c>
      <c r="F9"/>
      <c r="G9" s="34"/>
      <c r="H9"/>
    </row>
    <row r="10" spans="1:8" ht="16.2" thickBot="1" x14ac:dyDescent="0.35">
      <c r="A10" s="6" t="s">
        <v>11</v>
      </c>
      <c r="B10" s="14">
        <f>SUM(B7:B9)</f>
        <v>6445761</v>
      </c>
      <c r="C10" s="15">
        <f>C7+C8+C9</f>
        <v>7385602.0429999996</v>
      </c>
      <c r="F10"/>
      <c r="G10" s="35"/>
      <c r="H10"/>
    </row>
    <row r="11" spans="1:8" ht="15" x14ac:dyDescent="0.25">
      <c r="A11" s="20"/>
      <c r="B11" s="27"/>
      <c r="C11" s="28"/>
    </row>
    <row r="12" spans="1:8" ht="15" x14ac:dyDescent="0.25">
      <c r="A12" s="20"/>
      <c r="B12" s="27"/>
      <c r="C12" s="28"/>
    </row>
    <row r="13" spans="1:8" s="13" customFormat="1" ht="15" x14ac:dyDescent="0.25">
      <c r="A13" s="20" t="s">
        <v>37</v>
      </c>
      <c r="B13" s="16">
        <v>1123050</v>
      </c>
      <c r="C13" s="23">
        <v>1108843</v>
      </c>
      <c r="F13" s="1"/>
    </row>
    <row r="14" spans="1:8" ht="15" x14ac:dyDescent="0.25">
      <c r="A14" s="20" t="s">
        <v>38</v>
      </c>
      <c r="B14" s="36">
        <v>44703</v>
      </c>
      <c r="C14" s="23">
        <f>89405/2</f>
        <v>44702.5</v>
      </c>
    </row>
    <row r="15" spans="1:8" ht="15" x14ac:dyDescent="0.25">
      <c r="A15" s="20" t="s">
        <v>39</v>
      </c>
      <c r="B15" s="36">
        <v>50000</v>
      </c>
      <c r="C15" s="23">
        <v>67500</v>
      </c>
    </row>
    <row r="16" spans="1:8" s="5" customFormat="1" x14ac:dyDescent="0.3">
      <c r="A16" s="24" t="s">
        <v>15</v>
      </c>
      <c r="B16" s="36">
        <f t="shared" ref="B16" si="0">SUM(B13:B15)</f>
        <v>1217753</v>
      </c>
      <c r="C16" s="30">
        <f>SUM(C13:C15)</f>
        <v>1221045.5</v>
      </c>
    </row>
    <row r="17" spans="1:3" ht="15" x14ac:dyDescent="0.25">
      <c r="A17" s="20" t="s">
        <v>40</v>
      </c>
      <c r="B17" s="36">
        <v>221111</v>
      </c>
      <c r="C17" s="26">
        <f>C13*0.195</f>
        <v>216224.38500000001</v>
      </c>
    </row>
    <row r="18" spans="1:3" ht="15" x14ac:dyDescent="0.25">
      <c r="A18" s="20" t="s">
        <v>41</v>
      </c>
      <c r="B18" s="36">
        <v>15297</v>
      </c>
      <c r="C18" s="26">
        <f>C14*0.3422</f>
        <v>15297.1955</v>
      </c>
    </row>
    <row r="19" spans="1:3" ht="15" x14ac:dyDescent="0.25">
      <c r="A19" s="20" t="s">
        <v>42</v>
      </c>
      <c r="B19" s="36">
        <v>13500</v>
      </c>
      <c r="C19" s="26">
        <f>C15*0.195</f>
        <v>13162.5</v>
      </c>
    </row>
    <row r="20" spans="1:3" s="5" customFormat="1" x14ac:dyDescent="0.3">
      <c r="A20" s="24" t="s">
        <v>19</v>
      </c>
      <c r="B20" s="36">
        <f t="shared" ref="B20" si="1">SUM(B17:B19)</f>
        <v>249908</v>
      </c>
      <c r="C20" s="30">
        <f>SUM(C17:C19)</f>
        <v>244684.08050000001</v>
      </c>
    </row>
    <row r="21" spans="1:3" x14ac:dyDescent="0.3">
      <c r="A21" s="24" t="s">
        <v>20</v>
      </c>
      <c r="B21" s="29">
        <f>B16+B20</f>
        <v>1467661</v>
      </c>
      <c r="C21" s="30">
        <f>C16+C20</f>
        <v>1465729.5804999999</v>
      </c>
    </row>
    <row r="22" spans="1:3" x14ac:dyDescent="0.3">
      <c r="A22" s="20"/>
      <c r="B22" s="31"/>
      <c r="C22" s="32"/>
    </row>
    <row r="23" spans="1:3" ht="15" x14ac:dyDescent="0.25">
      <c r="A23" s="20" t="s">
        <v>43</v>
      </c>
      <c r="B23" s="31">
        <v>230000</v>
      </c>
      <c r="C23" s="23">
        <v>97072</v>
      </c>
    </row>
    <row r="24" spans="1:3" ht="15" x14ac:dyDescent="0.25">
      <c r="A24" s="20" t="s">
        <v>44</v>
      </c>
      <c r="B24" s="31">
        <v>105600</v>
      </c>
      <c r="C24" s="23">
        <v>55300</v>
      </c>
    </row>
    <row r="25" spans="1:3" ht="15" x14ac:dyDescent="0.25">
      <c r="A25" s="20" t="s">
        <v>45</v>
      </c>
      <c r="B25" s="31">
        <v>3500000</v>
      </c>
      <c r="C25" s="23">
        <v>4828064</v>
      </c>
    </row>
    <row r="26" spans="1:3" ht="15" x14ac:dyDescent="0.25">
      <c r="A26" s="20" t="s">
        <v>46</v>
      </c>
      <c r="B26" s="31">
        <v>1125000</v>
      </c>
      <c r="C26" s="23">
        <f>1303590+75361</f>
        <v>1378951</v>
      </c>
    </row>
    <row r="27" spans="1:3" ht="15" x14ac:dyDescent="0.25">
      <c r="A27" s="20" t="s">
        <v>47</v>
      </c>
      <c r="B27" s="31">
        <v>0</v>
      </c>
      <c r="C27" s="23">
        <v>56143</v>
      </c>
    </row>
    <row r="28" spans="1:3" ht="15" x14ac:dyDescent="0.25">
      <c r="A28" s="20" t="s">
        <v>48</v>
      </c>
      <c r="B28" s="31">
        <v>12500</v>
      </c>
      <c r="C28" s="23">
        <v>42312</v>
      </c>
    </row>
    <row r="29" spans="1:3" ht="15" x14ac:dyDescent="0.25">
      <c r="A29" s="20" t="s">
        <v>49</v>
      </c>
      <c r="B29" s="31">
        <v>0</v>
      </c>
      <c r="C29" s="23">
        <v>5503</v>
      </c>
    </row>
    <row r="30" spans="1:3" ht="15" x14ac:dyDescent="0.25">
      <c r="A30" s="20" t="s">
        <v>50</v>
      </c>
      <c r="B30" s="31">
        <v>0</v>
      </c>
      <c r="C30" s="23">
        <v>63155</v>
      </c>
    </row>
    <row r="31" spans="1:3" ht="15" x14ac:dyDescent="0.25">
      <c r="A31" s="20" t="s">
        <v>51</v>
      </c>
      <c r="B31" s="31">
        <v>0</v>
      </c>
      <c r="C31" s="23">
        <v>93500</v>
      </c>
    </row>
    <row r="32" spans="1:3" ht="15" x14ac:dyDescent="0.25">
      <c r="A32" s="20" t="s">
        <v>52</v>
      </c>
      <c r="B32" s="31">
        <v>5000</v>
      </c>
      <c r="C32" s="23">
        <v>0</v>
      </c>
    </row>
    <row r="33" spans="1:3" s="3" customFormat="1" x14ac:dyDescent="0.3">
      <c r="A33" s="24" t="s">
        <v>31</v>
      </c>
      <c r="B33" s="49">
        <f>SUM(B23:B32)</f>
        <v>4978100</v>
      </c>
      <c r="C33" s="30">
        <f>SUM(C23:C32)</f>
        <v>6620000</v>
      </c>
    </row>
    <row r="34" spans="1:3" thickBot="1" x14ac:dyDescent="0.3">
      <c r="A34" s="20"/>
      <c r="B34" s="31"/>
      <c r="C34" s="28"/>
    </row>
    <row r="35" spans="1:3" ht="16.2" thickBot="1" x14ac:dyDescent="0.35">
      <c r="A35" s="6" t="s">
        <v>32</v>
      </c>
      <c r="B35" s="17">
        <f>B21+B33</f>
        <v>6445761</v>
      </c>
      <c r="C35" s="18">
        <f>C21+C33</f>
        <v>8085729.5805000002</v>
      </c>
    </row>
    <row r="36" spans="1:3" thickBot="1" x14ac:dyDescent="0.3">
      <c r="A36" s="20"/>
      <c r="B36" s="31"/>
      <c r="C36" s="28"/>
    </row>
    <row r="37" spans="1:3" ht="16.2" thickBot="1" x14ac:dyDescent="0.35">
      <c r="A37" s="19" t="s">
        <v>53</v>
      </c>
      <c r="B37" s="33"/>
      <c r="C37" s="8">
        <f>C10-C35</f>
        <v>-700127.53750000056</v>
      </c>
    </row>
    <row r="39" spans="1:3" ht="16.2" thickBot="1" x14ac:dyDescent="0.35"/>
    <row r="40" spans="1:3" ht="16.2" thickBot="1" x14ac:dyDescent="0.35">
      <c r="A40" s="37" t="s">
        <v>55</v>
      </c>
      <c r="B40" s="38" t="s">
        <v>56</v>
      </c>
      <c r="C40" s="39" t="s">
        <v>57</v>
      </c>
    </row>
    <row r="41" spans="1:3" ht="15" x14ac:dyDescent="0.25">
      <c r="A41" s="1" t="s">
        <v>58</v>
      </c>
      <c r="B41" s="40">
        <v>59.58</v>
      </c>
      <c r="C41" s="40">
        <f>B41/100</f>
        <v>0.5958</v>
      </c>
    </row>
    <row r="42" spans="1:3" ht="15" x14ac:dyDescent="0.25">
      <c r="A42" s="1" t="s">
        <v>59</v>
      </c>
      <c r="B42" s="40">
        <v>25.05</v>
      </c>
      <c r="C42" s="40">
        <f t="shared" ref="C42:C43" si="2">B42/100</f>
        <v>0.2505</v>
      </c>
    </row>
    <row r="43" spans="1:3" thickBot="1" x14ac:dyDescent="0.3">
      <c r="A43" s="1" t="s">
        <v>60</v>
      </c>
      <c r="B43" s="40">
        <v>15.37</v>
      </c>
      <c r="C43" s="40">
        <f t="shared" si="2"/>
        <v>0.1537</v>
      </c>
    </row>
    <row r="44" spans="1:3" thickBot="1" x14ac:dyDescent="0.3">
      <c r="A44" s="41" t="s">
        <v>5</v>
      </c>
      <c r="B44" s="42">
        <f>SUM(B41:B43)</f>
        <v>100</v>
      </c>
      <c r="C44" s="42">
        <f>SUM(C41:C43)</f>
        <v>1</v>
      </c>
    </row>
    <row r="46" spans="1:3" ht="16.2" thickBot="1" x14ac:dyDescent="0.35"/>
    <row r="47" spans="1:3" thickBot="1" x14ac:dyDescent="0.3">
      <c r="A47" s="41" t="s">
        <v>61</v>
      </c>
      <c r="B47" s="43" t="s">
        <v>62</v>
      </c>
      <c r="C47" s="44"/>
    </row>
    <row r="48" spans="1:3" ht="15" x14ac:dyDescent="0.25">
      <c r="A48" s="1" t="s">
        <v>58</v>
      </c>
      <c r="B48" s="45">
        <f>B51*C41</f>
        <v>417135.98684250034</v>
      </c>
      <c r="C48" s="45"/>
    </row>
    <row r="49" spans="1:3" ht="15" x14ac:dyDescent="0.25">
      <c r="A49" s="1" t="s">
        <v>59</v>
      </c>
      <c r="B49" s="45">
        <f>B51*C42</f>
        <v>175381.94814375014</v>
      </c>
      <c r="C49" s="45"/>
    </row>
    <row r="50" spans="1:3" thickBot="1" x14ac:dyDescent="0.3">
      <c r="A50" s="1" t="s">
        <v>60</v>
      </c>
      <c r="B50" s="45">
        <f>B51*C43</f>
        <v>107609.60251375008</v>
      </c>
      <c r="C50" s="45"/>
    </row>
    <row r="51" spans="1:3" thickBot="1" x14ac:dyDescent="0.3">
      <c r="A51" s="41" t="s">
        <v>5</v>
      </c>
      <c r="B51" s="46">
        <f>ABS(C37)</f>
        <v>700127.53750000056</v>
      </c>
      <c r="C51" s="46"/>
    </row>
    <row r="52" spans="1:3" ht="15" x14ac:dyDescent="0.25">
      <c r="A52" s="27"/>
      <c r="B52" s="47"/>
      <c r="C52" s="47"/>
    </row>
  </sheetData>
  <mergeCells count="2">
    <mergeCell ref="A1:B1"/>
    <mergeCell ref="A2:C2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7"/>
  <sheetViews>
    <sheetView topLeftCell="A12" workbookViewId="0">
      <selection activeCell="I31" sqref="I31"/>
    </sheetView>
  </sheetViews>
  <sheetFormatPr defaultColWidth="9.109375" defaultRowHeight="15.6" x14ac:dyDescent="0.3"/>
  <cols>
    <col min="1" max="1" width="40.109375" style="1" bestFit="1" customWidth="1"/>
    <col min="2" max="2" width="24.109375" style="9" bestFit="1" customWidth="1"/>
    <col min="3" max="3" width="20.5546875" bestFit="1" customWidth="1"/>
    <col min="4" max="6" width="9.109375" style="1"/>
    <col min="7" max="7" width="10.6640625" style="1" bestFit="1" customWidth="1"/>
    <col min="8" max="16384" width="9.109375" style="1"/>
  </cols>
  <sheetData>
    <row r="1" spans="1:8" ht="16.2" thickBot="1" x14ac:dyDescent="0.35">
      <c r="A1" s="94"/>
      <c r="B1" s="95"/>
      <c r="C1" s="48"/>
    </row>
    <row r="2" spans="1:8" ht="16.2" thickBot="1" x14ac:dyDescent="0.3">
      <c r="A2" s="91" t="s">
        <v>3</v>
      </c>
      <c r="B2" s="92"/>
      <c r="C2" s="93"/>
    </row>
    <row r="3" spans="1:8" ht="16.2" thickBot="1" x14ac:dyDescent="0.35">
      <c r="A3" s="20"/>
      <c r="B3" s="21"/>
      <c r="C3" s="22"/>
    </row>
    <row r="4" spans="1:8" ht="16.2" thickBot="1" x14ac:dyDescent="0.35">
      <c r="A4" s="10"/>
      <c r="B4" s="11" t="s">
        <v>34</v>
      </c>
      <c r="C4" s="12" t="s">
        <v>35</v>
      </c>
    </row>
    <row r="5" spans="1:8" ht="15" x14ac:dyDescent="0.25">
      <c r="A5" s="20" t="s">
        <v>6</v>
      </c>
      <c r="B5" s="16">
        <v>3000000</v>
      </c>
      <c r="C5" s="23">
        <v>3400000</v>
      </c>
    </row>
    <row r="6" spans="1:8" ht="15" x14ac:dyDescent="0.25">
      <c r="A6" s="20" t="s">
        <v>7</v>
      </c>
      <c r="B6" s="16">
        <v>1035530</v>
      </c>
      <c r="C6" s="23">
        <f>1267469*0.816</f>
        <v>1034254.7039999999</v>
      </c>
    </row>
    <row r="7" spans="1:8" x14ac:dyDescent="0.3">
      <c r="A7" s="24" t="s">
        <v>8</v>
      </c>
      <c r="B7" s="25">
        <f>SUM(B5:B6)</f>
        <v>4035530</v>
      </c>
      <c r="C7" s="50">
        <f>SUM(C5:C6)</f>
        <v>4434254.7039999999</v>
      </c>
      <c r="F7"/>
      <c r="G7"/>
      <c r="H7"/>
    </row>
    <row r="8" spans="1:8" x14ac:dyDescent="0.3">
      <c r="A8" s="20" t="s">
        <v>9</v>
      </c>
      <c r="B8" s="16">
        <v>0</v>
      </c>
      <c r="C8" s="23">
        <f t="shared" ref="C8" si="0">B8/2</f>
        <v>0</v>
      </c>
      <c r="F8"/>
      <c r="G8" s="34"/>
      <c r="H8"/>
    </row>
    <row r="9" spans="1:8" x14ac:dyDescent="0.3">
      <c r="A9" s="20" t="s">
        <v>10</v>
      </c>
      <c r="B9" s="16">
        <v>216092</v>
      </c>
      <c r="C9" s="23">
        <v>0</v>
      </c>
      <c r="F9"/>
      <c r="G9" s="34"/>
      <c r="H9"/>
    </row>
    <row r="10" spans="1:8" x14ac:dyDescent="0.3">
      <c r="A10" s="51" t="s">
        <v>11</v>
      </c>
      <c r="B10" s="52">
        <f t="shared" ref="B10" si="1">SUM(B7:B9)</f>
        <v>4251622</v>
      </c>
      <c r="C10" s="53">
        <f>SUM(C7:C9)</f>
        <v>4434254.7039999999</v>
      </c>
      <c r="F10"/>
      <c r="G10" s="35"/>
      <c r="H10"/>
    </row>
    <row r="11" spans="1:8" ht="15" x14ac:dyDescent="0.25">
      <c r="A11" s="20"/>
      <c r="B11" s="27"/>
      <c r="C11" s="28"/>
    </row>
    <row r="12" spans="1:8" ht="15" x14ac:dyDescent="0.25">
      <c r="A12" s="20"/>
      <c r="B12" s="27"/>
      <c r="C12" s="28"/>
    </row>
    <row r="13" spans="1:8" s="13" customFormat="1" ht="15" x14ac:dyDescent="0.25">
      <c r="A13" s="20" t="s">
        <v>37</v>
      </c>
      <c r="B13" s="16">
        <v>3011544</v>
      </c>
      <c r="C13" s="23">
        <v>3011550</v>
      </c>
      <c r="F13" s="1"/>
    </row>
    <row r="14" spans="1:8" ht="15" x14ac:dyDescent="0.25">
      <c r="A14" s="20" t="s">
        <v>38</v>
      </c>
      <c r="B14" s="16">
        <v>89405</v>
      </c>
      <c r="C14" s="23">
        <v>89405</v>
      </c>
    </row>
    <row r="15" spans="1:8" ht="15" x14ac:dyDescent="0.25">
      <c r="A15" s="54" t="s">
        <v>39</v>
      </c>
      <c r="B15" s="16">
        <v>0</v>
      </c>
      <c r="C15" s="23">
        <f t="shared" ref="C15" si="2">B15/2</f>
        <v>0</v>
      </c>
    </row>
    <row r="16" spans="1:8" s="5" customFormat="1" x14ac:dyDescent="0.3">
      <c r="A16" s="24" t="s">
        <v>15</v>
      </c>
      <c r="B16" s="49">
        <f t="shared" ref="B16" si="3">SUM(B13:B15)</f>
        <v>3100949</v>
      </c>
      <c r="C16" s="30">
        <f>SUM(C13:C15)</f>
        <v>3100955</v>
      </c>
    </row>
    <row r="17" spans="1:3" ht="15" x14ac:dyDescent="0.25">
      <c r="A17" s="20" t="s">
        <v>40</v>
      </c>
      <c r="B17" s="31">
        <v>593078</v>
      </c>
      <c r="C17" s="26">
        <f>C13*0.195</f>
        <v>587252.25</v>
      </c>
    </row>
    <row r="18" spans="1:3" ht="15" x14ac:dyDescent="0.25">
      <c r="A18" s="20" t="s">
        <v>41</v>
      </c>
      <c r="B18" s="31">
        <v>30595</v>
      </c>
      <c r="C18" s="26">
        <f>C14*0.3422</f>
        <v>30594.391</v>
      </c>
    </row>
    <row r="19" spans="1:3" ht="15" x14ac:dyDescent="0.25">
      <c r="A19" s="20" t="s">
        <v>42</v>
      </c>
      <c r="B19" s="31">
        <v>0</v>
      </c>
      <c r="C19" s="26">
        <f>C15*0.195</f>
        <v>0</v>
      </c>
    </row>
    <row r="20" spans="1:3" s="5" customFormat="1" x14ac:dyDescent="0.3">
      <c r="A20" s="24" t="s">
        <v>19</v>
      </c>
      <c r="B20" s="49">
        <f t="shared" ref="B20" si="4">SUM(B17:B19)</f>
        <v>623673</v>
      </c>
      <c r="C20" s="30">
        <f>SUM(C17:C19)</f>
        <v>617846.64099999995</v>
      </c>
    </row>
    <row r="21" spans="1:3" x14ac:dyDescent="0.3">
      <c r="A21" s="24" t="s">
        <v>20</v>
      </c>
      <c r="B21" s="29">
        <f>B16+B20</f>
        <v>3724622</v>
      </c>
      <c r="C21" s="30">
        <f>C16+C20</f>
        <v>3718801.6409999998</v>
      </c>
    </row>
    <row r="22" spans="1:3" x14ac:dyDescent="0.3">
      <c r="A22" s="20"/>
      <c r="B22" s="31"/>
      <c r="C22" s="32"/>
    </row>
    <row r="23" spans="1:3" ht="15" x14ac:dyDescent="0.25">
      <c r="A23" s="20" t="s">
        <v>43</v>
      </c>
      <c r="B23" s="31">
        <v>0</v>
      </c>
      <c r="C23" s="23">
        <f>B23/2</f>
        <v>0</v>
      </c>
    </row>
    <row r="24" spans="1:3" ht="15" x14ac:dyDescent="0.25">
      <c r="A24" s="20" t="s">
        <v>44</v>
      </c>
      <c r="B24" s="31">
        <v>0</v>
      </c>
      <c r="C24" s="23">
        <f t="shared" ref="C24:C31" si="5">B24/2</f>
        <v>0</v>
      </c>
    </row>
    <row r="25" spans="1:3" ht="15" x14ac:dyDescent="0.25">
      <c r="A25" s="20" t="s">
        <v>45</v>
      </c>
      <c r="B25" s="31">
        <v>0</v>
      </c>
      <c r="C25" s="23">
        <f t="shared" si="5"/>
        <v>0</v>
      </c>
    </row>
    <row r="26" spans="1:3" ht="15" x14ac:dyDescent="0.25">
      <c r="A26" s="20" t="s">
        <v>46</v>
      </c>
      <c r="B26" s="31">
        <v>27000</v>
      </c>
      <c r="C26" s="23">
        <v>18537</v>
      </c>
    </row>
    <row r="27" spans="1:3" ht="15" x14ac:dyDescent="0.25">
      <c r="A27" s="20" t="s">
        <v>47</v>
      </c>
      <c r="B27" s="31">
        <v>200000</v>
      </c>
      <c r="C27" s="23">
        <v>56143</v>
      </c>
    </row>
    <row r="28" spans="1:3" ht="15" x14ac:dyDescent="0.25">
      <c r="A28" s="20" t="s">
        <v>48</v>
      </c>
      <c r="B28" s="31">
        <v>75000</v>
      </c>
      <c r="C28" s="23">
        <v>160355</v>
      </c>
    </row>
    <row r="29" spans="1:3" ht="15" x14ac:dyDescent="0.25">
      <c r="A29" s="20" t="s">
        <v>49</v>
      </c>
      <c r="B29" s="31">
        <v>15000</v>
      </c>
      <c r="C29" s="23">
        <v>5503</v>
      </c>
    </row>
    <row r="30" spans="1:3" ht="15" x14ac:dyDescent="0.25">
      <c r="A30" s="20" t="s">
        <v>50</v>
      </c>
      <c r="B30" s="31">
        <v>200000</v>
      </c>
      <c r="C30" s="23">
        <v>63155</v>
      </c>
    </row>
    <row r="31" spans="1:3" ht="15" x14ac:dyDescent="0.25">
      <c r="A31" s="20" t="s">
        <v>51</v>
      </c>
      <c r="B31" s="31">
        <v>0</v>
      </c>
      <c r="C31" s="23">
        <f t="shared" si="5"/>
        <v>0</v>
      </c>
    </row>
    <row r="32" spans="1:3" ht="15" x14ac:dyDescent="0.25">
      <c r="A32" s="20" t="s">
        <v>52</v>
      </c>
      <c r="B32" s="31">
        <v>10000</v>
      </c>
      <c r="C32" s="23">
        <v>0</v>
      </c>
    </row>
    <row r="33" spans="1:3" s="3" customFormat="1" x14ac:dyDescent="0.3">
      <c r="A33" s="24" t="s">
        <v>31</v>
      </c>
      <c r="B33" s="49">
        <f>SUM(B23:B32)</f>
        <v>527000</v>
      </c>
      <c r="C33" s="30">
        <f>SUM(C23:C32)</f>
        <v>303693</v>
      </c>
    </row>
    <row r="34" spans="1:3" thickBot="1" x14ac:dyDescent="0.3">
      <c r="A34" s="20"/>
      <c r="B34" s="31"/>
      <c r="C34" s="28"/>
    </row>
    <row r="35" spans="1:3" ht="16.2" thickBot="1" x14ac:dyDescent="0.35">
      <c r="A35" s="6" t="s">
        <v>32</v>
      </c>
      <c r="B35" s="17">
        <f>B21+B33</f>
        <v>4251622</v>
      </c>
      <c r="C35" s="18">
        <f>C21+C33</f>
        <v>4022494.6409999998</v>
      </c>
    </row>
    <row r="36" spans="1:3" thickBot="1" x14ac:dyDescent="0.3">
      <c r="A36" s="20"/>
      <c r="B36" s="31"/>
      <c r="C36" s="28"/>
    </row>
    <row r="37" spans="1:3" ht="16.2" thickBot="1" x14ac:dyDescent="0.35">
      <c r="A37" s="19" t="s">
        <v>53</v>
      </c>
      <c r="B37" s="33"/>
      <c r="C37" s="8">
        <f>C10-C35</f>
        <v>411760.06300000008</v>
      </c>
    </row>
  </sheetData>
  <mergeCells count="2">
    <mergeCell ref="A1:B1"/>
    <mergeCell ref="A2:C2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7"/>
  <sheetViews>
    <sheetView workbookViewId="0">
      <selection sqref="A1:C37"/>
    </sheetView>
  </sheetViews>
  <sheetFormatPr defaultColWidth="9.109375" defaultRowHeight="15.6" x14ac:dyDescent="0.3"/>
  <cols>
    <col min="1" max="1" width="40.109375" style="1" bestFit="1" customWidth="1"/>
    <col min="2" max="2" width="24.109375" style="9" bestFit="1" customWidth="1"/>
    <col min="3" max="3" width="20.5546875" bestFit="1" customWidth="1"/>
    <col min="4" max="6" width="9.109375" style="1"/>
    <col min="7" max="7" width="12.33203125" style="1" bestFit="1" customWidth="1"/>
    <col min="8" max="16384" width="9.109375" style="1"/>
  </cols>
  <sheetData>
    <row r="1" spans="1:8" ht="16.2" thickBot="1" x14ac:dyDescent="0.35">
      <c r="A1" s="94"/>
      <c r="B1" s="95"/>
      <c r="C1" s="48"/>
    </row>
    <row r="2" spans="1:8" ht="16.2" thickBot="1" x14ac:dyDescent="0.3">
      <c r="A2" s="91" t="s">
        <v>4</v>
      </c>
      <c r="B2" s="92"/>
      <c r="C2" s="93"/>
    </row>
    <row r="3" spans="1:8" ht="16.2" thickBot="1" x14ac:dyDescent="0.35">
      <c r="A3" s="20"/>
      <c r="B3" s="21"/>
      <c r="C3" s="22"/>
    </row>
    <row r="4" spans="1:8" ht="16.2" thickBot="1" x14ac:dyDescent="0.35">
      <c r="A4" s="10"/>
      <c r="B4" s="11" t="s">
        <v>34</v>
      </c>
      <c r="C4" s="12" t="s">
        <v>35</v>
      </c>
    </row>
    <row r="5" spans="1:8" ht="15" x14ac:dyDescent="0.25">
      <c r="A5" s="20" t="s">
        <v>6</v>
      </c>
      <c r="B5" s="16">
        <v>2500000</v>
      </c>
      <c r="C5" s="23">
        <v>3100000</v>
      </c>
    </row>
    <row r="6" spans="1:8" x14ac:dyDescent="0.3">
      <c r="A6" s="20" t="s">
        <v>7</v>
      </c>
      <c r="B6" s="16">
        <v>114432</v>
      </c>
      <c r="C6" s="23">
        <f>1267469*0.09</f>
        <v>114072.20999999999</v>
      </c>
      <c r="F6"/>
      <c r="G6"/>
      <c r="H6"/>
    </row>
    <row r="7" spans="1:8" x14ac:dyDescent="0.3">
      <c r="A7" s="24" t="s">
        <v>8</v>
      </c>
      <c r="B7" s="25">
        <f>SUM(B5:B6)</f>
        <v>2614432</v>
      </c>
      <c r="C7" s="26">
        <f>SUM(C5:C6)</f>
        <v>3214072.21</v>
      </c>
      <c r="F7"/>
      <c r="G7"/>
      <c r="H7"/>
    </row>
    <row r="8" spans="1:8" x14ac:dyDescent="0.3">
      <c r="A8" s="20" t="s">
        <v>9</v>
      </c>
      <c r="B8" s="16">
        <v>0</v>
      </c>
      <c r="C8" s="23">
        <f t="shared" ref="C8:C9" si="0">B8/2</f>
        <v>0</v>
      </c>
      <c r="F8"/>
      <c r="G8" s="34"/>
      <c r="H8"/>
    </row>
    <row r="9" spans="1:8" x14ac:dyDescent="0.3">
      <c r="A9" s="20" t="s">
        <v>10</v>
      </c>
      <c r="B9" s="16">
        <v>0</v>
      </c>
      <c r="C9" s="23">
        <f t="shared" si="0"/>
        <v>0</v>
      </c>
      <c r="F9"/>
      <c r="G9" s="34"/>
      <c r="H9"/>
    </row>
    <row r="10" spans="1:8" x14ac:dyDescent="0.3">
      <c r="A10" s="51" t="s">
        <v>11</v>
      </c>
      <c r="B10" s="52">
        <f>SUM(B7:B8)</f>
        <v>2614432</v>
      </c>
      <c r="C10" s="53">
        <f>SUM(C7:C9)</f>
        <v>3214072.21</v>
      </c>
      <c r="F10"/>
      <c r="G10" s="35"/>
      <c r="H10"/>
    </row>
    <row r="11" spans="1:8" ht="15" x14ac:dyDescent="0.25">
      <c r="A11" s="20"/>
      <c r="B11" s="27"/>
      <c r="C11" s="28"/>
    </row>
    <row r="12" spans="1:8" ht="15" x14ac:dyDescent="0.25">
      <c r="A12" s="20"/>
      <c r="B12" s="27"/>
      <c r="C12" s="28"/>
    </row>
    <row r="13" spans="1:8" s="13" customFormat="1" ht="15" x14ac:dyDescent="0.25">
      <c r="A13" s="20" t="s">
        <v>37</v>
      </c>
      <c r="B13" s="16">
        <v>1741100</v>
      </c>
      <c r="C13" s="23">
        <v>1741101</v>
      </c>
    </row>
    <row r="14" spans="1:8" ht="15" x14ac:dyDescent="0.25">
      <c r="A14" s="20" t="s">
        <v>38</v>
      </c>
      <c r="B14" s="16">
        <v>89405</v>
      </c>
      <c r="C14" s="55">
        <v>89405</v>
      </c>
    </row>
    <row r="15" spans="1:8" ht="15" x14ac:dyDescent="0.25">
      <c r="A15" s="54" t="s">
        <v>39</v>
      </c>
      <c r="B15" s="16">
        <v>0</v>
      </c>
      <c r="C15" s="23">
        <v>0</v>
      </c>
    </row>
    <row r="16" spans="1:8" s="5" customFormat="1" x14ac:dyDescent="0.3">
      <c r="A16" s="24" t="s">
        <v>15</v>
      </c>
      <c r="B16" s="49">
        <f t="shared" ref="B16" si="1">SUM(B13:B15)</f>
        <v>1830505</v>
      </c>
      <c r="C16" s="30">
        <f>SUM(C13:C15)</f>
        <v>1830506</v>
      </c>
    </row>
    <row r="17" spans="1:3" ht="15" x14ac:dyDescent="0.25">
      <c r="A17" s="20" t="s">
        <v>40</v>
      </c>
      <c r="B17" s="31">
        <v>342892</v>
      </c>
      <c r="C17" s="26">
        <f>C13*0.195</f>
        <v>339514.69500000001</v>
      </c>
    </row>
    <row r="18" spans="1:3" ht="15" x14ac:dyDescent="0.25">
      <c r="A18" s="20" t="s">
        <v>41</v>
      </c>
      <c r="B18" s="31">
        <v>30595</v>
      </c>
      <c r="C18" s="26">
        <f>C14*0.3422</f>
        <v>30594.391</v>
      </c>
    </row>
    <row r="19" spans="1:3" ht="15" x14ac:dyDescent="0.25">
      <c r="A19" s="20" t="s">
        <v>42</v>
      </c>
      <c r="B19" s="31">
        <v>0</v>
      </c>
      <c r="C19" s="26">
        <f>C15*0.195</f>
        <v>0</v>
      </c>
    </row>
    <row r="20" spans="1:3" s="5" customFormat="1" x14ac:dyDescent="0.3">
      <c r="A20" s="24" t="s">
        <v>19</v>
      </c>
      <c r="B20" s="49">
        <f t="shared" ref="B20" si="2">SUM(B17:B19)</f>
        <v>373487</v>
      </c>
      <c r="C20" s="30">
        <f>SUM(C17:C19)</f>
        <v>370109.08600000001</v>
      </c>
    </row>
    <row r="21" spans="1:3" x14ac:dyDescent="0.3">
      <c r="A21" s="24" t="s">
        <v>20</v>
      </c>
      <c r="B21" s="29">
        <f>B16+B20</f>
        <v>2203992</v>
      </c>
      <c r="C21" s="30">
        <f>C16+C20</f>
        <v>2200615.0860000001</v>
      </c>
    </row>
    <row r="22" spans="1:3" x14ac:dyDescent="0.3">
      <c r="A22" s="20"/>
      <c r="B22" s="31"/>
      <c r="C22" s="32"/>
    </row>
    <row r="23" spans="1:3" ht="15" x14ac:dyDescent="0.25">
      <c r="A23" s="20" t="s">
        <v>43</v>
      </c>
      <c r="B23" s="31">
        <v>122709</v>
      </c>
      <c r="C23" s="23">
        <f>16003+41692</f>
        <v>57695</v>
      </c>
    </row>
    <row r="24" spans="1:3" ht="15" x14ac:dyDescent="0.25">
      <c r="A24" s="20" t="s">
        <v>44</v>
      </c>
      <c r="B24" s="31">
        <v>0</v>
      </c>
      <c r="C24" s="23">
        <v>0</v>
      </c>
    </row>
    <row r="25" spans="1:3" ht="15" x14ac:dyDescent="0.25">
      <c r="A25" s="20" t="s">
        <v>45</v>
      </c>
      <c r="B25" s="31">
        <v>0</v>
      </c>
      <c r="C25" s="23">
        <f t="shared" ref="C25:C30" si="3">B25/2</f>
        <v>0</v>
      </c>
    </row>
    <row r="26" spans="1:3" ht="15" x14ac:dyDescent="0.25">
      <c r="A26" s="20" t="s">
        <v>46</v>
      </c>
      <c r="B26" s="31">
        <v>27731</v>
      </c>
      <c r="C26" s="23">
        <f>(C23+C30+C29+C25)*0.27</f>
        <v>15577.650000000001</v>
      </c>
    </row>
    <row r="27" spans="1:3" ht="15" x14ac:dyDescent="0.25">
      <c r="A27" s="20" t="s">
        <v>47</v>
      </c>
      <c r="B27" s="31">
        <v>0</v>
      </c>
      <c r="C27" s="23">
        <v>56143</v>
      </c>
    </row>
    <row r="28" spans="1:3" ht="15" x14ac:dyDescent="0.25">
      <c r="A28" s="20" t="s">
        <v>48</v>
      </c>
      <c r="B28" s="31">
        <v>0</v>
      </c>
      <c r="C28" s="23">
        <f t="shared" si="3"/>
        <v>0</v>
      </c>
    </row>
    <row r="29" spans="1:3" ht="15" x14ac:dyDescent="0.25">
      <c r="A29" s="20" t="s">
        <v>49</v>
      </c>
      <c r="B29" s="31">
        <v>0</v>
      </c>
      <c r="C29" s="23">
        <f t="shared" si="3"/>
        <v>0</v>
      </c>
    </row>
    <row r="30" spans="1:3" ht="15" x14ac:dyDescent="0.25">
      <c r="A30" s="20" t="s">
        <v>63</v>
      </c>
      <c r="B30" s="31">
        <v>0</v>
      </c>
      <c r="C30" s="23">
        <f t="shared" si="3"/>
        <v>0</v>
      </c>
    </row>
    <row r="31" spans="1:3" ht="15" x14ac:dyDescent="0.25">
      <c r="A31" s="20" t="s">
        <v>51</v>
      </c>
      <c r="B31" s="31">
        <v>250000</v>
      </c>
      <c r="C31" s="23">
        <v>375000</v>
      </c>
    </row>
    <row r="32" spans="1:3" ht="15" x14ac:dyDescent="0.25">
      <c r="A32" s="20" t="s">
        <v>52</v>
      </c>
      <c r="B32" s="31">
        <v>10000</v>
      </c>
      <c r="C32" s="23">
        <v>0</v>
      </c>
    </row>
    <row r="33" spans="1:3" s="3" customFormat="1" x14ac:dyDescent="0.3">
      <c r="A33" s="24" t="s">
        <v>31</v>
      </c>
      <c r="B33" s="49">
        <f>SUM(B23:B32)</f>
        <v>410440</v>
      </c>
      <c r="C33" s="30">
        <f>SUM(C23:C32)</f>
        <v>504415.65</v>
      </c>
    </row>
    <row r="34" spans="1:3" thickBot="1" x14ac:dyDescent="0.3">
      <c r="A34" s="20"/>
      <c r="B34" s="31"/>
      <c r="C34" s="28"/>
    </row>
    <row r="35" spans="1:3" ht="16.2" thickBot="1" x14ac:dyDescent="0.35">
      <c r="A35" s="6" t="s">
        <v>32</v>
      </c>
      <c r="B35" s="17">
        <f>B21+B33</f>
        <v>2614432</v>
      </c>
      <c r="C35" s="18">
        <f>C21+C33</f>
        <v>2705030.736</v>
      </c>
    </row>
    <row r="36" spans="1:3" thickBot="1" x14ac:dyDescent="0.3">
      <c r="A36" s="20"/>
      <c r="B36" s="31"/>
      <c r="C36" s="28"/>
    </row>
    <row r="37" spans="1:3" ht="16.2" thickBot="1" x14ac:dyDescent="0.35">
      <c r="A37" s="19" t="s">
        <v>53</v>
      </c>
      <c r="B37" s="33"/>
      <c r="C37" s="8">
        <f>C10-C35</f>
        <v>509041.47399999993</v>
      </c>
    </row>
  </sheetData>
  <mergeCells count="2">
    <mergeCell ref="A1:B1"/>
    <mergeCell ref="A2:C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VÖT 2019.</vt:lpstr>
      <vt:lpstr>Hsg 2018. teljesítés</vt:lpstr>
      <vt:lpstr>Szoc.étk. 2018. teljesítés</vt:lpstr>
      <vt:lpstr>Gyejó 2018. teljesítés</vt:lpstr>
      <vt:lpstr>Falugondnoki szolg. 2018. telj.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Jegyzo</dc:creator>
  <cp:lastModifiedBy>Jegyzo</cp:lastModifiedBy>
  <cp:lastPrinted>2019-02-11T11:54:01Z</cp:lastPrinted>
  <dcterms:created xsi:type="dcterms:W3CDTF">2019-01-23T13:28:58Z</dcterms:created>
  <dcterms:modified xsi:type="dcterms:W3CDTF">2020-06-23T12:51:17Z</dcterms:modified>
</cp:coreProperties>
</file>