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vél - ktg.-vetés, zárás\2019\ZÁRÁS\"/>
    </mc:Choice>
  </mc:AlternateContent>
  <xr:revisionPtr revIDLastSave="0" documentId="13_ncr:1_{9A20863D-C243-4AF2-8A87-670FA32ED06B}" xr6:coauthVersionLast="45" xr6:coauthVersionMax="45" xr10:uidLastSave="{00000000-0000-0000-0000-000000000000}"/>
  <bookViews>
    <workbookView xWindow="-60" yWindow="-60" windowWidth="28920" windowHeight="15660" tabRatio="894" firstSheet="3" activeTab="10" xr2:uid="{00000000-000D-0000-FFFF-FFFF00000000}"/>
  </bookViews>
  <sheets>
    <sheet name="Ktvetési mérleg - 1. mell." sheetId="128" r:id="rId1"/>
    <sheet name="Műk-felh.mérleg - 2. mell." sheetId="139" r:id="rId2"/>
    <sheet name="Bevétel össz. - 3. mell." sheetId="92" r:id="rId3"/>
    <sheet name="Kiadás össz. - 4. mell." sheetId="134" r:id="rId4"/>
    <sheet name="Állami - 5. mell." sheetId="91" r:id="rId5"/>
    <sheet name="Ber.-felú. - 6. mell." sheetId="97" r:id="rId6"/>
    <sheet name="Pénze.átadás - 7. mell." sheetId="95" r:id="rId7"/>
    <sheet name="Szoc.jutt. - 8. mell." sheetId="94" r:id="rId8"/>
    <sheet name="Önkormányzat - 9. mell." sheetId="144" r:id="rId9"/>
    <sheet name="Óvoda - 10. mell." sheetId="132" r:id="rId10"/>
    <sheet name="11 Élelm." sheetId="146" r:id="rId11"/>
    <sheet name="12 Létszám" sheetId="147" r:id="rId12"/>
    <sheet name="13 EI-felh. terv" sheetId="148" r:id="rId13"/>
    <sheet name="14 Címrend" sheetId="149" r:id="rId14"/>
    <sheet name="15 gördülő" sheetId="150" r:id="rId15"/>
    <sheet name="16 stab.tv saját bevétel" sheetId="151" r:id="rId16"/>
    <sheet name="17 ÖNK - maradványkimutatás" sheetId="154" r:id="rId17"/>
    <sheet name="18 ÓVODA - maradványkimutatás" sheetId="155" r:id="rId18"/>
    <sheet name="19 ÖNK - mérleg" sheetId="159" r:id="rId19"/>
    <sheet name="20 ÓVODA - mérleg" sheetId="160" r:id="rId20"/>
    <sheet name="21 konsz. mérleg" sheetId="152" r:id="rId21"/>
    <sheet name="22 konsz. eredménykimutatás" sheetId="153" r:id="rId22"/>
  </sheets>
  <externalReferences>
    <externalReference r:id="rId23"/>
    <externalReference r:id="rId24"/>
  </externalReferences>
  <definedNames>
    <definedName name="_xlnm._FilterDatabase" localSheetId="20" hidden="1">'21 konsz. mérleg'!$A$1:$D$25</definedName>
    <definedName name="_xlnm._FilterDatabase" localSheetId="4" hidden="1">'Állami - 5. mell.'!$A$1:$J$34</definedName>
    <definedName name="_xlnm._FilterDatabase" localSheetId="5" hidden="1">'Ber.-felú. - 6. mell.'!$A$1:$J$62</definedName>
    <definedName name="_xlnm._FilterDatabase" localSheetId="2" hidden="1">'Bevétel össz. - 3. mell.'!$A$1:$Z$59</definedName>
    <definedName name="_xlnm._FilterDatabase" localSheetId="3" hidden="1">'Kiadás össz. - 4. mell.'!$A$1:$Z$24</definedName>
    <definedName name="_xlnm._FilterDatabase" localSheetId="0" hidden="1">'Ktvetési mérleg - 1. mell.'!$A$1:$N$37</definedName>
    <definedName name="_xlnm._FilterDatabase" localSheetId="1" hidden="1">'Műk-felh.mérleg - 2. mell.'!$A$1:$N$30</definedName>
    <definedName name="_xlnm._FilterDatabase" localSheetId="9" hidden="1">'Óvoda - 10. mell.'!$A$1:$J$141</definedName>
    <definedName name="_xlnm._FilterDatabase" localSheetId="8" hidden="1">'Önkormányzat - 9. mell.'!$A$1:$AY$141</definedName>
    <definedName name="_xlnm._FilterDatabase" localSheetId="6" hidden="1">'Pénze.átadás - 7. mell.'!$A$1:$J$36</definedName>
    <definedName name="_xlnm._FilterDatabase" localSheetId="7" hidden="1">'Szoc.jutt. - 8. mell.'!$A$1:$J$28</definedName>
    <definedName name="_xlnm.Print_Titles" localSheetId="8">'Önkormányzat - 9. mell.'!$1:$3</definedName>
    <definedName name="_xlnm.Print_Area" localSheetId="10">'11 Élelm.'!$A$1:$M$58</definedName>
    <definedName name="_xlnm.Print_Area" localSheetId="11">'12 Létszám'!$A$1:$D$13</definedName>
    <definedName name="_xlnm.Print_Area" localSheetId="12">'13 EI-felh. terv'!$A$1:$N$36</definedName>
    <definedName name="_xlnm.Print_Area" localSheetId="13">'14 Címrend'!$A$1:$C$8</definedName>
    <definedName name="_xlnm.Print_Area" localSheetId="14">'15 gördülő'!$A$1:$E$41</definedName>
    <definedName name="_xlnm.Print_Area" localSheetId="15">'16 stab.tv saját bevétel'!$A$1:$J$16</definedName>
    <definedName name="_xlnm.Print_Area" localSheetId="16">'17 ÖNK - maradványkimutatás'!$A$1:$B$11</definedName>
    <definedName name="_xlnm.Print_Area" localSheetId="17">'18 ÓVODA - maradványkimutatás'!$A$1:$B$10</definedName>
    <definedName name="_xlnm.Print_Area" localSheetId="18">'19 ÖNK - mérleg'!$A$1:$D$69</definedName>
    <definedName name="_xlnm.Print_Area" localSheetId="19">'20 ÓVODA - mérleg'!$A$1:$D$19</definedName>
    <definedName name="_xlnm.Print_Area" localSheetId="20">'21 konsz. mérleg'!$A$1:$D$25</definedName>
    <definedName name="_xlnm.Print_Area" localSheetId="21">'22 konsz. eredménykimutatás'!$A$1:$D$25</definedName>
    <definedName name="_xlnm.Print_Area" localSheetId="4">'Állami - 5. mell.'!$A$1:$J$34</definedName>
    <definedName name="_xlnm.Print_Area" localSheetId="5">'Ber.-felú. - 6. mell.'!$A$1:$J$60</definedName>
    <definedName name="_xlnm.Print_Area" localSheetId="2">'Bevétel össz. - 3. mell.'!$A$1:$Z$59</definedName>
    <definedName name="_xlnm.Print_Area" localSheetId="3">'Kiadás össz. - 4. mell.'!$A$1:$Z$27</definedName>
    <definedName name="_xlnm.Print_Area" localSheetId="0">'Ktvetési mérleg - 1. mell.'!$A$1:$N$37</definedName>
    <definedName name="_xlnm.Print_Area" localSheetId="1">'Műk-felh.mérleg - 2. mell.'!$A$1:$N$30</definedName>
    <definedName name="_xlnm.Print_Area" localSheetId="9">'Óvoda - 10. mell.'!$A$1:$J$141</definedName>
    <definedName name="_xlnm.Print_Area" localSheetId="8">'Önkormányzat - 9. mell.'!$A$1:$AY$141</definedName>
    <definedName name="_xlnm.Print_Area" localSheetId="6">'Pénze.átadás - 7. mell.'!$A$1:$J$36</definedName>
    <definedName name="_xlnm.Print_Area" localSheetId="7">'Szoc.jutt. - 8. mell.'!$A$1:$J$28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95" l="1"/>
  <c r="H13" i="95"/>
  <c r="G13" i="95"/>
  <c r="F13" i="95"/>
  <c r="E13" i="95"/>
  <c r="D13" i="95"/>
  <c r="C13" i="95"/>
  <c r="J12" i="95"/>
  <c r="D12" i="95"/>
  <c r="I74" i="144" l="1"/>
  <c r="H74" i="144"/>
  <c r="I72" i="144"/>
  <c r="H72" i="144"/>
  <c r="I55" i="97"/>
  <c r="H55" i="97"/>
  <c r="G55" i="97"/>
  <c r="F55" i="97"/>
  <c r="E55" i="97"/>
  <c r="D55" i="97"/>
  <c r="C55" i="97"/>
  <c r="J54" i="97"/>
  <c r="J55" i="97" l="1"/>
  <c r="J92" i="144" l="1"/>
  <c r="N32" i="128" l="1"/>
  <c r="N31" i="128"/>
  <c r="N29" i="128"/>
  <c r="N28" i="128"/>
  <c r="N27" i="128"/>
  <c r="N26" i="128"/>
  <c r="N25" i="128"/>
  <c r="N24" i="128"/>
  <c r="N21" i="128"/>
  <c r="N20" i="128"/>
  <c r="N19" i="128"/>
  <c r="N13" i="128"/>
  <c r="N12" i="128"/>
  <c r="G36" i="128"/>
  <c r="N29" i="139"/>
  <c r="N19" i="139"/>
  <c r="N16" i="139"/>
  <c r="N13" i="139"/>
  <c r="G29" i="139"/>
  <c r="G16" i="139"/>
  <c r="G13" i="139"/>
  <c r="G12" i="139"/>
  <c r="G6" i="139"/>
  <c r="J136" i="132"/>
  <c r="J135" i="132"/>
  <c r="J134" i="132"/>
  <c r="J133" i="132"/>
  <c r="J130" i="132"/>
  <c r="J129" i="132"/>
  <c r="J127" i="132"/>
  <c r="J126" i="132"/>
  <c r="J124" i="132"/>
  <c r="J123" i="132"/>
  <c r="J121" i="132"/>
  <c r="J120" i="132"/>
  <c r="J119" i="132"/>
  <c r="J118" i="132"/>
  <c r="J117" i="132"/>
  <c r="J116" i="132"/>
  <c r="J115" i="132"/>
  <c r="J114" i="132"/>
  <c r="J113" i="132"/>
  <c r="J112" i="132"/>
  <c r="J110" i="132"/>
  <c r="J109" i="132"/>
  <c r="J108" i="132"/>
  <c r="J106" i="132"/>
  <c r="J105" i="132"/>
  <c r="J104" i="132"/>
  <c r="J102" i="132"/>
  <c r="J101" i="132"/>
  <c r="J100" i="132"/>
  <c r="J98" i="132"/>
  <c r="J97" i="132"/>
  <c r="J94" i="132"/>
  <c r="J93" i="132"/>
  <c r="J92" i="132"/>
  <c r="J91" i="132"/>
  <c r="J90" i="132"/>
  <c r="J88" i="132"/>
  <c r="J87" i="132"/>
  <c r="J86" i="132"/>
  <c r="J85" i="132"/>
  <c r="J84" i="132"/>
  <c r="J83" i="132"/>
  <c r="J79" i="132"/>
  <c r="J78" i="132"/>
  <c r="J77" i="132"/>
  <c r="J74" i="132"/>
  <c r="J73" i="132"/>
  <c r="J72" i="132"/>
  <c r="J71" i="132"/>
  <c r="J70" i="132"/>
  <c r="J68" i="132"/>
  <c r="J67" i="132"/>
  <c r="J66" i="132"/>
  <c r="J65" i="132"/>
  <c r="J64" i="132"/>
  <c r="J63" i="132"/>
  <c r="J60" i="132"/>
  <c r="J59" i="132"/>
  <c r="J58" i="132"/>
  <c r="J57" i="132"/>
  <c r="J56" i="132"/>
  <c r="J54" i="132"/>
  <c r="J53" i="132"/>
  <c r="J51" i="132"/>
  <c r="J50" i="132"/>
  <c r="J49" i="132"/>
  <c r="J48" i="132"/>
  <c r="J47" i="132"/>
  <c r="J46" i="132"/>
  <c r="J45" i="132"/>
  <c r="J43" i="132"/>
  <c r="J42" i="132"/>
  <c r="J39" i="132"/>
  <c r="J38" i="132"/>
  <c r="J37" i="132"/>
  <c r="J36" i="132"/>
  <c r="J35" i="132"/>
  <c r="J34" i="132"/>
  <c r="J32" i="132"/>
  <c r="J31" i="132"/>
  <c r="J30" i="132"/>
  <c r="J29" i="132"/>
  <c r="J27" i="132"/>
  <c r="J26" i="132"/>
  <c r="J25" i="132"/>
  <c r="J24" i="132"/>
  <c r="J23" i="132"/>
  <c r="J20" i="132"/>
  <c r="J19" i="132"/>
  <c r="J18" i="132"/>
  <c r="J16" i="132"/>
  <c r="J15" i="132"/>
  <c r="J14" i="132"/>
  <c r="J13" i="132"/>
  <c r="J12" i="132"/>
  <c r="J11" i="132"/>
  <c r="J10" i="132"/>
  <c r="J9" i="132"/>
  <c r="J8" i="132"/>
  <c r="J7" i="132"/>
  <c r="J6" i="132"/>
  <c r="J5" i="132"/>
  <c r="J4" i="132"/>
  <c r="V42" i="92"/>
  <c r="V41" i="92"/>
  <c r="V40" i="92"/>
  <c r="V39" i="92"/>
  <c r="V38" i="92"/>
  <c r="V37" i="92"/>
  <c r="V36" i="92"/>
  <c r="V35" i="92"/>
  <c r="V34" i="92"/>
  <c r="V21" i="92"/>
  <c r="V57" i="92"/>
  <c r="V56" i="92"/>
  <c r="V55" i="92"/>
  <c r="V54" i="92"/>
  <c r="V51" i="92"/>
  <c r="V50" i="92"/>
  <c r="V48" i="92"/>
  <c r="V47" i="92"/>
  <c r="V45" i="92"/>
  <c r="V44" i="92"/>
  <c r="V31" i="92"/>
  <c r="V30" i="92"/>
  <c r="V29" i="92"/>
  <c r="V27" i="92"/>
  <c r="V26" i="92"/>
  <c r="V25" i="92"/>
  <c r="V23" i="92"/>
  <c r="V22" i="92"/>
  <c r="V24" i="92" s="1"/>
  <c r="V19" i="92"/>
  <c r="V18" i="92"/>
  <c r="V15" i="92"/>
  <c r="V14" i="92"/>
  <c r="V13" i="92"/>
  <c r="V12" i="92"/>
  <c r="V11" i="92"/>
  <c r="V9" i="92"/>
  <c r="V8" i="92"/>
  <c r="V7" i="92"/>
  <c r="V6" i="92"/>
  <c r="V5" i="92"/>
  <c r="V4" i="92"/>
  <c r="I103" i="132"/>
  <c r="H103" i="132"/>
  <c r="J103" i="132" s="1"/>
  <c r="G103" i="132"/>
  <c r="F103" i="132"/>
  <c r="E103" i="132"/>
  <c r="C103" i="132"/>
  <c r="AX103" i="144"/>
  <c r="AW103" i="144"/>
  <c r="AV103" i="144"/>
  <c r="AU103" i="144"/>
  <c r="AT103" i="144"/>
  <c r="AS103" i="144"/>
  <c r="AR103" i="144"/>
  <c r="AQ103" i="144"/>
  <c r="AP103" i="144"/>
  <c r="AO103" i="144"/>
  <c r="AN103" i="144"/>
  <c r="AM103" i="144"/>
  <c r="AL103" i="144"/>
  <c r="AK103" i="144"/>
  <c r="AJ103" i="144"/>
  <c r="AI103" i="144"/>
  <c r="AH103" i="144"/>
  <c r="AG103" i="144"/>
  <c r="AF103" i="144"/>
  <c r="AE103" i="144"/>
  <c r="AD103" i="144"/>
  <c r="AC103" i="144"/>
  <c r="AB103" i="144"/>
  <c r="AA103" i="144"/>
  <c r="Z103" i="144"/>
  <c r="Y103" i="144"/>
  <c r="X103" i="144"/>
  <c r="W103" i="144"/>
  <c r="V103" i="144"/>
  <c r="U103" i="144"/>
  <c r="T103" i="144"/>
  <c r="S103" i="144"/>
  <c r="R103" i="144"/>
  <c r="Q103" i="144"/>
  <c r="P103" i="144"/>
  <c r="O103" i="144"/>
  <c r="N103" i="144"/>
  <c r="M103" i="144"/>
  <c r="L103" i="144"/>
  <c r="H103" i="144"/>
  <c r="G103" i="144"/>
  <c r="F103" i="144"/>
  <c r="E103" i="144"/>
  <c r="C103" i="144"/>
  <c r="AX33" i="144" l="1"/>
  <c r="AW33" i="144"/>
  <c r="AV33" i="144"/>
  <c r="AU33" i="144"/>
  <c r="AT33" i="144"/>
  <c r="AS33" i="144"/>
  <c r="AR33" i="144"/>
  <c r="AQ33" i="144"/>
  <c r="AP33" i="144"/>
  <c r="AO33" i="144"/>
  <c r="AN33" i="144"/>
  <c r="AM33" i="144"/>
  <c r="AL33" i="144"/>
  <c r="AK33" i="144"/>
  <c r="AJ33" i="144"/>
  <c r="AI33" i="144"/>
  <c r="AH33" i="144"/>
  <c r="AG33" i="144"/>
  <c r="AF33" i="144"/>
  <c r="AE33" i="144"/>
  <c r="AD33" i="144"/>
  <c r="AC33" i="144"/>
  <c r="AB33" i="144"/>
  <c r="AA33" i="144"/>
  <c r="Z33" i="144"/>
  <c r="Y33" i="144"/>
  <c r="X33" i="144"/>
  <c r="W33" i="144"/>
  <c r="V33" i="144"/>
  <c r="U33" i="144"/>
  <c r="T33" i="144"/>
  <c r="S33" i="144"/>
  <c r="R33" i="144"/>
  <c r="Q33" i="144"/>
  <c r="P33" i="144"/>
  <c r="O33" i="144"/>
  <c r="N33" i="144"/>
  <c r="M33" i="144"/>
  <c r="L33" i="144"/>
  <c r="H33" i="144"/>
  <c r="G33" i="144"/>
  <c r="F33" i="144"/>
  <c r="E33" i="144"/>
  <c r="AY136" i="144"/>
  <c r="AY135" i="144"/>
  <c r="AY134" i="144"/>
  <c r="AY133" i="144"/>
  <c r="AY130" i="144"/>
  <c r="AY129" i="144"/>
  <c r="AY127" i="144"/>
  <c r="AY126" i="144"/>
  <c r="AY124" i="144"/>
  <c r="AY123" i="144"/>
  <c r="AY121" i="144"/>
  <c r="AY120" i="144"/>
  <c r="AY119" i="144"/>
  <c r="AY118" i="144"/>
  <c r="AY117" i="144"/>
  <c r="AY116" i="144"/>
  <c r="AY115" i="144"/>
  <c r="AY114" i="144"/>
  <c r="AY113" i="144"/>
  <c r="AY110" i="144"/>
  <c r="AY109" i="144"/>
  <c r="AY108" i="144"/>
  <c r="AY106" i="144"/>
  <c r="AY105" i="144"/>
  <c r="AY104" i="144"/>
  <c r="AY101" i="144"/>
  <c r="AY102" i="144"/>
  <c r="AY100" i="144"/>
  <c r="AY98" i="144"/>
  <c r="AY97" i="144"/>
  <c r="AY94" i="144"/>
  <c r="AY93" i="144"/>
  <c r="AY92" i="144"/>
  <c r="AY91" i="144"/>
  <c r="AY90" i="144"/>
  <c r="AY88" i="144"/>
  <c r="AY87" i="144"/>
  <c r="AY86" i="144"/>
  <c r="AY85" i="144"/>
  <c r="AY84" i="144"/>
  <c r="AY83" i="144"/>
  <c r="AY79" i="144"/>
  <c r="AY78" i="144"/>
  <c r="AY77" i="144"/>
  <c r="AY74" i="144"/>
  <c r="AY73" i="144"/>
  <c r="AY72" i="144"/>
  <c r="AY71" i="144"/>
  <c r="AY70" i="144"/>
  <c r="AY68" i="144"/>
  <c r="AY67" i="144"/>
  <c r="AY66" i="144"/>
  <c r="AY65" i="144"/>
  <c r="AY64" i="144"/>
  <c r="AY63" i="144"/>
  <c r="AY60" i="144"/>
  <c r="AY59" i="144"/>
  <c r="AY58" i="144"/>
  <c r="AY57" i="144"/>
  <c r="AY56" i="144"/>
  <c r="AY54" i="144"/>
  <c r="AY53" i="144"/>
  <c r="AY51" i="144"/>
  <c r="AY50" i="144"/>
  <c r="AY49" i="144"/>
  <c r="AY48" i="144"/>
  <c r="AY47" i="144"/>
  <c r="AY46" i="144"/>
  <c r="AY45" i="144"/>
  <c r="AY43" i="144"/>
  <c r="AY42" i="144"/>
  <c r="AY39" i="144"/>
  <c r="AY38" i="144"/>
  <c r="AY37" i="144"/>
  <c r="AY36" i="144"/>
  <c r="AY35" i="144"/>
  <c r="AY34" i="144"/>
  <c r="AY32" i="144"/>
  <c r="AY31" i="144"/>
  <c r="AY30" i="144"/>
  <c r="AY29" i="144"/>
  <c r="AY27" i="144"/>
  <c r="AY26" i="144"/>
  <c r="AY25" i="144"/>
  <c r="AY24" i="144"/>
  <c r="AY23" i="144"/>
  <c r="AY20" i="144"/>
  <c r="AY19" i="144"/>
  <c r="AY18" i="144"/>
  <c r="AY16" i="144"/>
  <c r="AY15" i="144"/>
  <c r="AY14" i="144"/>
  <c r="AY13" i="144"/>
  <c r="AY12" i="144"/>
  <c r="AY11" i="144"/>
  <c r="AY10" i="144"/>
  <c r="AY9" i="144"/>
  <c r="AY8" i="144"/>
  <c r="AY7" i="144"/>
  <c r="AY6" i="144"/>
  <c r="AY5" i="144"/>
  <c r="AY4" i="144"/>
  <c r="J26" i="95" l="1"/>
  <c r="I32" i="97"/>
  <c r="J57" i="97"/>
  <c r="J56" i="97"/>
  <c r="I58" i="97"/>
  <c r="I59" i="97" s="1"/>
  <c r="J59" i="97" s="1"/>
  <c r="H58" i="97"/>
  <c r="H59" i="97" s="1"/>
  <c r="G58" i="97"/>
  <c r="G59" i="97" s="1"/>
  <c r="F58" i="97"/>
  <c r="F59" i="97" s="1"/>
  <c r="E58" i="97"/>
  <c r="E59" i="97" s="1"/>
  <c r="D58" i="97"/>
  <c r="D59" i="97" s="1"/>
  <c r="C58" i="97"/>
  <c r="C59" i="97" s="1"/>
  <c r="I49" i="97"/>
  <c r="H49" i="97"/>
  <c r="G49" i="97"/>
  <c r="F49" i="97"/>
  <c r="C49" i="97"/>
  <c r="J48" i="97"/>
  <c r="J47" i="97"/>
  <c r="J46" i="97"/>
  <c r="J45" i="97"/>
  <c r="J30" i="97"/>
  <c r="D13" i="97"/>
  <c r="I17" i="97"/>
  <c r="H17" i="97"/>
  <c r="G17" i="97"/>
  <c r="F17" i="97"/>
  <c r="E17" i="97"/>
  <c r="C17" i="97"/>
  <c r="J16" i="97"/>
  <c r="D16" i="97"/>
  <c r="D94" i="132"/>
  <c r="D93" i="132"/>
  <c r="D92" i="132"/>
  <c r="D91" i="132"/>
  <c r="G28" i="144"/>
  <c r="J44" i="97"/>
  <c r="J43" i="97"/>
  <c r="D44" i="97"/>
  <c r="D43" i="97"/>
  <c r="S9" i="92"/>
  <c r="S8" i="92"/>
  <c r="S7" i="92"/>
  <c r="S6" i="92"/>
  <c r="S5" i="92"/>
  <c r="P9" i="92"/>
  <c r="P8" i="92"/>
  <c r="P7" i="92"/>
  <c r="P6" i="92"/>
  <c r="P5" i="92"/>
  <c r="M9" i="92"/>
  <c r="M8" i="92"/>
  <c r="M7" i="92"/>
  <c r="M6" i="92"/>
  <c r="M5" i="92"/>
  <c r="J9" i="92"/>
  <c r="J8" i="92"/>
  <c r="J7" i="92"/>
  <c r="J6" i="92"/>
  <c r="J5" i="92"/>
  <c r="D9" i="92"/>
  <c r="D8" i="92"/>
  <c r="D7" i="92"/>
  <c r="D6" i="92"/>
  <c r="D5" i="92"/>
  <c r="F14" i="139" l="1"/>
  <c r="E14" i="139"/>
  <c r="D14" i="139"/>
  <c r="V58" i="92"/>
  <c r="V52" i="92"/>
  <c r="Y52" i="92" s="1"/>
  <c r="V49" i="92"/>
  <c r="Y49" i="92" s="1"/>
  <c r="V46" i="92"/>
  <c r="Y46" i="92" s="1"/>
  <c r="V43" i="92"/>
  <c r="V20" i="92"/>
  <c r="Y20" i="92" s="1"/>
  <c r="V32" i="92"/>
  <c r="Y32" i="92" s="1"/>
  <c r="V28" i="92"/>
  <c r="Y28" i="92" s="1"/>
  <c r="V16" i="92"/>
  <c r="V10" i="92"/>
  <c r="Y10" i="92" s="1"/>
  <c r="Y57" i="92"/>
  <c r="Y54" i="92"/>
  <c r="Y51" i="92"/>
  <c r="Y50" i="92"/>
  <c r="Y48" i="92"/>
  <c r="Y47" i="92"/>
  <c r="Y45" i="92"/>
  <c r="Y44" i="92"/>
  <c r="Y41" i="92"/>
  <c r="Y40" i="92"/>
  <c r="Y39" i="92"/>
  <c r="Y37" i="92"/>
  <c r="Y36" i="92"/>
  <c r="Y35" i="92"/>
  <c r="Y34" i="92"/>
  <c r="Y31" i="92"/>
  <c r="Y30" i="92"/>
  <c r="Y29" i="92"/>
  <c r="Y27" i="92"/>
  <c r="Y26" i="92"/>
  <c r="Y25" i="92"/>
  <c r="Y22" i="92"/>
  <c r="Y23" i="92"/>
  <c r="Y21" i="92"/>
  <c r="Y19" i="92"/>
  <c r="Y18" i="92"/>
  <c r="Y15" i="92"/>
  <c r="Y14" i="92"/>
  <c r="Y13" i="92"/>
  <c r="Y12" i="92"/>
  <c r="Y11" i="92"/>
  <c r="Y9" i="92"/>
  <c r="Y8" i="92"/>
  <c r="Y7" i="92"/>
  <c r="Y6" i="92"/>
  <c r="Y5" i="92"/>
  <c r="Y4" i="92"/>
  <c r="S57" i="92"/>
  <c r="R57" i="92"/>
  <c r="S56" i="92"/>
  <c r="Y56" i="92" s="1"/>
  <c r="R56" i="92"/>
  <c r="S55" i="92"/>
  <c r="Y55" i="92" s="1"/>
  <c r="R55" i="92"/>
  <c r="S54" i="92"/>
  <c r="S58" i="92" s="1"/>
  <c r="R54" i="92"/>
  <c r="R58" i="92" s="1"/>
  <c r="S51" i="92"/>
  <c r="R51" i="92"/>
  <c r="S50" i="92"/>
  <c r="S52" i="92" s="1"/>
  <c r="R50" i="92"/>
  <c r="R52" i="92" s="1"/>
  <c r="S48" i="92"/>
  <c r="R48" i="92"/>
  <c r="S47" i="92"/>
  <c r="S49" i="92" s="1"/>
  <c r="R47" i="92"/>
  <c r="R49" i="92" s="1"/>
  <c r="S45" i="92"/>
  <c r="R45" i="92"/>
  <c r="S44" i="92"/>
  <c r="S46" i="92" s="1"/>
  <c r="R44" i="92"/>
  <c r="R46" i="92" s="1"/>
  <c r="S42" i="92"/>
  <c r="Y42" i="92" s="1"/>
  <c r="R42" i="92"/>
  <c r="S41" i="92"/>
  <c r="R41" i="92"/>
  <c r="X41" i="92" s="1"/>
  <c r="S40" i="92"/>
  <c r="R40" i="92"/>
  <c r="X40" i="92" s="1"/>
  <c r="S39" i="92"/>
  <c r="R39" i="92"/>
  <c r="S38" i="92"/>
  <c r="Y38" i="92" s="1"/>
  <c r="R38" i="92"/>
  <c r="S37" i="92"/>
  <c r="R37" i="92"/>
  <c r="S36" i="92"/>
  <c r="R36" i="92"/>
  <c r="S35" i="92"/>
  <c r="R35" i="92"/>
  <c r="S34" i="92"/>
  <c r="R34" i="92"/>
  <c r="S31" i="92"/>
  <c r="R31" i="92"/>
  <c r="S30" i="92"/>
  <c r="R30" i="92"/>
  <c r="S29" i="92"/>
  <c r="S32" i="92" s="1"/>
  <c r="R29" i="92"/>
  <c r="R32" i="92" s="1"/>
  <c r="S27" i="92"/>
  <c r="R27" i="92"/>
  <c r="S26" i="92"/>
  <c r="R26" i="92"/>
  <c r="S25" i="92"/>
  <c r="R25" i="92"/>
  <c r="S22" i="92"/>
  <c r="R22" i="92"/>
  <c r="S23" i="92"/>
  <c r="R23" i="92"/>
  <c r="S21" i="92"/>
  <c r="R21" i="92"/>
  <c r="S19" i="92"/>
  <c r="R19" i="92"/>
  <c r="S18" i="92"/>
  <c r="S20" i="92" s="1"/>
  <c r="R18" i="92"/>
  <c r="R20" i="92" s="1"/>
  <c r="S15" i="92"/>
  <c r="R15" i="92"/>
  <c r="S14" i="92"/>
  <c r="R14" i="92"/>
  <c r="S13" i="92"/>
  <c r="R13" i="92"/>
  <c r="S12" i="92"/>
  <c r="R12" i="92"/>
  <c r="S11" i="92"/>
  <c r="R11" i="92"/>
  <c r="S4" i="92"/>
  <c r="S10" i="92" s="1"/>
  <c r="P57" i="92"/>
  <c r="O57" i="92"/>
  <c r="P56" i="92"/>
  <c r="O56" i="92"/>
  <c r="P55" i="92"/>
  <c r="O55" i="92"/>
  <c r="P54" i="92"/>
  <c r="O54" i="92"/>
  <c r="O58" i="92" s="1"/>
  <c r="P51" i="92"/>
  <c r="O51" i="92"/>
  <c r="P50" i="92"/>
  <c r="O50" i="92"/>
  <c r="O52" i="92" s="1"/>
  <c r="P48" i="92"/>
  <c r="O48" i="92"/>
  <c r="P47" i="92"/>
  <c r="O47" i="92"/>
  <c r="O49" i="92" s="1"/>
  <c r="P45" i="92"/>
  <c r="O45" i="92"/>
  <c r="P44" i="92"/>
  <c r="O44" i="92"/>
  <c r="O46" i="92" s="1"/>
  <c r="P42" i="92"/>
  <c r="O42" i="92"/>
  <c r="P41" i="92"/>
  <c r="O41" i="92"/>
  <c r="P40" i="92"/>
  <c r="O40" i="92"/>
  <c r="P39" i="92"/>
  <c r="O39" i="92"/>
  <c r="P38" i="92"/>
  <c r="O38" i="92"/>
  <c r="P37" i="92"/>
  <c r="O37" i="92"/>
  <c r="P36" i="92"/>
  <c r="O36" i="92"/>
  <c r="P35" i="92"/>
  <c r="O35" i="92"/>
  <c r="P34" i="92"/>
  <c r="P43" i="92" s="1"/>
  <c r="O34" i="92"/>
  <c r="P31" i="92"/>
  <c r="O31" i="92"/>
  <c r="P30" i="92"/>
  <c r="O30" i="92"/>
  <c r="P29" i="92"/>
  <c r="O29" i="92"/>
  <c r="O32" i="92" s="1"/>
  <c r="P27" i="92"/>
  <c r="O27" i="92"/>
  <c r="P26" i="92"/>
  <c r="O26" i="92"/>
  <c r="P25" i="92"/>
  <c r="P28" i="92" s="1"/>
  <c r="O25" i="92"/>
  <c r="P22" i="92"/>
  <c r="O22" i="92"/>
  <c r="P23" i="92"/>
  <c r="O23" i="92"/>
  <c r="P21" i="92"/>
  <c r="O21" i="92"/>
  <c r="P19" i="92"/>
  <c r="O19" i="92"/>
  <c r="P18" i="92"/>
  <c r="O18" i="92"/>
  <c r="O20" i="92" s="1"/>
  <c r="P15" i="92"/>
  <c r="O15" i="92"/>
  <c r="P14" i="92"/>
  <c r="O14" i="92"/>
  <c r="P13" i="92"/>
  <c r="O13" i="92"/>
  <c r="P12" i="92"/>
  <c r="O12" i="92"/>
  <c r="P11" i="92"/>
  <c r="P16" i="92" s="1"/>
  <c r="O11" i="92"/>
  <c r="P4" i="92"/>
  <c r="P10" i="92" s="1"/>
  <c r="M57" i="92"/>
  <c r="L57" i="92"/>
  <c r="M56" i="92"/>
  <c r="L56" i="92"/>
  <c r="M55" i="92"/>
  <c r="L55" i="92"/>
  <c r="M54" i="92"/>
  <c r="L54" i="92"/>
  <c r="M51" i="92"/>
  <c r="L51" i="92"/>
  <c r="M50" i="92"/>
  <c r="L50" i="92"/>
  <c r="M48" i="92"/>
  <c r="L48" i="92"/>
  <c r="M47" i="92"/>
  <c r="L47" i="92"/>
  <c r="M45" i="92"/>
  <c r="L45" i="92"/>
  <c r="M44" i="92"/>
  <c r="L44" i="92"/>
  <c r="M42" i="92"/>
  <c r="L42" i="92"/>
  <c r="M41" i="92"/>
  <c r="L41" i="92"/>
  <c r="M40" i="92"/>
  <c r="L40" i="92"/>
  <c r="M39" i="92"/>
  <c r="L39" i="92"/>
  <c r="M38" i="92"/>
  <c r="L38" i="92"/>
  <c r="M37" i="92"/>
  <c r="L37" i="92"/>
  <c r="M36" i="92"/>
  <c r="L36" i="92"/>
  <c r="M35" i="92"/>
  <c r="L35" i="92"/>
  <c r="M34" i="92"/>
  <c r="M43" i="92" s="1"/>
  <c r="L34" i="92"/>
  <c r="M31" i="92"/>
  <c r="L31" i="92"/>
  <c r="M30" i="92"/>
  <c r="L30" i="92"/>
  <c r="M29" i="92"/>
  <c r="L29" i="92"/>
  <c r="M27" i="92"/>
  <c r="L27" i="92"/>
  <c r="M26" i="92"/>
  <c r="L26" i="92"/>
  <c r="M25" i="92"/>
  <c r="M28" i="92" s="1"/>
  <c r="L25" i="92"/>
  <c r="L28" i="92" s="1"/>
  <c r="M22" i="92"/>
  <c r="L22" i="92"/>
  <c r="M23" i="92"/>
  <c r="L23" i="92"/>
  <c r="M21" i="92"/>
  <c r="L21" i="92"/>
  <c r="M19" i="92"/>
  <c r="L19" i="92"/>
  <c r="M18" i="92"/>
  <c r="L18" i="92"/>
  <c r="M15" i="92"/>
  <c r="L15" i="92"/>
  <c r="M14" i="92"/>
  <c r="L14" i="92"/>
  <c r="M13" i="92"/>
  <c r="L13" i="92"/>
  <c r="M12" i="92"/>
  <c r="L12" i="92"/>
  <c r="M11" i="92"/>
  <c r="M16" i="92" s="1"/>
  <c r="L11" i="92"/>
  <c r="L16" i="92" s="1"/>
  <c r="M4" i="92"/>
  <c r="M10" i="92" s="1"/>
  <c r="J57" i="92"/>
  <c r="I57" i="92"/>
  <c r="J56" i="92"/>
  <c r="I56" i="92"/>
  <c r="J55" i="92"/>
  <c r="I55" i="92"/>
  <c r="J54" i="92"/>
  <c r="J58" i="92" s="1"/>
  <c r="I54" i="92"/>
  <c r="J51" i="92"/>
  <c r="I51" i="92"/>
  <c r="J50" i="92"/>
  <c r="J52" i="92" s="1"/>
  <c r="I50" i="92"/>
  <c r="J48" i="92"/>
  <c r="I48" i="92"/>
  <c r="J47" i="92"/>
  <c r="J49" i="92" s="1"/>
  <c r="I47" i="92"/>
  <c r="J45" i="92"/>
  <c r="I45" i="92"/>
  <c r="J44" i="92"/>
  <c r="J46" i="92" s="1"/>
  <c r="I44" i="92"/>
  <c r="J42" i="92"/>
  <c r="I42" i="92"/>
  <c r="J41" i="92"/>
  <c r="I41" i="92"/>
  <c r="J40" i="92"/>
  <c r="I40" i="92"/>
  <c r="J39" i="92"/>
  <c r="I39" i="92"/>
  <c r="J38" i="92"/>
  <c r="I38" i="92"/>
  <c r="J37" i="92"/>
  <c r="I37" i="92"/>
  <c r="J36" i="92"/>
  <c r="I36" i="92"/>
  <c r="J35" i="92"/>
  <c r="I35" i="92"/>
  <c r="J34" i="92"/>
  <c r="I34" i="92"/>
  <c r="J31" i="92"/>
  <c r="I31" i="92"/>
  <c r="J30" i="92"/>
  <c r="I30" i="92"/>
  <c r="J29" i="92"/>
  <c r="J32" i="92" s="1"/>
  <c r="I29" i="92"/>
  <c r="J27" i="92"/>
  <c r="I27" i="92"/>
  <c r="J26" i="92"/>
  <c r="I26" i="92"/>
  <c r="J25" i="92"/>
  <c r="I25" i="92"/>
  <c r="J22" i="92"/>
  <c r="I22" i="92"/>
  <c r="J23" i="92"/>
  <c r="I23" i="92"/>
  <c r="J21" i="92"/>
  <c r="I21" i="92"/>
  <c r="J19" i="92"/>
  <c r="I19" i="92"/>
  <c r="J18" i="92"/>
  <c r="J20" i="92" s="1"/>
  <c r="I18" i="92"/>
  <c r="J15" i="92"/>
  <c r="I15" i="92"/>
  <c r="J14" i="92"/>
  <c r="I14" i="92"/>
  <c r="J13" i="92"/>
  <c r="I13" i="92"/>
  <c r="J12" i="92"/>
  <c r="I12" i="92"/>
  <c r="J11" i="92"/>
  <c r="I11" i="92"/>
  <c r="J4" i="92"/>
  <c r="J10" i="92" s="1"/>
  <c r="F42" i="92"/>
  <c r="F39" i="92"/>
  <c r="F36" i="92"/>
  <c r="F35" i="92"/>
  <c r="F34" i="92"/>
  <c r="F31" i="92"/>
  <c r="F30" i="92"/>
  <c r="G19" i="92"/>
  <c r="F19" i="92"/>
  <c r="G18" i="92"/>
  <c r="G15" i="92"/>
  <c r="G14" i="92"/>
  <c r="G13" i="92"/>
  <c r="G12" i="92"/>
  <c r="F12" i="92"/>
  <c r="D57" i="92"/>
  <c r="D56" i="92"/>
  <c r="D55" i="92"/>
  <c r="D54" i="92"/>
  <c r="D51" i="92"/>
  <c r="D50" i="92"/>
  <c r="D48" i="92"/>
  <c r="D47" i="92"/>
  <c r="D45" i="92"/>
  <c r="D44" i="92"/>
  <c r="D42" i="92"/>
  <c r="D41" i="92"/>
  <c r="D40" i="92"/>
  <c r="D39" i="92"/>
  <c r="D38" i="92"/>
  <c r="D37" i="92"/>
  <c r="D36" i="92"/>
  <c r="D35" i="92"/>
  <c r="D34" i="92"/>
  <c r="D31" i="92"/>
  <c r="D30" i="92"/>
  <c r="D29" i="92"/>
  <c r="D27" i="92"/>
  <c r="D26" i="92"/>
  <c r="D25" i="92"/>
  <c r="D22" i="92"/>
  <c r="D23" i="92"/>
  <c r="D21" i="92"/>
  <c r="D19" i="92"/>
  <c r="D18" i="92"/>
  <c r="D15" i="92"/>
  <c r="D14" i="92"/>
  <c r="D13" i="92"/>
  <c r="D12" i="92"/>
  <c r="D11" i="92"/>
  <c r="D4" i="92"/>
  <c r="D10" i="92" s="1"/>
  <c r="C57" i="92"/>
  <c r="E57" i="92" s="1"/>
  <c r="C35" i="128" s="1"/>
  <c r="G35" i="128" s="1"/>
  <c r="C56" i="92"/>
  <c r="E56" i="92" s="1"/>
  <c r="C34" i="128" s="1"/>
  <c r="C55" i="92"/>
  <c r="C54" i="92"/>
  <c r="E54" i="92" s="1"/>
  <c r="C51" i="92"/>
  <c r="E51" i="92" s="1"/>
  <c r="C28" i="128" s="1"/>
  <c r="C50" i="92"/>
  <c r="E50" i="92" s="1"/>
  <c r="C48" i="92"/>
  <c r="E48" i="92" s="1"/>
  <c r="C25" i="128" s="1"/>
  <c r="C47" i="92"/>
  <c r="E47" i="92" s="1"/>
  <c r="C45" i="92"/>
  <c r="E45" i="92" s="1"/>
  <c r="C44" i="92"/>
  <c r="E44" i="92" s="1"/>
  <c r="C42" i="92"/>
  <c r="E42" i="92" s="1"/>
  <c r="C41" i="92"/>
  <c r="E41" i="92" s="1"/>
  <c r="C40" i="92"/>
  <c r="E40" i="92" s="1"/>
  <c r="C39" i="92"/>
  <c r="E39" i="92" s="1"/>
  <c r="C38" i="92"/>
  <c r="E38" i="92" s="1"/>
  <c r="C37" i="92"/>
  <c r="E37" i="92" s="1"/>
  <c r="C36" i="92"/>
  <c r="E36" i="92" s="1"/>
  <c r="C35" i="92"/>
  <c r="E35" i="92" s="1"/>
  <c r="C34" i="92"/>
  <c r="E34" i="92" s="1"/>
  <c r="C31" i="92"/>
  <c r="E31" i="92" s="1"/>
  <c r="C19" i="128" s="1"/>
  <c r="G19" i="128" s="1"/>
  <c r="C30" i="92"/>
  <c r="C29" i="92"/>
  <c r="E29" i="92" s="1"/>
  <c r="C17" i="128" s="1"/>
  <c r="C27" i="92"/>
  <c r="E27" i="92" s="1"/>
  <c r="C15" i="128" s="1"/>
  <c r="C26" i="92"/>
  <c r="E26" i="92" s="1"/>
  <c r="C14" i="128" s="1"/>
  <c r="C25" i="92"/>
  <c r="E25" i="92" s="1"/>
  <c r="C13" i="128" s="1"/>
  <c r="C22" i="92"/>
  <c r="C23" i="92"/>
  <c r="C21" i="92"/>
  <c r="E21" i="92" s="1"/>
  <c r="C9" i="128" s="1"/>
  <c r="C19" i="92"/>
  <c r="E19" i="92" s="1"/>
  <c r="C7" i="128" s="1"/>
  <c r="C18" i="92"/>
  <c r="E18" i="92" s="1"/>
  <c r="C15" i="92"/>
  <c r="E15" i="92" s="1"/>
  <c r="C14" i="92"/>
  <c r="E14" i="92" s="1"/>
  <c r="C13" i="92"/>
  <c r="E13" i="92" s="1"/>
  <c r="C12" i="92"/>
  <c r="E12" i="92" s="1"/>
  <c r="C11" i="92"/>
  <c r="E11" i="92" s="1"/>
  <c r="V23" i="134"/>
  <c r="Y23" i="134" s="1"/>
  <c r="V22" i="134"/>
  <c r="Y22" i="134" s="1"/>
  <c r="V21" i="134"/>
  <c r="Y21" i="134" s="1"/>
  <c r="V19" i="134"/>
  <c r="Y19" i="134" s="1"/>
  <c r="V17" i="134"/>
  <c r="Y17" i="134" s="1"/>
  <c r="V16" i="134"/>
  <c r="Y16" i="134" s="1"/>
  <c r="V15" i="134"/>
  <c r="Y15" i="134" s="1"/>
  <c r="V14" i="134"/>
  <c r="V13" i="134"/>
  <c r="V11" i="134"/>
  <c r="Y11" i="134" s="1"/>
  <c r="V10" i="134"/>
  <c r="Y10" i="134" s="1"/>
  <c r="V9" i="134"/>
  <c r="Y9" i="134" s="1"/>
  <c r="V8" i="134"/>
  <c r="Y8" i="134" s="1"/>
  <c r="V7" i="134"/>
  <c r="Y7" i="134" s="1"/>
  <c r="S23" i="134"/>
  <c r="R23" i="134"/>
  <c r="S22" i="134"/>
  <c r="R22" i="134"/>
  <c r="S21" i="134"/>
  <c r="R21" i="134"/>
  <c r="S19" i="134"/>
  <c r="S17" i="134"/>
  <c r="S16" i="134"/>
  <c r="R16" i="134"/>
  <c r="S15" i="134"/>
  <c r="R15" i="134"/>
  <c r="S14" i="134"/>
  <c r="S13" i="134"/>
  <c r="S11" i="134"/>
  <c r="S10" i="134"/>
  <c r="S9" i="134"/>
  <c r="S8" i="134"/>
  <c r="S7" i="134"/>
  <c r="P23" i="134"/>
  <c r="O23" i="134"/>
  <c r="P22" i="134"/>
  <c r="O22" i="134"/>
  <c r="P21" i="134"/>
  <c r="O21" i="134"/>
  <c r="P19" i="134"/>
  <c r="P17" i="134"/>
  <c r="P16" i="134"/>
  <c r="O16" i="134"/>
  <c r="P15" i="134"/>
  <c r="O15" i="134"/>
  <c r="P14" i="134"/>
  <c r="P13" i="134"/>
  <c r="P11" i="134"/>
  <c r="P10" i="134"/>
  <c r="P9" i="134"/>
  <c r="P8" i="134"/>
  <c r="P7" i="134"/>
  <c r="M23" i="134"/>
  <c r="L23" i="134"/>
  <c r="M22" i="134"/>
  <c r="L22" i="134"/>
  <c r="M21" i="134"/>
  <c r="L21" i="134"/>
  <c r="M19" i="134"/>
  <c r="M17" i="134"/>
  <c r="M16" i="134"/>
  <c r="L16" i="134"/>
  <c r="M15" i="134"/>
  <c r="L15" i="134"/>
  <c r="M14" i="134"/>
  <c r="M13" i="134"/>
  <c r="M11" i="134"/>
  <c r="M10" i="134"/>
  <c r="M9" i="134"/>
  <c r="M8" i="134"/>
  <c r="M7" i="134"/>
  <c r="J23" i="134"/>
  <c r="I23" i="134"/>
  <c r="J22" i="134"/>
  <c r="I22" i="134"/>
  <c r="J21" i="134"/>
  <c r="I21" i="134"/>
  <c r="J19" i="134"/>
  <c r="J17" i="134"/>
  <c r="J16" i="134"/>
  <c r="I16" i="134"/>
  <c r="J15" i="134"/>
  <c r="I15" i="134"/>
  <c r="J14" i="134"/>
  <c r="J13" i="134"/>
  <c r="J11" i="134"/>
  <c r="J10" i="134"/>
  <c r="J9" i="134"/>
  <c r="J8" i="134"/>
  <c r="J7" i="134"/>
  <c r="F23" i="134"/>
  <c r="F22" i="134"/>
  <c r="F15" i="134"/>
  <c r="G14" i="134"/>
  <c r="G7" i="134"/>
  <c r="D27" i="134"/>
  <c r="C27" i="134"/>
  <c r="D23" i="134"/>
  <c r="D22" i="134"/>
  <c r="D21" i="134"/>
  <c r="D19" i="134"/>
  <c r="D17" i="134"/>
  <c r="D16" i="134"/>
  <c r="D15" i="134"/>
  <c r="D14" i="134"/>
  <c r="D13" i="134"/>
  <c r="D11" i="134"/>
  <c r="D10" i="134"/>
  <c r="D9" i="134"/>
  <c r="D8" i="134"/>
  <c r="D7" i="134"/>
  <c r="C23" i="134"/>
  <c r="C22" i="134"/>
  <c r="E22" i="134" s="1"/>
  <c r="J35" i="128" s="1"/>
  <c r="C21" i="134"/>
  <c r="C16" i="134"/>
  <c r="E16" i="134" s="1"/>
  <c r="J17" i="128" s="1"/>
  <c r="C15" i="134"/>
  <c r="I137" i="132"/>
  <c r="H137" i="132"/>
  <c r="G137" i="132"/>
  <c r="F137" i="132"/>
  <c r="E137" i="132"/>
  <c r="I131" i="132"/>
  <c r="H131" i="132"/>
  <c r="J131" i="132" s="1"/>
  <c r="G131" i="132"/>
  <c r="F131" i="132"/>
  <c r="E131" i="132"/>
  <c r="I128" i="132"/>
  <c r="H128" i="132"/>
  <c r="J128" i="132" s="1"/>
  <c r="G128" i="132"/>
  <c r="F128" i="132"/>
  <c r="E128" i="132"/>
  <c r="I125" i="132"/>
  <c r="H125" i="132"/>
  <c r="J125" i="132" s="1"/>
  <c r="G125" i="132"/>
  <c r="F125" i="132"/>
  <c r="E125" i="132"/>
  <c r="I122" i="132"/>
  <c r="H122" i="132"/>
  <c r="G122" i="132"/>
  <c r="F122" i="132"/>
  <c r="E122" i="132"/>
  <c r="I99" i="132"/>
  <c r="H99" i="132"/>
  <c r="J99" i="132" s="1"/>
  <c r="G99" i="132"/>
  <c r="F99" i="132"/>
  <c r="E99" i="132"/>
  <c r="D99" i="132"/>
  <c r="I80" i="132"/>
  <c r="H80" i="132"/>
  <c r="J80" i="132" s="1"/>
  <c r="G80" i="132"/>
  <c r="F80" i="132"/>
  <c r="E80" i="132"/>
  <c r="I75" i="132"/>
  <c r="H75" i="132"/>
  <c r="J75" i="132" s="1"/>
  <c r="G75" i="132"/>
  <c r="F75" i="132"/>
  <c r="E75" i="132"/>
  <c r="I69" i="132"/>
  <c r="H69" i="132"/>
  <c r="J69" i="132" s="1"/>
  <c r="G69" i="132"/>
  <c r="F69" i="132"/>
  <c r="E69" i="132"/>
  <c r="I28" i="132"/>
  <c r="H28" i="132"/>
  <c r="G28" i="132"/>
  <c r="P5" i="134" s="1"/>
  <c r="F28" i="132"/>
  <c r="M5" i="134" s="1"/>
  <c r="E28" i="132"/>
  <c r="J5" i="134" s="1"/>
  <c r="I111" i="132"/>
  <c r="H111" i="132"/>
  <c r="J111" i="132" s="1"/>
  <c r="G111" i="132"/>
  <c r="F111" i="132"/>
  <c r="E111" i="132"/>
  <c r="I107" i="132"/>
  <c r="H107" i="132"/>
  <c r="J107" i="132" s="1"/>
  <c r="G107" i="132"/>
  <c r="F107" i="132"/>
  <c r="E107" i="132"/>
  <c r="I95" i="132"/>
  <c r="H95" i="132"/>
  <c r="J95" i="132" s="1"/>
  <c r="G95" i="132"/>
  <c r="F95" i="132"/>
  <c r="E95" i="132"/>
  <c r="I89" i="132"/>
  <c r="H89" i="132"/>
  <c r="J89" i="132" s="1"/>
  <c r="G89" i="132"/>
  <c r="F89" i="132"/>
  <c r="E89" i="132"/>
  <c r="I61" i="132"/>
  <c r="H61" i="132"/>
  <c r="J61" i="132" s="1"/>
  <c r="G61" i="132"/>
  <c r="F61" i="132"/>
  <c r="E61" i="132"/>
  <c r="I55" i="132"/>
  <c r="H55" i="132"/>
  <c r="G55" i="132"/>
  <c r="F55" i="132"/>
  <c r="E55" i="132"/>
  <c r="I52" i="132"/>
  <c r="H52" i="132"/>
  <c r="G52" i="132"/>
  <c r="F52" i="132"/>
  <c r="E52" i="132"/>
  <c r="I44" i="132"/>
  <c r="H44" i="132"/>
  <c r="G44" i="132"/>
  <c r="F44" i="132"/>
  <c r="E44" i="132"/>
  <c r="I21" i="132"/>
  <c r="H21" i="132"/>
  <c r="G21" i="132"/>
  <c r="F21" i="132"/>
  <c r="E21" i="132"/>
  <c r="I17" i="132"/>
  <c r="H17" i="132"/>
  <c r="G17" i="132"/>
  <c r="F17" i="132"/>
  <c r="E17" i="132"/>
  <c r="I40" i="132"/>
  <c r="H40" i="132"/>
  <c r="G40" i="132"/>
  <c r="F40" i="132"/>
  <c r="E40" i="132"/>
  <c r="I33" i="132"/>
  <c r="H33" i="132"/>
  <c r="G33" i="132"/>
  <c r="F33" i="132"/>
  <c r="E33" i="132"/>
  <c r="C80" i="132"/>
  <c r="I32" i="144"/>
  <c r="C33" i="144"/>
  <c r="I24" i="144"/>
  <c r="I66" i="144"/>
  <c r="U10" i="134" s="1"/>
  <c r="H66" i="144"/>
  <c r="G66" i="144"/>
  <c r="O10" i="134" s="1"/>
  <c r="F66" i="144"/>
  <c r="L10" i="134" s="1"/>
  <c r="E66" i="144"/>
  <c r="I10" i="134" s="1"/>
  <c r="D66" i="144"/>
  <c r="F10" i="134" s="1"/>
  <c r="C66" i="144"/>
  <c r="C10" i="134" s="1"/>
  <c r="E10" i="134" s="1"/>
  <c r="J9" i="128" s="1"/>
  <c r="H137" i="144"/>
  <c r="G137" i="144"/>
  <c r="F137" i="144"/>
  <c r="H131" i="144"/>
  <c r="G131" i="144"/>
  <c r="F131" i="144"/>
  <c r="H128" i="144"/>
  <c r="G128" i="144"/>
  <c r="F128" i="144"/>
  <c r="H125" i="144"/>
  <c r="G125" i="144"/>
  <c r="F125" i="144"/>
  <c r="H122" i="144"/>
  <c r="G122" i="144"/>
  <c r="F122" i="144"/>
  <c r="H99" i="144"/>
  <c r="G99" i="144"/>
  <c r="F99" i="144"/>
  <c r="H80" i="144"/>
  <c r="G80" i="144"/>
  <c r="F80" i="144"/>
  <c r="H28" i="144"/>
  <c r="O5" i="134"/>
  <c r="Q5" i="134" s="1"/>
  <c r="F28" i="144"/>
  <c r="L5" i="134" s="1"/>
  <c r="H111" i="144"/>
  <c r="G111" i="144"/>
  <c r="F111" i="144"/>
  <c r="H107" i="144"/>
  <c r="G107" i="144"/>
  <c r="F107" i="144"/>
  <c r="D100" i="144"/>
  <c r="F21" i="92" s="1"/>
  <c r="H95" i="144"/>
  <c r="G95" i="144"/>
  <c r="F95" i="144"/>
  <c r="H61" i="144"/>
  <c r="G61" i="144"/>
  <c r="F61" i="144"/>
  <c r="H55" i="144"/>
  <c r="G55" i="144"/>
  <c r="F55" i="144"/>
  <c r="H52" i="144"/>
  <c r="G52" i="144"/>
  <c r="F52" i="144"/>
  <c r="H44" i="144"/>
  <c r="G44" i="144"/>
  <c r="F44" i="144"/>
  <c r="H21" i="144"/>
  <c r="G21" i="144"/>
  <c r="F21" i="144"/>
  <c r="H17" i="144"/>
  <c r="G17" i="144"/>
  <c r="F17" i="144"/>
  <c r="H40" i="144"/>
  <c r="G40" i="144"/>
  <c r="F40" i="144"/>
  <c r="D40" i="144"/>
  <c r="I88" i="144"/>
  <c r="H88" i="144"/>
  <c r="G88" i="144"/>
  <c r="O9" i="92" s="1"/>
  <c r="Q9" i="92" s="1"/>
  <c r="F88" i="144"/>
  <c r="L9" i="92" s="1"/>
  <c r="N9" i="92" s="1"/>
  <c r="E88" i="144"/>
  <c r="I9" i="92" s="1"/>
  <c r="K9" i="92" s="1"/>
  <c r="D88" i="144"/>
  <c r="F9" i="92" s="1"/>
  <c r="C88" i="144"/>
  <c r="C9" i="92" s="1"/>
  <c r="E9" i="92" s="1"/>
  <c r="I87" i="144"/>
  <c r="U8" i="92" s="1"/>
  <c r="W8" i="92" s="1"/>
  <c r="H87" i="144"/>
  <c r="G87" i="144"/>
  <c r="O8" i="92" s="1"/>
  <c r="Q8" i="92" s="1"/>
  <c r="F87" i="144"/>
  <c r="L8" i="92" s="1"/>
  <c r="N8" i="92" s="1"/>
  <c r="E87" i="144"/>
  <c r="I8" i="92" s="1"/>
  <c r="K8" i="92" s="1"/>
  <c r="D87" i="144"/>
  <c r="F8" i="92" s="1"/>
  <c r="C87" i="144"/>
  <c r="C8" i="92" s="1"/>
  <c r="E8" i="92" s="1"/>
  <c r="I86" i="144"/>
  <c r="H86" i="144"/>
  <c r="G86" i="144"/>
  <c r="O7" i="92" s="1"/>
  <c r="Q7" i="92" s="1"/>
  <c r="F86" i="144"/>
  <c r="L7" i="92" s="1"/>
  <c r="N7" i="92" s="1"/>
  <c r="E86" i="144"/>
  <c r="I7" i="92" s="1"/>
  <c r="K7" i="92" s="1"/>
  <c r="C86" i="144"/>
  <c r="C7" i="92" s="1"/>
  <c r="E7" i="92" s="1"/>
  <c r="I85" i="144"/>
  <c r="U6" i="92" s="1"/>
  <c r="W6" i="92" s="1"/>
  <c r="H85" i="144"/>
  <c r="G85" i="144"/>
  <c r="O6" i="92" s="1"/>
  <c r="Q6" i="92" s="1"/>
  <c r="F85" i="144"/>
  <c r="L6" i="92" s="1"/>
  <c r="N6" i="92" s="1"/>
  <c r="E85" i="144"/>
  <c r="I6" i="92" s="1"/>
  <c r="K6" i="92" s="1"/>
  <c r="C85" i="144"/>
  <c r="C6" i="92" s="1"/>
  <c r="E6" i="92" s="1"/>
  <c r="I84" i="144"/>
  <c r="H84" i="144"/>
  <c r="G84" i="144"/>
  <c r="O5" i="92" s="1"/>
  <c r="Q5" i="92" s="1"/>
  <c r="F84" i="144"/>
  <c r="L5" i="92" s="1"/>
  <c r="N5" i="92" s="1"/>
  <c r="E84" i="144"/>
  <c r="I5" i="92" s="1"/>
  <c r="K5" i="92" s="1"/>
  <c r="C84" i="144"/>
  <c r="C5" i="92" s="1"/>
  <c r="E5" i="92" s="1"/>
  <c r="I83" i="144"/>
  <c r="U4" i="92" s="1"/>
  <c r="H83" i="144"/>
  <c r="G83" i="144"/>
  <c r="O4" i="92" s="1"/>
  <c r="F83" i="144"/>
  <c r="L4" i="92" s="1"/>
  <c r="E83" i="144"/>
  <c r="I4" i="92" s="1"/>
  <c r="C83" i="144"/>
  <c r="C4" i="92" s="1"/>
  <c r="G74" i="144"/>
  <c r="G75" i="144" s="1"/>
  <c r="F74" i="144"/>
  <c r="F75" i="144" s="1"/>
  <c r="E74" i="144"/>
  <c r="I17" i="134" s="1"/>
  <c r="K17" i="134" s="1"/>
  <c r="D74" i="144"/>
  <c r="F17" i="134" s="1"/>
  <c r="C74" i="144"/>
  <c r="C17" i="134" s="1"/>
  <c r="I27" i="94"/>
  <c r="H27" i="94"/>
  <c r="G27" i="94"/>
  <c r="F27" i="94"/>
  <c r="I21" i="94"/>
  <c r="H21" i="94"/>
  <c r="G21" i="94"/>
  <c r="F21" i="94"/>
  <c r="E21" i="94"/>
  <c r="I14" i="94"/>
  <c r="J14" i="94" s="1"/>
  <c r="H14" i="94"/>
  <c r="G14" i="94"/>
  <c r="F14" i="94"/>
  <c r="E14" i="94"/>
  <c r="D14" i="94"/>
  <c r="I10" i="94"/>
  <c r="J10" i="94" s="1"/>
  <c r="H10" i="94"/>
  <c r="G10" i="94"/>
  <c r="F10" i="94"/>
  <c r="E10" i="94"/>
  <c r="D10" i="94"/>
  <c r="I8" i="94"/>
  <c r="J8" i="94" s="1"/>
  <c r="H8" i="94"/>
  <c r="G8" i="94"/>
  <c r="F8" i="94"/>
  <c r="E8" i="94"/>
  <c r="D8" i="94"/>
  <c r="I5" i="94"/>
  <c r="J5" i="94" s="1"/>
  <c r="H5" i="94"/>
  <c r="G5" i="94"/>
  <c r="F5" i="94"/>
  <c r="E5" i="94"/>
  <c r="D5" i="94"/>
  <c r="J26" i="94"/>
  <c r="J25" i="94"/>
  <c r="J24" i="94"/>
  <c r="J23" i="94"/>
  <c r="J22" i="94"/>
  <c r="J20" i="94"/>
  <c r="J19" i="94"/>
  <c r="J18" i="94"/>
  <c r="J17" i="94"/>
  <c r="J16" i="94"/>
  <c r="J15" i="94"/>
  <c r="J13" i="94"/>
  <c r="J12" i="94"/>
  <c r="J11" i="94"/>
  <c r="J9" i="94"/>
  <c r="J7" i="94"/>
  <c r="J6" i="94"/>
  <c r="J4" i="94"/>
  <c r="J3" i="94"/>
  <c r="I28" i="95"/>
  <c r="H28" i="95"/>
  <c r="H67" i="144" s="1"/>
  <c r="G28" i="95"/>
  <c r="G67" i="144" s="1"/>
  <c r="O11" i="134" s="1"/>
  <c r="F28" i="95"/>
  <c r="F67" i="144" s="1"/>
  <c r="L11" i="134" s="1"/>
  <c r="E28" i="95"/>
  <c r="E67" i="144" s="1"/>
  <c r="I11" i="134" s="1"/>
  <c r="I11" i="95"/>
  <c r="H11" i="95"/>
  <c r="H65" i="144" s="1"/>
  <c r="G11" i="95"/>
  <c r="G65" i="144" s="1"/>
  <c r="O9" i="134" s="1"/>
  <c r="F11" i="95"/>
  <c r="F65" i="144" s="1"/>
  <c r="L9" i="134" s="1"/>
  <c r="I5" i="95"/>
  <c r="H5" i="95"/>
  <c r="H64" i="144" s="1"/>
  <c r="G5" i="95"/>
  <c r="G64" i="144" s="1"/>
  <c r="O8" i="134" s="1"/>
  <c r="F5" i="95"/>
  <c r="F64" i="144" s="1"/>
  <c r="L8" i="134" s="1"/>
  <c r="E5" i="95"/>
  <c r="E64" i="144" s="1"/>
  <c r="I8" i="134" s="1"/>
  <c r="I32" i="95"/>
  <c r="J32" i="95" s="1"/>
  <c r="H32" i="95"/>
  <c r="G32" i="95"/>
  <c r="F32" i="95"/>
  <c r="E32" i="95"/>
  <c r="D32" i="95"/>
  <c r="I29" i="95"/>
  <c r="J29" i="95" s="1"/>
  <c r="H29" i="95"/>
  <c r="G29" i="95"/>
  <c r="F29" i="95"/>
  <c r="E29" i="95"/>
  <c r="D29" i="95"/>
  <c r="C5" i="95"/>
  <c r="C64" i="144" s="1"/>
  <c r="C8" i="134" s="1"/>
  <c r="J34" i="95"/>
  <c r="J33" i="95"/>
  <c r="J31" i="95"/>
  <c r="J30" i="95"/>
  <c r="J27" i="95"/>
  <c r="J25" i="95"/>
  <c r="J24" i="95"/>
  <c r="J23" i="95"/>
  <c r="J22" i="95"/>
  <c r="J21" i="95"/>
  <c r="J20" i="95"/>
  <c r="J19" i="95"/>
  <c r="J18" i="95"/>
  <c r="J17" i="95"/>
  <c r="J16" i="95"/>
  <c r="J15" i="95"/>
  <c r="J14" i="95"/>
  <c r="J13" i="95"/>
  <c r="J10" i="95"/>
  <c r="J9" i="95"/>
  <c r="J8" i="95"/>
  <c r="J7" i="95"/>
  <c r="J6" i="95"/>
  <c r="J4" i="95"/>
  <c r="J3" i="95"/>
  <c r="J58" i="97"/>
  <c r="J52" i="97"/>
  <c r="J50" i="97"/>
  <c r="J42" i="97"/>
  <c r="J41" i="97"/>
  <c r="J40" i="97"/>
  <c r="J39" i="97"/>
  <c r="J38" i="97"/>
  <c r="J37" i="97"/>
  <c r="J36" i="97"/>
  <c r="J34" i="97"/>
  <c r="J33" i="97"/>
  <c r="J31" i="97"/>
  <c r="J29" i="97"/>
  <c r="J28" i="97"/>
  <c r="J27" i="97"/>
  <c r="J26" i="97"/>
  <c r="J25" i="97"/>
  <c r="J24" i="97"/>
  <c r="J23" i="97"/>
  <c r="J22" i="97"/>
  <c r="J21" i="97"/>
  <c r="J19" i="97"/>
  <c r="J18" i="97"/>
  <c r="J15" i="97"/>
  <c r="J14" i="97"/>
  <c r="J13" i="97"/>
  <c r="J12" i="97"/>
  <c r="J11" i="97"/>
  <c r="J10" i="97"/>
  <c r="J9" i="97"/>
  <c r="J8" i="97"/>
  <c r="J7" i="97"/>
  <c r="J6" i="97"/>
  <c r="J5" i="97"/>
  <c r="J3" i="97"/>
  <c r="I51" i="97"/>
  <c r="H51" i="97"/>
  <c r="G51" i="97"/>
  <c r="F51" i="97"/>
  <c r="E51" i="97"/>
  <c r="J49" i="97"/>
  <c r="H32" i="97"/>
  <c r="J32" i="97" s="1"/>
  <c r="G32" i="97"/>
  <c r="F32" i="97"/>
  <c r="E32" i="97"/>
  <c r="I20" i="97"/>
  <c r="H20" i="97"/>
  <c r="G20" i="97"/>
  <c r="F20" i="97"/>
  <c r="E20" i="97"/>
  <c r="J17" i="97"/>
  <c r="I4" i="97"/>
  <c r="H4" i="97"/>
  <c r="G4" i="97"/>
  <c r="F4" i="97"/>
  <c r="E4" i="97"/>
  <c r="D4" i="97"/>
  <c r="J27" i="91"/>
  <c r="J26" i="91"/>
  <c r="J25" i="91"/>
  <c r="J24" i="91"/>
  <c r="J23" i="91"/>
  <c r="J22" i="91"/>
  <c r="J21" i="91"/>
  <c r="J20" i="91"/>
  <c r="J19" i="91"/>
  <c r="J18" i="91"/>
  <c r="J17" i="91"/>
  <c r="J16" i="91"/>
  <c r="J15" i="91"/>
  <c r="J14" i="91"/>
  <c r="J13" i="91"/>
  <c r="J12" i="91"/>
  <c r="J11" i="91"/>
  <c r="J10" i="91"/>
  <c r="J9" i="91"/>
  <c r="J8" i="91"/>
  <c r="J7" i="91"/>
  <c r="J6" i="91"/>
  <c r="J5" i="91"/>
  <c r="J4" i="91"/>
  <c r="J3" i="91"/>
  <c r="J33" i="91"/>
  <c r="J32" i="91"/>
  <c r="J30" i="91"/>
  <c r="J29" i="91"/>
  <c r="D25" i="91"/>
  <c r="D85" i="144" s="1"/>
  <c r="F6" i="92" s="1"/>
  <c r="I31" i="91"/>
  <c r="H31" i="91"/>
  <c r="G31" i="91"/>
  <c r="F31" i="91"/>
  <c r="E31" i="91"/>
  <c r="C31" i="91"/>
  <c r="I28" i="91"/>
  <c r="G28" i="91"/>
  <c r="G34" i="91" s="1"/>
  <c r="E28" i="91"/>
  <c r="E34" i="91" s="1"/>
  <c r="D28" i="91"/>
  <c r="C28" i="91"/>
  <c r="C34" i="91" s="1"/>
  <c r="J15" i="151"/>
  <c r="J16" i="151" s="1"/>
  <c r="I15" i="151"/>
  <c r="I16" i="151" s="1"/>
  <c r="H15" i="151"/>
  <c r="H16" i="151" s="1"/>
  <c r="G15" i="151"/>
  <c r="G16" i="151" s="1"/>
  <c r="F15" i="151"/>
  <c r="F16" i="151" s="1"/>
  <c r="E15" i="151"/>
  <c r="E16" i="151" s="1"/>
  <c r="D15" i="151"/>
  <c r="D16" i="151" s="1"/>
  <c r="C15" i="151"/>
  <c r="C16" i="151" s="1"/>
  <c r="B11" i="151"/>
  <c r="B8" i="151"/>
  <c r="B15" i="151" s="1"/>
  <c r="B16" i="151" s="1"/>
  <c r="C7" i="149"/>
  <c r="C6" i="149"/>
  <c r="C8" i="149" s="1"/>
  <c r="K56" i="146"/>
  <c r="L56" i="146" s="1"/>
  <c r="E56" i="146"/>
  <c r="K55" i="146"/>
  <c r="E55" i="146"/>
  <c r="F55" i="146" s="1"/>
  <c r="H53" i="146"/>
  <c r="B53" i="146"/>
  <c r="K52" i="146"/>
  <c r="L52" i="146" s="1"/>
  <c r="E52" i="146"/>
  <c r="F52" i="146" s="1"/>
  <c r="K51" i="146"/>
  <c r="E51" i="146"/>
  <c r="K50" i="146"/>
  <c r="L50" i="146" s="1"/>
  <c r="G50" i="146"/>
  <c r="M49" i="146"/>
  <c r="G49" i="146"/>
  <c r="J48" i="146"/>
  <c r="I48" i="146"/>
  <c r="D48" i="146"/>
  <c r="C48" i="146"/>
  <c r="B48" i="146"/>
  <c r="K47" i="146"/>
  <c r="E47" i="146"/>
  <c r="E48" i="146" s="1"/>
  <c r="L45" i="146"/>
  <c r="H45" i="146"/>
  <c r="B45" i="146"/>
  <c r="M44" i="146"/>
  <c r="G44" i="146"/>
  <c r="E43" i="146"/>
  <c r="F43" i="146" s="1"/>
  <c r="E42" i="146"/>
  <c r="M41" i="146"/>
  <c r="F41" i="146"/>
  <c r="E41" i="146"/>
  <c r="G40" i="146"/>
  <c r="E40" i="146"/>
  <c r="F40" i="146" s="1"/>
  <c r="K39" i="146"/>
  <c r="M39" i="146" s="1"/>
  <c r="E39" i="146"/>
  <c r="E38" i="146"/>
  <c r="F38" i="146" s="1"/>
  <c r="F37" i="146"/>
  <c r="E37" i="146"/>
  <c r="M36" i="146"/>
  <c r="E36" i="146"/>
  <c r="F36" i="146" s="1"/>
  <c r="H34" i="146"/>
  <c r="B34" i="146"/>
  <c r="F33" i="146"/>
  <c r="G33" i="146" s="1"/>
  <c r="F32" i="146"/>
  <c r="G32" i="146" s="1"/>
  <c r="E31" i="146"/>
  <c r="F31" i="146" s="1"/>
  <c r="E30" i="146"/>
  <c r="F30" i="146" s="1"/>
  <c r="E29" i="146"/>
  <c r="F29" i="146" s="1"/>
  <c r="K28" i="146"/>
  <c r="K34" i="146" s="1"/>
  <c r="E28" i="146"/>
  <c r="F28" i="146" s="1"/>
  <c r="G28" i="146" s="1"/>
  <c r="E27" i="146"/>
  <c r="E34" i="146" s="1"/>
  <c r="K23" i="146"/>
  <c r="L23" i="146" s="1"/>
  <c r="E23" i="146"/>
  <c r="F23" i="146" s="1"/>
  <c r="H21" i="146"/>
  <c r="B21" i="146"/>
  <c r="K20" i="146"/>
  <c r="L20" i="146" s="1"/>
  <c r="E20" i="146"/>
  <c r="F20" i="146" s="1"/>
  <c r="K19" i="146"/>
  <c r="L19" i="146" s="1"/>
  <c r="L21" i="146" s="1"/>
  <c r="E19" i="146"/>
  <c r="E21" i="146" s="1"/>
  <c r="J16" i="146"/>
  <c r="I16" i="146"/>
  <c r="H16" i="146"/>
  <c r="D16" i="146"/>
  <c r="C16" i="146"/>
  <c r="B16" i="146"/>
  <c r="M15" i="146"/>
  <c r="K15" i="146"/>
  <c r="L15" i="146" s="1"/>
  <c r="L16" i="146" s="1"/>
  <c r="E15" i="146"/>
  <c r="E16" i="146" s="1"/>
  <c r="H13" i="146"/>
  <c r="B13" i="146"/>
  <c r="K12" i="146"/>
  <c r="L12" i="146" s="1"/>
  <c r="E12" i="146"/>
  <c r="F12" i="146" s="1"/>
  <c r="K11" i="146"/>
  <c r="L11" i="146" s="1"/>
  <c r="E11" i="146"/>
  <c r="F11" i="146" s="1"/>
  <c r="K10" i="146"/>
  <c r="L10" i="146" s="1"/>
  <c r="E10" i="146"/>
  <c r="F10" i="146" s="1"/>
  <c r="L9" i="146"/>
  <c r="L13" i="146" s="1"/>
  <c r="L24" i="146" s="1"/>
  <c r="E9" i="146"/>
  <c r="F9" i="146" s="1"/>
  <c r="H7" i="146"/>
  <c r="B7" i="146"/>
  <c r="B24" i="146" s="1"/>
  <c r="K6" i="146"/>
  <c r="L6" i="146" s="1"/>
  <c r="F6" i="146"/>
  <c r="E6" i="146"/>
  <c r="M5" i="146"/>
  <c r="K5" i="146"/>
  <c r="E5" i="146"/>
  <c r="F5" i="146" s="1"/>
  <c r="M4" i="146"/>
  <c r="G4" i="146"/>
  <c r="E4" i="146"/>
  <c r="F4" i="146" s="1"/>
  <c r="J4" i="97" l="1"/>
  <c r="J5" i="95"/>
  <c r="J11" i="95"/>
  <c r="F15" i="146"/>
  <c r="F16" i="146" s="1"/>
  <c r="M28" i="146"/>
  <c r="M34" i="146" s="1"/>
  <c r="M45" i="146"/>
  <c r="R8" i="134"/>
  <c r="R9" i="134"/>
  <c r="T9" i="134" s="1"/>
  <c r="M8" i="128" s="1"/>
  <c r="M8" i="139" s="1"/>
  <c r="J28" i="95"/>
  <c r="R10" i="134"/>
  <c r="X10" i="134" s="1"/>
  <c r="G6" i="146"/>
  <c r="G9" i="146"/>
  <c r="M9" i="146"/>
  <c r="M10" i="146"/>
  <c r="M11" i="146"/>
  <c r="M12" i="146"/>
  <c r="E13" i="146"/>
  <c r="M23" i="146"/>
  <c r="F27" i="146"/>
  <c r="G37" i="146"/>
  <c r="F39" i="146"/>
  <c r="F45" i="146" s="1"/>
  <c r="F42" i="146"/>
  <c r="G42" i="146" s="1"/>
  <c r="F47" i="146"/>
  <c r="F48" i="146" s="1"/>
  <c r="G48" i="146" s="1"/>
  <c r="C5" i="149"/>
  <c r="R11" i="134"/>
  <c r="T11" i="134" s="1"/>
  <c r="M10" i="128" s="1"/>
  <c r="H75" i="144"/>
  <c r="R5" i="134"/>
  <c r="R7" i="92"/>
  <c r="T7" i="92" s="1"/>
  <c r="J74" i="144"/>
  <c r="R6" i="92"/>
  <c r="T6" i="92" s="1"/>
  <c r="Z6" i="92" s="1"/>
  <c r="J86" i="144"/>
  <c r="U7" i="92"/>
  <c r="J87" i="144"/>
  <c r="R5" i="92"/>
  <c r="T5" i="92" s="1"/>
  <c r="R9" i="92"/>
  <c r="T9" i="92" s="1"/>
  <c r="G20" i="92"/>
  <c r="J16" i="92"/>
  <c r="J28" i="92"/>
  <c r="J43" i="92"/>
  <c r="L20" i="92"/>
  <c r="L32" i="92"/>
  <c r="L46" i="92"/>
  <c r="L49" i="92"/>
  <c r="L52" i="92"/>
  <c r="L58" i="92"/>
  <c r="P20" i="92"/>
  <c r="P32" i="92"/>
  <c r="P46" i="92"/>
  <c r="P49" i="92"/>
  <c r="P52" i="92"/>
  <c r="P58" i="92"/>
  <c r="R16" i="92"/>
  <c r="R28" i="92"/>
  <c r="R4" i="92"/>
  <c r="J84" i="144"/>
  <c r="U5" i="92"/>
  <c r="R8" i="92"/>
  <c r="T8" i="92" s="1"/>
  <c r="Z8" i="92" s="1"/>
  <c r="J88" i="144"/>
  <c r="U9" i="92"/>
  <c r="I20" i="92"/>
  <c r="I32" i="92"/>
  <c r="M20" i="92"/>
  <c r="M32" i="92"/>
  <c r="M46" i="92"/>
  <c r="M49" i="92"/>
  <c r="M52" i="92"/>
  <c r="M58" i="92"/>
  <c r="O16" i="92"/>
  <c r="O28" i="92"/>
  <c r="S16" i="92"/>
  <c r="S28" i="92"/>
  <c r="S43" i="92"/>
  <c r="Y43" i="92" s="1"/>
  <c r="K53" i="146"/>
  <c r="L51" i="146"/>
  <c r="M51" i="146" s="1"/>
  <c r="M52" i="146"/>
  <c r="L55" i="146"/>
  <c r="M55" i="146" s="1"/>
  <c r="M56" i="146"/>
  <c r="F34" i="146"/>
  <c r="G30" i="146"/>
  <c r="G16" i="146"/>
  <c r="H24" i="146"/>
  <c r="F19" i="146"/>
  <c r="F21" i="146" s="1"/>
  <c r="G21" i="146" s="1"/>
  <c r="M19" i="146"/>
  <c r="M20" i="146"/>
  <c r="C22" i="139"/>
  <c r="C10" i="139"/>
  <c r="G10" i="139" s="1"/>
  <c r="G25" i="128"/>
  <c r="C18" i="139"/>
  <c r="G18" i="139" s="1"/>
  <c r="G7" i="128"/>
  <c r="J25" i="139"/>
  <c r="J9" i="139"/>
  <c r="N9" i="139" s="1"/>
  <c r="N9" i="128"/>
  <c r="J52" i="132"/>
  <c r="J40" i="132"/>
  <c r="J21" i="132"/>
  <c r="C26" i="139"/>
  <c r="J21" i="94"/>
  <c r="J31" i="91"/>
  <c r="J21" i="139"/>
  <c r="N21" i="139" s="1"/>
  <c r="N17" i="128"/>
  <c r="J33" i="132"/>
  <c r="J17" i="132"/>
  <c r="J44" i="132"/>
  <c r="J55" i="132"/>
  <c r="S5" i="134"/>
  <c r="T5" i="134" s="1"/>
  <c r="M4" i="128" s="1"/>
  <c r="J28" i="132"/>
  <c r="J122" i="132"/>
  <c r="J137" i="132"/>
  <c r="Y58" i="92"/>
  <c r="Y13" i="134"/>
  <c r="E8" i="134"/>
  <c r="J7" i="128" s="1"/>
  <c r="D24" i="92"/>
  <c r="S24" i="92"/>
  <c r="Y24" i="92"/>
  <c r="M24" i="92"/>
  <c r="M33" i="92" s="1"/>
  <c r="K8" i="134"/>
  <c r="K10" i="134"/>
  <c r="J24" i="92"/>
  <c r="P24" i="92"/>
  <c r="E22" i="92"/>
  <c r="C24" i="92"/>
  <c r="I24" i="92"/>
  <c r="O24" i="92"/>
  <c r="O33" i="92" s="1"/>
  <c r="L24" i="92"/>
  <c r="L33" i="92" s="1"/>
  <c r="R24" i="92"/>
  <c r="R33" i="92" s="1"/>
  <c r="I10" i="92"/>
  <c r="J83" i="144"/>
  <c r="J85" i="144"/>
  <c r="J27" i="94"/>
  <c r="J20" i="97"/>
  <c r="I34" i="91"/>
  <c r="G28" i="94"/>
  <c r="G63" i="144" s="1"/>
  <c r="O7" i="134" s="1"/>
  <c r="Q7" i="134" s="1"/>
  <c r="I67" i="144"/>
  <c r="U11" i="134" s="1"/>
  <c r="X11" i="134" s="1"/>
  <c r="I65" i="144"/>
  <c r="U9" i="134" s="1"/>
  <c r="I64" i="144"/>
  <c r="U8" i="134" s="1"/>
  <c r="W8" i="134" s="1"/>
  <c r="O10" i="92"/>
  <c r="L10" i="92"/>
  <c r="L17" i="92" s="1"/>
  <c r="V17" i="92"/>
  <c r="Y17" i="92" s="1"/>
  <c r="E17" i="134"/>
  <c r="J18" i="128" s="1"/>
  <c r="N8" i="134"/>
  <c r="L7" i="128" s="1"/>
  <c r="L7" i="139" s="1"/>
  <c r="T8" i="134"/>
  <c r="M7" i="128" s="1"/>
  <c r="Q9" i="134"/>
  <c r="N10" i="134"/>
  <c r="L9" i="128" s="1"/>
  <c r="L9" i="139" s="1"/>
  <c r="Q11" i="134"/>
  <c r="K12" i="92"/>
  <c r="K13" i="92"/>
  <c r="K14" i="92"/>
  <c r="K15" i="92"/>
  <c r="K19" i="92"/>
  <c r="K21" i="92"/>
  <c r="K22" i="92"/>
  <c r="K26" i="92"/>
  <c r="K27" i="92"/>
  <c r="K30" i="92"/>
  <c r="K31" i="92"/>
  <c r="K35" i="92"/>
  <c r="K36" i="92"/>
  <c r="K37" i="92"/>
  <c r="K38" i="92"/>
  <c r="K39" i="92"/>
  <c r="K40" i="92"/>
  <c r="K41" i="92"/>
  <c r="K42" i="92"/>
  <c r="K45" i="92"/>
  <c r="K48" i="92"/>
  <c r="K51" i="92"/>
  <c r="K55" i="92"/>
  <c r="K56" i="92"/>
  <c r="K57" i="92"/>
  <c r="N12" i="92"/>
  <c r="N13" i="92"/>
  <c r="N14" i="92"/>
  <c r="N15" i="92"/>
  <c r="N19" i="92"/>
  <c r="E7" i="128" s="1"/>
  <c r="E18" i="139" s="1"/>
  <c r="N21" i="92"/>
  <c r="E9" i="128" s="1"/>
  <c r="N23" i="92"/>
  <c r="E11" i="128" s="1"/>
  <c r="N22" i="92"/>
  <c r="N26" i="92"/>
  <c r="E14" i="128" s="1"/>
  <c r="N27" i="92"/>
  <c r="E15" i="128" s="1"/>
  <c r="N30" i="92"/>
  <c r="E18" i="128" s="1"/>
  <c r="N31" i="92"/>
  <c r="E19" i="128" s="1"/>
  <c r="N34" i="92"/>
  <c r="N35" i="92"/>
  <c r="N36" i="92"/>
  <c r="N37" i="92"/>
  <c r="N38" i="92"/>
  <c r="N39" i="92"/>
  <c r="N40" i="92"/>
  <c r="N41" i="92"/>
  <c r="N42" i="92"/>
  <c r="N45" i="92"/>
  <c r="N48" i="92"/>
  <c r="E25" i="128" s="1"/>
  <c r="E10" i="139" s="1"/>
  <c r="N51" i="92"/>
  <c r="E28" i="128" s="1"/>
  <c r="E22" i="139" s="1"/>
  <c r="N55" i="92"/>
  <c r="E32" i="128" s="1"/>
  <c r="E25" i="139" s="1"/>
  <c r="N56" i="92"/>
  <c r="E34" i="128" s="1"/>
  <c r="E26" i="139" s="1"/>
  <c r="N57" i="92"/>
  <c r="E35" i="128" s="1"/>
  <c r="Q12" i="92"/>
  <c r="Q13" i="92"/>
  <c r="Q14" i="92"/>
  <c r="Q15" i="92"/>
  <c r="Q19" i="92"/>
  <c r="Q21" i="92"/>
  <c r="Q23" i="92"/>
  <c r="Q22" i="92"/>
  <c r="Q26" i="92"/>
  <c r="Q27" i="92"/>
  <c r="Q30" i="92"/>
  <c r="Q31" i="92"/>
  <c r="Q34" i="92"/>
  <c r="Q35" i="92"/>
  <c r="Q36" i="92"/>
  <c r="Q37" i="92"/>
  <c r="Q38" i="92"/>
  <c r="Q39" i="92"/>
  <c r="Q40" i="92"/>
  <c r="Q41" i="92"/>
  <c r="Q42" i="92"/>
  <c r="Q45" i="92"/>
  <c r="Q48" i="92"/>
  <c r="Q51" i="92"/>
  <c r="Q55" i="92"/>
  <c r="Q56" i="92"/>
  <c r="Q57" i="92"/>
  <c r="T12" i="92"/>
  <c r="T13" i="92"/>
  <c r="T14" i="92"/>
  <c r="T15" i="92"/>
  <c r="T19" i="92"/>
  <c r="F7" i="128" s="1"/>
  <c r="F18" i="139" s="1"/>
  <c r="T21" i="92"/>
  <c r="F9" i="128" s="1"/>
  <c r="G9" i="128" s="1"/>
  <c r="T23" i="92"/>
  <c r="F11" i="128" s="1"/>
  <c r="T22" i="92"/>
  <c r="T26" i="92"/>
  <c r="F14" i="128" s="1"/>
  <c r="G14" i="128" s="1"/>
  <c r="T27" i="92"/>
  <c r="F15" i="128" s="1"/>
  <c r="G15" i="128" s="1"/>
  <c r="T30" i="92"/>
  <c r="F18" i="128" s="1"/>
  <c r="T31" i="92"/>
  <c r="F19" i="128" s="1"/>
  <c r="T34" i="92"/>
  <c r="T35" i="92"/>
  <c r="T36" i="92"/>
  <c r="T37" i="92"/>
  <c r="T38" i="92"/>
  <c r="T39" i="92"/>
  <c r="T40" i="92"/>
  <c r="Z40" i="92" s="1"/>
  <c r="T41" i="92"/>
  <c r="Z41" i="92" s="1"/>
  <c r="T42" i="92"/>
  <c r="T45" i="92"/>
  <c r="T48" i="92"/>
  <c r="F25" i="128" s="1"/>
  <c r="T51" i="92"/>
  <c r="F28" i="128" s="1"/>
  <c r="F22" i="139" s="1"/>
  <c r="T55" i="92"/>
  <c r="F32" i="128" s="1"/>
  <c r="F25" i="139" s="1"/>
  <c r="T56" i="92"/>
  <c r="F34" i="128" s="1"/>
  <c r="G34" i="128" s="1"/>
  <c r="T57" i="92"/>
  <c r="F35" i="128" s="1"/>
  <c r="E4" i="92"/>
  <c r="E10" i="92" s="1"/>
  <c r="C3" i="128" s="1"/>
  <c r="Q8" i="134"/>
  <c r="N9" i="134"/>
  <c r="L8" i="128" s="1"/>
  <c r="L8" i="139" s="1"/>
  <c r="Q10" i="134"/>
  <c r="N11" i="134"/>
  <c r="L10" i="128" s="1"/>
  <c r="L10" i="139" s="1"/>
  <c r="D18" i="134"/>
  <c r="V18" i="134"/>
  <c r="V5" i="134"/>
  <c r="S17" i="92"/>
  <c r="E15" i="134"/>
  <c r="J16" i="128" s="1"/>
  <c r="E21" i="134"/>
  <c r="J34" i="128" s="1"/>
  <c r="E23" i="134"/>
  <c r="J36" i="128" s="1"/>
  <c r="K11" i="134"/>
  <c r="J18" i="134"/>
  <c r="K15" i="134"/>
  <c r="K16" i="134"/>
  <c r="K21" i="134"/>
  <c r="K22" i="134"/>
  <c r="K23" i="134"/>
  <c r="M18" i="134"/>
  <c r="N15" i="134"/>
  <c r="L16" i="128" s="1"/>
  <c r="L20" i="139" s="1"/>
  <c r="N21" i="134"/>
  <c r="L34" i="128" s="1"/>
  <c r="L24" i="139" s="1"/>
  <c r="N23" i="134"/>
  <c r="L36" i="128" s="1"/>
  <c r="L26" i="139" s="1"/>
  <c r="P18" i="134"/>
  <c r="Q15" i="134"/>
  <c r="Q16" i="134"/>
  <c r="Q21" i="134"/>
  <c r="Q22" i="134"/>
  <c r="Q23" i="134"/>
  <c r="S18" i="134"/>
  <c r="T15" i="134"/>
  <c r="M16" i="128" s="1"/>
  <c r="M20" i="139" s="1"/>
  <c r="T21" i="134"/>
  <c r="M34" i="128" s="1"/>
  <c r="M24" i="139" s="1"/>
  <c r="T23" i="134"/>
  <c r="M36" i="128" s="1"/>
  <c r="M26" i="139" s="1"/>
  <c r="Y14" i="134"/>
  <c r="D16" i="92"/>
  <c r="D17" i="92" s="1"/>
  <c r="D28" i="92"/>
  <c r="D43" i="92"/>
  <c r="H12" i="92"/>
  <c r="H19" i="92"/>
  <c r="D7" i="128" s="1"/>
  <c r="D18" i="139" s="1"/>
  <c r="K18" i="92"/>
  <c r="C28" i="92"/>
  <c r="N5" i="134"/>
  <c r="L4" i="128" s="1"/>
  <c r="L4" i="139" s="1"/>
  <c r="N16" i="134"/>
  <c r="L17" i="128" s="1"/>
  <c r="L21" i="139" s="1"/>
  <c r="N22" i="134"/>
  <c r="L35" i="128" s="1"/>
  <c r="L25" i="139" s="1"/>
  <c r="T16" i="134"/>
  <c r="M17" i="128" s="1"/>
  <c r="M21" i="139" s="1"/>
  <c r="T22" i="134"/>
  <c r="M35" i="128" s="1"/>
  <c r="M25" i="139" s="1"/>
  <c r="C16" i="128"/>
  <c r="C32" i="92"/>
  <c r="C58" i="92"/>
  <c r="K29" i="92"/>
  <c r="W10" i="134"/>
  <c r="O17" i="134"/>
  <c r="Q17" i="134" s="1"/>
  <c r="U17" i="134"/>
  <c r="E20" i="92"/>
  <c r="C6" i="128"/>
  <c r="E46" i="92"/>
  <c r="C23" i="128" s="1"/>
  <c r="E49" i="92"/>
  <c r="C24" i="128"/>
  <c r="E52" i="92"/>
  <c r="C27" i="128"/>
  <c r="C31" i="128"/>
  <c r="J17" i="92"/>
  <c r="L17" i="134"/>
  <c r="N17" i="134" s="1"/>
  <c r="L18" i="128" s="1"/>
  <c r="L22" i="139" s="1"/>
  <c r="R17" i="134"/>
  <c r="T17" i="134" s="1"/>
  <c r="M18" i="128" s="1"/>
  <c r="D20" i="92"/>
  <c r="D32" i="92"/>
  <c r="D46" i="92"/>
  <c r="D49" i="92"/>
  <c r="D52" i="92"/>
  <c r="D58" i="92"/>
  <c r="E23" i="92"/>
  <c r="C11" i="128" s="1"/>
  <c r="E30" i="92"/>
  <c r="C18" i="128" s="1"/>
  <c r="E55" i="92"/>
  <c r="C32" i="128" s="1"/>
  <c r="I16" i="92"/>
  <c r="K11" i="92"/>
  <c r="K23" i="92"/>
  <c r="I28" i="92"/>
  <c r="K25" i="92"/>
  <c r="K34" i="92"/>
  <c r="I43" i="92"/>
  <c r="I46" i="92"/>
  <c r="K44" i="92"/>
  <c r="K46" i="92" s="1"/>
  <c r="I49" i="92"/>
  <c r="K47" i="92"/>
  <c r="I52" i="92"/>
  <c r="K50" i="92"/>
  <c r="I58" i="92"/>
  <c r="K54" i="92"/>
  <c r="M17" i="92"/>
  <c r="P17" i="92"/>
  <c r="N18" i="92"/>
  <c r="N29" i="92"/>
  <c r="E17" i="128" s="1"/>
  <c r="N44" i="92"/>
  <c r="N47" i="92"/>
  <c r="N50" i="92"/>
  <c r="N54" i="92"/>
  <c r="Q18" i="92"/>
  <c r="Q29" i="92"/>
  <c r="Q44" i="92"/>
  <c r="Q47" i="92"/>
  <c r="Q50" i="92"/>
  <c r="Q54" i="92"/>
  <c r="T18" i="92"/>
  <c r="T29" i="92"/>
  <c r="F17" i="128" s="1"/>
  <c r="G17" i="128" s="1"/>
  <c r="T44" i="92"/>
  <c r="T47" i="92"/>
  <c r="T50" i="92"/>
  <c r="T54" i="92"/>
  <c r="L43" i="92"/>
  <c r="O43" i="92"/>
  <c r="R43" i="92"/>
  <c r="N11" i="92"/>
  <c r="N25" i="92"/>
  <c r="E13" i="128" s="1"/>
  <c r="Q11" i="92"/>
  <c r="Q25" i="92"/>
  <c r="T11" i="92"/>
  <c r="T25" i="92"/>
  <c r="F13" i="128" s="1"/>
  <c r="G13" i="128" s="1"/>
  <c r="Y16" i="92"/>
  <c r="E16" i="92"/>
  <c r="E28" i="92"/>
  <c r="E43" i="92"/>
  <c r="C22" i="128" s="1"/>
  <c r="V33" i="92"/>
  <c r="Y33" i="92" s="1"/>
  <c r="E41" i="132"/>
  <c r="E62" i="132" s="1"/>
  <c r="G41" i="132"/>
  <c r="G62" i="132" s="1"/>
  <c r="P6" i="134" s="1"/>
  <c r="I41" i="132"/>
  <c r="E22" i="132"/>
  <c r="J4" i="134" s="1"/>
  <c r="G22" i="132"/>
  <c r="P4" i="134" s="1"/>
  <c r="I22" i="132"/>
  <c r="F96" i="132"/>
  <c r="F132" i="132" s="1"/>
  <c r="F138" i="132" s="1"/>
  <c r="H96" i="132"/>
  <c r="E96" i="132"/>
  <c r="E132" i="132" s="1"/>
  <c r="E138" i="132" s="1"/>
  <c r="G96" i="132"/>
  <c r="G132" i="132" s="1"/>
  <c r="I96" i="132"/>
  <c r="G138" i="132"/>
  <c r="F22" i="132"/>
  <c r="M4" i="134" s="1"/>
  <c r="H22" i="132"/>
  <c r="F41" i="132"/>
  <c r="F62" i="132" s="1"/>
  <c r="M6" i="134" s="1"/>
  <c r="H41" i="132"/>
  <c r="E89" i="144"/>
  <c r="G89" i="144"/>
  <c r="G96" i="144" s="1"/>
  <c r="F89" i="144"/>
  <c r="F96" i="144" s="1"/>
  <c r="H89" i="144"/>
  <c r="I89" i="144"/>
  <c r="F22" i="144"/>
  <c r="L4" i="134" s="1"/>
  <c r="H22" i="144"/>
  <c r="G41" i="144"/>
  <c r="G62" i="144" s="1"/>
  <c r="O6" i="134" s="1"/>
  <c r="G22" i="144"/>
  <c r="O4" i="134" s="1"/>
  <c r="F112" i="144"/>
  <c r="H112" i="144"/>
  <c r="G112" i="144"/>
  <c r="F41" i="144"/>
  <c r="F62" i="144" s="1"/>
  <c r="L6" i="134" s="1"/>
  <c r="H41" i="144"/>
  <c r="F28" i="94"/>
  <c r="F63" i="144" s="1"/>
  <c r="L7" i="134" s="1"/>
  <c r="N7" i="134" s="1"/>
  <c r="L6" i="128" s="1"/>
  <c r="L6" i="139" s="1"/>
  <c r="H28" i="94"/>
  <c r="H63" i="144" s="1"/>
  <c r="I28" i="94"/>
  <c r="D35" i="95"/>
  <c r="D68" i="144" s="1"/>
  <c r="F19" i="134" s="1"/>
  <c r="F35" i="95"/>
  <c r="H35" i="95"/>
  <c r="E35" i="95"/>
  <c r="G35" i="95"/>
  <c r="I35" i="95"/>
  <c r="I68" i="144" s="1"/>
  <c r="U19" i="134" s="1"/>
  <c r="X19" i="134" s="1"/>
  <c r="G53" i="97"/>
  <c r="G71" i="144" s="1"/>
  <c r="O14" i="134" s="1"/>
  <c r="Q14" i="134" s="1"/>
  <c r="I53" i="97"/>
  <c r="J51" i="97"/>
  <c r="E35" i="97"/>
  <c r="E70" i="144" s="1"/>
  <c r="I13" i="134" s="1"/>
  <c r="K13" i="134" s="1"/>
  <c r="G35" i="97"/>
  <c r="I35" i="97"/>
  <c r="F35" i="97"/>
  <c r="F70" i="144" s="1"/>
  <c r="L13" i="134" s="1"/>
  <c r="N13" i="134" s="1"/>
  <c r="L14" i="128" s="1"/>
  <c r="L17" i="139" s="1"/>
  <c r="H35" i="97"/>
  <c r="H70" i="144" s="1"/>
  <c r="F53" i="97"/>
  <c r="H53" i="97"/>
  <c r="K7" i="146"/>
  <c r="K45" i="146"/>
  <c r="E53" i="146"/>
  <c r="F51" i="146"/>
  <c r="F53" i="146" s="1"/>
  <c r="F56" i="146"/>
  <c r="G56" i="146" s="1"/>
  <c r="F7" i="146"/>
  <c r="G5" i="146"/>
  <c r="G7" i="146" s="1"/>
  <c r="M6" i="146"/>
  <c r="M7" i="146" s="1"/>
  <c r="E7" i="146"/>
  <c r="E24" i="146" s="1"/>
  <c r="F13" i="146"/>
  <c r="G10" i="146"/>
  <c r="G11" i="146"/>
  <c r="G12" i="146"/>
  <c r="K13" i="146"/>
  <c r="G15" i="146"/>
  <c r="K16" i="146"/>
  <c r="M16" i="146" s="1"/>
  <c r="G19" i="146"/>
  <c r="G20" i="146"/>
  <c r="K21" i="146"/>
  <c r="M21" i="146" s="1"/>
  <c r="G23" i="146"/>
  <c r="G29" i="146"/>
  <c r="G31" i="146"/>
  <c r="B58" i="146"/>
  <c r="H58" i="146"/>
  <c r="G36" i="146"/>
  <c r="G38" i="146"/>
  <c r="G41" i="146"/>
  <c r="G43" i="146"/>
  <c r="E45" i="146"/>
  <c r="E58" i="146" s="1"/>
  <c r="G47" i="146"/>
  <c r="K48" i="146"/>
  <c r="L47" i="146"/>
  <c r="G51" i="146"/>
  <c r="G52" i="146"/>
  <c r="G55" i="146"/>
  <c r="G27" i="146"/>
  <c r="M50" i="146"/>
  <c r="I70" i="144" l="1"/>
  <c r="J70" i="144" s="1"/>
  <c r="X8" i="134"/>
  <c r="T10" i="134"/>
  <c r="M9" i="128" s="1"/>
  <c r="M9" i="139" s="1"/>
  <c r="O17" i="92"/>
  <c r="X9" i="134"/>
  <c r="I17" i="92"/>
  <c r="F24" i="146"/>
  <c r="R13" i="134"/>
  <c r="T13" i="134" s="1"/>
  <c r="M14" i="128" s="1"/>
  <c r="M17" i="139" s="1"/>
  <c r="R4" i="134"/>
  <c r="M53" i="146"/>
  <c r="M13" i="146"/>
  <c r="G39" i="146"/>
  <c r="G53" i="146"/>
  <c r="G13" i="146"/>
  <c r="R7" i="134"/>
  <c r="T7" i="134" s="1"/>
  <c r="M6" i="128" s="1"/>
  <c r="H62" i="144"/>
  <c r="R10" i="92"/>
  <c r="R17" i="92" s="1"/>
  <c r="R53" i="92" s="1"/>
  <c r="R59" i="92" s="1"/>
  <c r="C25" i="139"/>
  <c r="G25" i="139" s="1"/>
  <c r="G32" i="128"/>
  <c r="X9" i="92"/>
  <c r="W9" i="92"/>
  <c r="Z9" i="92" s="1"/>
  <c r="X5" i="92"/>
  <c r="W5" i="92"/>
  <c r="Z5" i="92" s="1"/>
  <c r="X8" i="92"/>
  <c r="U10" i="92"/>
  <c r="X10" i="92" s="1"/>
  <c r="G11" i="128"/>
  <c r="J33" i="92"/>
  <c r="J53" i="92" s="1"/>
  <c r="J59" i="92" s="1"/>
  <c r="X4" i="92"/>
  <c r="H96" i="144"/>
  <c r="P33" i="92"/>
  <c r="P53" i="92" s="1"/>
  <c r="P59" i="92" s="1"/>
  <c r="N4" i="134"/>
  <c r="L3" i="128" s="1"/>
  <c r="L3" i="139" s="1"/>
  <c r="K52" i="92"/>
  <c r="Y5" i="134"/>
  <c r="S33" i="92"/>
  <c r="W7" i="92"/>
  <c r="Z7" i="92" s="1"/>
  <c r="X7" i="92"/>
  <c r="X6" i="92"/>
  <c r="L53" i="146"/>
  <c r="M24" i="146"/>
  <c r="C24" i="139"/>
  <c r="G22" i="139"/>
  <c r="G28" i="128"/>
  <c r="C20" i="128"/>
  <c r="G18" i="128"/>
  <c r="C3" i="139"/>
  <c r="J26" i="139"/>
  <c r="N26" i="139" s="1"/>
  <c r="N36" i="128"/>
  <c r="N25" i="139"/>
  <c r="J24" i="139"/>
  <c r="N24" i="139" s="1"/>
  <c r="N34" i="128"/>
  <c r="N35" i="128"/>
  <c r="J20" i="139"/>
  <c r="N20" i="139" s="1"/>
  <c r="N16" i="128"/>
  <c r="J22" i="139"/>
  <c r="N22" i="139" s="1"/>
  <c r="N18" i="128"/>
  <c r="J7" i="139"/>
  <c r="N7" i="128"/>
  <c r="C21" i="139"/>
  <c r="G21" i="139" s="1"/>
  <c r="G27" i="128"/>
  <c r="C9" i="139"/>
  <c r="G9" i="139" s="1"/>
  <c r="G24" i="128"/>
  <c r="C20" i="139"/>
  <c r="C8" i="139"/>
  <c r="C17" i="139"/>
  <c r="G17" i="139" s="1"/>
  <c r="G6" i="128"/>
  <c r="Q20" i="92"/>
  <c r="N46" i="92"/>
  <c r="E23" i="128" s="1"/>
  <c r="E20" i="139" s="1"/>
  <c r="Y18" i="134"/>
  <c r="H62" i="132"/>
  <c r="H76" i="132" s="1"/>
  <c r="J41" i="132"/>
  <c r="S4" i="134"/>
  <c r="T4" i="134" s="1"/>
  <c r="M3" i="128" s="1"/>
  <c r="M3" i="139" s="1"/>
  <c r="J22" i="132"/>
  <c r="H132" i="132"/>
  <c r="J96" i="132"/>
  <c r="I62" i="132"/>
  <c r="V6" i="134" s="1"/>
  <c r="K20" i="92"/>
  <c r="Q24" i="92"/>
  <c r="T43" i="92"/>
  <c r="F22" i="128" s="1"/>
  <c r="F8" i="139" s="1"/>
  <c r="T16" i="92"/>
  <c r="F4" i="128" s="1"/>
  <c r="F4" i="139" s="1"/>
  <c r="Q52" i="92"/>
  <c r="F10" i="139"/>
  <c r="K32" i="92"/>
  <c r="F10" i="128"/>
  <c r="T24" i="92"/>
  <c r="E10" i="128"/>
  <c r="E12" i="128" s="1"/>
  <c r="N24" i="92"/>
  <c r="K24" i="92"/>
  <c r="C10" i="128"/>
  <c r="E24" i="92"/>
  <c r="F26" i="139"/>
  <c r="G26" i="139" s="1"/>
  <c r="Q28" i="92"/>
  <c r="E16" i="128"/>
  <c r="Q49" i="92"/>
  <c r="E20" i="128"/>
  <c r="K28" i="92"/>
  <c r="K16" i="92"/>
  <c r="Z8" i="134"/>
  <c r="T46" i="92"/>
  <c r="F23" i="128" s="1"/>
  <c r="F20" i="139" s="1"/>
  <c r="J28" i="94"/>
  <c r="I63" i="144"/>
  <c r="W11" i="134"/>
  <c r="Z11" i="134" s="1"/>
  <c r="W9" i="134"/>
  <c r="Z9" i="134" s="1"/>
  <c r="M10" i="139"/>
  <c r="Q58" i="92"/>
  <c r="N16" i="92"/>
  <c r="E4" i="128" s="1"/>
  <c r="E4" i="139" s="1"/>
  <c r="K58" i="92"/>
  <c r="K49" i="92"/>
  <c r="Q46" i="92"/>
  <c r="Q43" i="92"/>
  <c r="Q32" i="92"/>
  <c r="Q16" i="92"/>
  <c r="N43" i="92"/>
  <c r="E22" i="128" s="1"/>
  <c r="E8" i="139" s="1"/>
  <c r="M7" i="139"/>
  <c r="E68" i="144"/>
  <c r="I19" i="134" s="1"/>
  <c r="K19" i="134" s="1"/>
  <c r="W19" i="134"/>
  <c r="Z19" i="134" s="1"/>
  <c r="H36" i="95"/>
  <c r="H69" i="144" s="1"/>
  <c r="H68" i="144"/>
  <c r="G36" i="95"/>
  <c r="G69" i="144" s="1"/>
  <c r="G68" i="144"/>
  <c r="O19" i="134" s="1"/>
  <c r="Q19" i="134" s="1"/>
  <c r="F36" i="95"/>
  <c r="F69" i="144" s="1"/>
  <c r="F68" i="144"/>
  <c r="L19" i="134" s="1"/>
  <c r="N19" i="134" s="1"/>
  <c r="L23" i="128" s="1"/>
  <c r="L12" i="139" s="1"/>
  <c r="L14" i="139" s="1"/>
  <c r="H60" i="97"/>
  <c r="H71" i="144"/>
  <c r="J53" i="97"/>
  <c r="I71" i="144"/>
  <c r="F60" i="97"/>
  <c r="F71" i="144"/>
  <c r="L14" i="134" s="1"/>
  <c r="N14" i="134" s="1"/>
  <c r="L15" i="128" s="1"/>
  <c r="L18" i="139" s="1"/>
  <c r="G60" i="97"/>
  <c r="G70" i="144"/>
  <c r="O13" i="134" s="1"/>
  <c r="Q13" i="134" s="1"/>
  <c r="Q18" i="134" s="1"/>
  <c r="K43" i="92"/>
  <c r="D33" i="92"/>
  <c r="D53" i="92" s="1"/>
  <c r="D59" i="92" s="1"/>
  <c r="M4" i="139"/>
  <c r="L11" i="139"/>
  <c r="Q6" i="134"/>
  <c r="S53" i="92"/>
  <c r="S59" i="92" s="1"/>
  <c r="M53" i="92"/>
  <c r="M59" i="92" s="1"/>
  <c r="L11" i="128"/>
  <c r="L27" i="139"/>
  <c r="E76" i="132"/>
  <c r="E81" i="132" s="1"/>
  <c r="J6" i="134"/>
  <c r="J12" i="134" s="1"/>
  <c r="J20" i="134" s="1"/>
  <c r="J24" i="134" s="1"/>
  <c r="N6" i="134"/>
  <c r="L5" i="128" s="1"/>
  <c r="L5" i="139" s="1"/>
  <c r="V4" i="134"/>
  <c r="M12" i="134"/>
  <c r="M20" i="134" s="1"/>
  <c r="M24" i="134" s="1"/>
  <c r="P12" i="134"/>
  <c r="P20" i="134" s="1"/>
  <c r="P24" i="134" s="1"/>
  <c r="E32" i="92"/>
  <c r="C33" i="92"/>
  <c r="G132" i="144"/>
  <c r="G138" i="144" s="1"/>
  <c r="L53" i="92"/>
  <c r="L59" i="92" s="1"/>
  <c r="O12" i="134"/>
  <c r="T32" i="92"/>
  <c r="N32" i="92"/>
  <c r="O53" i="92"/>
  <c r="O59" i="92" s="1"/>
  <c r="T28" i="92"/>
  <c r="N28" i="92"/>
  <c r="I33" i="92"/>
  <c r="I53" i="92" s="1"/>
  <c r="I59" i="92" s="1"/>
  <c r="L12" i="134"/>
  <c r="Q4" i="134"/>
  <c r="E17" i="92"/>
  <c r="C4" i="128"/>
  <c r="F16" i="128"/>
  <c r="G16" i="128" s="1"/>
  <c r="T58" i="92"/>
  <c r="F31" i="128"/>
  <c r="G31" i="128" s="1"/>
  <c r="T49" i="92"/>
  <c r="F24" i="128"/>
  <c r="F20" i="128"/>
  <c r="N58" i="92"/>
  <c r="E31" i="128"/>
  <c r="E24" i="139" s="1"/>
  <c r="E27" i="139" s="1"/>
  <c r="N49" i="92"/>
  <c r="E24" i="128"/>
  <c r="M22" i="139"/>
  <c r="E58" i="92"/>
  <c r="M27" i="139"/>
  <c r="L23" i="139"/>
  <c r="M6" i="139"/>
  <c r="T52" i="92"/>
  <c r="F27" i="128"/>
  <c r="T20" i="92"/>
  <c r="F6" i="128"/>
  <c r="N52" i="92"/>
  <c r="E27" i="128"/>
  <c r="N20" i="92"/>
  <c r="E6" i="128"/>
  <c r="X17" i="134"/>
  <c r="W17" i="134"/>
  <c r="Z17" i="134" s="1"/>
  <c r="M22" i="128"/>
  <c r="L22" i="128"/>
  <c r="V53" i="92"/>
  <c r="G76" i="132"/>
  <c r="G81" i="132" s="1"/>
  <c r="I132" i="132"/>
  <c r="F76" i="132"/>
  <c r="F81" i="132" s="1"/>
  <c r="J89" i="144"/>
  <c r="F132" i="144"/>
  <c r="F138" i="144" s="1"/>
  <c r="J35" i="95"/>
  <c r="I36" i="95"/>
  <c r="I60" i="97"/>
  <c r="J35" i="97"/>
  <c r="G24" i="146"/>
  <c r="M48" i="146"/>
  <c r="M58" i="146" s="1"/>
  <c r="G45" i="146"/>
  <c r="K24" i="146"/>
  <c r="F58" i="146"/>
  <c r="G34" i="146"/>
  <c r="G58" i="146" s="1"/>
  <c r="L48" i="146"/>
  <c r="M47" i="146"/>
  <c r="K58" i="146"/>
  <c r="U13" i="134" l="1"/>
  <c r="W13" i="134" s="1"/>
  <c r="Z13" i="134" s="1"/>
  <c r="J60" i="97"/>
  <c r="M11" i="128"/>
  <c r="Z10" i="134"/>
  <c r="E21" i="128"/>
  <c r="E7" i="139" s="1"/>
  <c r="R6" i="134"/>
  <c r="R12" i="134" s="1"/>
  <c r="R14" i="134"/>
  <c r="T14" i="134" s="1"/>
  <c r="M15" i="128" s="1"/>
  <c r="M18" i="139" s="1"/>
  <c r="R19" i="134"/>
  <c r="T19" i="134" s="1"/>
  <c r="M23" i="128" s="1"/>
  <c r="H132" i="144"/>
  <c r="G20" i="139"/>
  <c r="L58" i="146"/>
  <c r="G20" i="128"/>
  <c r="C12" i="128"/>
  <c r="G10" i="128"/>
  <c r="N7" i="139"/>
  <c r="G23" i="128"/>
  <c r="G22" i="128"/>
  <c r="G8" i="139"/>
  <c r="C4" i="139"/>
  <c r="G4" i="139" s="1"/>
  <c r="G4" i="128"/>
  <c r="H81" i="132"/>
  <c r="H138" i="132"/>
  <c r="J132" i="132"/>
  <c r="S6" i="134"/>
  <c r="Y6" i="134" s="1"/>
  <c r="J62" i="132"/>
  <c r="I76" i="132"/>
  <c r="I81" i="132" s="1"/>
  <c r="Q33" i="92"/>
  <c r="M23" i="139"/>
  <c r="X13" i="134"/>
  <c r="F12" i="128"/>
  <c r="K33" i="92"/>
  <c r="J63" i="144"/>
  <c r="U7" i="134"/>
  <c r="M11" i="139"/>
  <c r="O18" i="134"/>
  <c r="O20" i="134" s="1"/>
  <c r="O24" i="134" s="1"/>
  <c r="H76" i="144"/>
  <c r="Q12" i="134"/>
  <c r="Q20" i="134" s="1"/>
  <c r="Q24" i="134" s="1"/>
  <c r="L15" i="139"/>
  <c r="J36" i="95"/>
  <c r="I69" i="144"/>
  <c r="J69" i="144" s="1"/>
  <c r="M12" i="139"/>
  <c r="J71" i="144"/>
  <c r="U14" i="134"/>
  <c r="G76" i="144"/>
  <c r="G81" i="144" s="1"/>
  <c r="F76" i="144"/>
  <c r="F81" i="144" s="1"/>
  <c r="L30" i="128"/>
  <c r="L33" i="128" s="1"/>
  <c r="L37" i="128" s="1"/>
  <c r="L18" i="134"/>
  <c r="L20" i="134" s="1"/>
  <c r="L24" i="134" s="1"/>
  <c r="L28" i="139"/>
  <c r="N18" i="134"/>
  <c r="E33" i="92"/>
  <c r="E53" i="92" s="1"/>
  <c r="E59" i="92" s="1"/>
  <c r="N12" i="134"/>
  <c r="Y4" i="134"/>
  <c r="V12" i="134"/>
  <c r="T33" i="92"/>
  <c r="N33" i="92"/>
  <c r="E17" i="139"/>
  <c r="E19" i="139" s="1"/>
  <c r="E8" i="128"/>
  <c r="E21" i="139"/>
  <c r="E23" i="139" s="1"/>
  <c r="E29" i="128"/>
  <c r="F17" i="139"/>
  <c r="F8" i="128"/>
  <c r="F21" i="139"/>
  <c r="F29" i="128"/>
  <c r="E9" i="139"/>
  <c r="E11" i="139" s="1"/>
  <c r="E26" i="128"/>
  <c r="E28" i="139"/>
  <c r="F9" i="139"/>
  <c r="F26" i="128"/>
  <c r="F24" i="139"/>
  <c r="G24" i="139" s="1"/>
  <c r="V59" i="92"/>
  <c r="Y59" i="92" s="1"/>
  <c r="Y53" i="92"/>
  <c r="I138" i="132"/>
  <c r="T18" i="134" l="1"/>
  <c r="R18" i="134"/>
  <c r="R20" i="134" s="1"/>
  <c r="R24" i="134" s="1"/>
  <c r="H81" i="144"/>
  <c r="H138" i="144"/>
  <c r="C21" i="128"/>
  <c r="G12" i="128"/>
  <c r="F21" i="128"/>
  <c r="T6" i="134"/>
  <c r="S12" i="134"/>
  <c r="S20" i="134" s="1"/>
  <c r="S24" i="134" s="1"/>
  <c r="J138" i="132"/>
  <c r="J76" i="132"/>
  <c r="J81" i="132"/>
  <c r="X7" i="134"/>
  <c r="W7" i="134"/>
  <c r="Z7" i="134" s="1"/>
  <c r="N20" i="134"/>
  <c r="N24" i="134" s="1"/>
  <c r="L30" i="139"/>
  <c r="M14" i="139"/>
  <c r="M28" i="139"/>
  <c r="X14" i="134"/>
  <c r="W14" i="134"/>
  <c r="Z14" i="134" s="1"/>
  <c r="Y12" i="134"/>
  <c r="V20" i="134"/>
  <c r="F7" i="139"/>
  <c r="F11" i="139"/>
  <c r="F23" i="139"/>
  <c r="F27" i="139"/>
  <c r="F19" i="139"/>
  <c r="C7" i="139" l="1"/>
  <c r="G7" i="139" s="1"/>
  <c r="G21" i="128"/>
  <c r="M5" i="128"/>
  <c r="T12" i="134"/>
  <c r="T20" i="134" s="1"/>
  <c r="T24" i="134" s="1"/>
  <c r="V24" i="134"/>
  <c r="Y24" i="134" s="1"/>
  <c r="Y20" i="134"/>
  <c r="F28" i="139"/>
  <c r="I4" i="144"/>
  <c r="D5" i="144"/>
  <c r="I5" i="144"/>
  <c r="J5" i="144" s="1"/>
  <c r="D6" i="144"/>
  <c r="I6" i="144"/>
  <c r="J6" i="144" s="1"/>
  <c r="D7" i="144"/>
  <c r="I7" i="144"/>
  <c r="J7" i="144" s="1"/>
  <c r="I8" i="144"/>
  <c r="J8" i="144" s="1"/>
  <c r="D9" i="144"/>
  <c r="I9" i="144"/>
  <c r="J9" i="144" s="1"/>
  <c r="D10" i="144"/>
  <c r="I10" i="144"/>
  <c r="J10" i="144" s="1"/>
  <c r="I11" i="144"/>
  <c r="J11" i="144" s="1"/>
  <c r="D12" i="144"/>
  <c r="I12" i="144"/>
  <c r="J12" i="144" s="1"/>
  <c r="I13" i="144"/>
  <c r="J13" i="144" s="1"/>
  <c r="I14" i="144"/>
  <c r="J14" i="144" s="1"/>
  <c r="D15" i="144"/>
  <c r="I15" i="144"/>
  <c r="J15" i="144" s="1"/>
  <c r="I16" i="144"/>
  <c r="J16" i="144" s="1"/>
  <c r="C17" i="144"/>
  <c r="Y17" i="144"/>
  <c r="X17" i="144"/>
  <c r="V17" i="144"/>
  <c r="AL17" i="144"/>
  <c r="AK17" i="144"/>
  <c r="AT17" i="144"/>
  <c r="N17" i="144"/>
  <c r="U17" i="144"/>
  <c r="AA17" i="144"/>
  <c r="AF17" i="144"/>
  <c r="AG17" i="144"/>
  <c r="AU17" i="144"/>
  <c r="W17" i="144"/>
  <c r="AS17" i="144"/>
  <c r="AO17" i="144"/>
  <c r="AI17" i="144"/>
  <c r="AJ17" i="144"/>
  <c r="AH17" i="144"/>
  <c r="M17" i="144"/>
  <c r="Z17" i="144"/>
  <c r="AM17" i="144"/>
  <c r="AN17" i="144"/>
  <c r="AE17" i="144"/>
  <c r="S17" i="144"/>
  <c r="AP17" i="144"/>
  <c r="AQ17" i="144"/>
  <c r="AR17" i="144"/>
  <c r="AB17" i="144"/>
  <c r="AD17" i="144"/>
  <c r="P17" i="144"/>
  <c r="AX17" i="144"/>
  <c r="AW17" i="144"/>
  <c r="R17" i="144"/>
  <c r="Q17" i="144"/>
  <c r="AC17" i="144"/>
  <c r="L17" i="144"/>
  <c r="O17" i="144"/>
  <c r="AV17" i="144"/>
  <c r="T17" i="144"/>
  <c r="I18" i="144"/>
  <c r="I19" i="144"/>
  <c r="J19" i="144" s="1"/>
  <c r="I20" i="144"/>
  <c r="J20" i="144" s="1"/>
  <c r="C21" i="144"/>
  <c r="Y21" i="144"/>
  <c r="X21" i="144"/>
  <c r="V21" i="144"/>
  <c r="AL21" i="144"/>
  <c r="AK21" i="144"/>
  <c r="AT21" i="144"/>
  <c r="N21" i="144"/>
  <c r="U21" i="144"/>
  <c r="AA21" i="144"/>
  <c r="AF21" i="144"/>
  <c r="AG21" i="144"/>
  <c r="AU21" i="144"/>
  <c r="W21" i="144"/>
  <c r="AS21" i="144"/>
  <c r="AO21" i="144"/>
  <c r="AI21" i="144"/>
  <c r="AJ21" i="144"/>
  <c r="AH21" i="144"/>
  <c r="M21" i="144"/>
  <c r="Z21" i="144"/>
  <c r="AM21" i="144"/>
  <c r="AN21" i="144"/>
  <c r="AE21" i="144"/>
  <c r="S21" i="144"/>
  <c r="AP21" i="144"/>
  <c r="AQ21" i="144"/>
  <c r="AR21" i="144"/>
  <c r="AB21" i="144"/>
  <c r="AD21" i="144"/>
  <c r="P21" i="144"/>
  <c r="AX21" i="144"/>
  <c r="AW21" i="144"/>
  <c r="R21" i="144"/>
  <c r="Q21" i="144"/>
  <c r="AC21" i="144"/>
  <c r="L21" i="144"/>
  <c r="O21" i="144"/>
  <c r="AV21" i="144"/>
  <c r="T21" i="144"/>
  <c r="I23" i="144"/>
  <c r="I25" i="144"/>
  <c r="J25" i="144" s="1"/>
  <c r="D26" i="144"/>
  <c r="I26" i="144"/>
  <c r="J26" i="144" s="1"/>
  <c r="I27" i="144"/>
  <c r="J27" i="144" s="1"/>
  <c r="C28" i="144"/>
  <c r="Y28" i="144"/>
  <c r="X28" i="144"/>
  <c r="V28" i="144"/>
  <c r="AL28" i="144"/>
  <c r="AK28" i="144"/>
  <c r="AT28" i="144"/>
  <c r="N28" i="144"/>
  <c r="U28" i="144"/>
  <c r="AA28" i="144"/>
  <c r="AF28" i="144"/>
  <c r="AG28" i="144"/>
  <c r="AU28" i="144"/>
  <c r="W28" i="144"/>
  <c r="AS28" i="144"/>
  <c r="AO28" i="144"/>
  <c r="AI28" i="144"/>
  <c r="AJ28" i="144"/>
  <c r="AH28" i="144"/>
  <c r="M28" i="144"/>
  <c r="Z28" i="144"/>
  <c r="AM28" i="144"/>
  <c r="AN28" i="144"/>
  <c r="AE28" i="144"/>
  <c r="S28" i="144"/>
  <c r="AP28" i="144"/>
  <c r="AQ28" i="144"/>
  <c r="AR28" i="144"/>
  <c r="AB28" i="144"/>
  <c r="AD28" i="144"/>
  <c r="P28" i="144"/>
  <c r="AX28" i="144"/>
  <c r="AW28" i="144"/>
  <c r="R28" i="144"/>
  <c r="Q28" i="144"/>
  <c r="AC28" i="144"/>
  <c r="L28" i="144"/>
  <c r="O28" i="144"/>
  <c r="AV28" i="144"/>
  <c r="T28" i="144"/>
  <c r="D29" i="144"/>
  <c r="I29" i="144"/>
  <c r="D30" i="144"/>
  <c r="I30" i="144"/>
  <c r="I31" i="144"/>
  <c r="J31" i="144" s="1"/>
  <c r="I34" i="144"/>
  <c r="I35" i="144"/>
  <c r="J35" i="144" s="1"/>
  <c r="I36" i="144"/>
  <c r="J36" i="144" s="1"/>
  <c r="I37" i="144"/>
  <c r="J37" i="144" s="1"/>
  <c r="I38" i="144"/>
  <c r="J38" i="144" s="1"/>
  <c r="I39" i="144"/>
  <c r="J39" i="144" s="1"/>
  <c r="C40" i="144"/>
  <c r="Y40" i="144"/>
  <c r="X40" i="144"/>
  <c r="V40" i="144"/>
  <c r="AL40" i="144"/>
  <c r="AK40" i="144"/>
  <c r="AT40" i="144"/>
  <c r="N40" i="144"/>
  <c r="U40" i="144"/>
  <c r="AA40" i="144"/>
  <c r="AF40" i="144"/>
  <c r="AG40" i="144"/>
  <c r="AU40" i="144"/>
  <c r="W40" i="144"/>
  <c r="AS40" i="144"/>
  <c r="AO40" i="144"/>
  <c r="AI40" i="144"/>
  <c r="AJ40" i="144"/>
  <c r="AH40" i="144"/>
  <c r="M40" i="144"/>
  <c r="Z40" i="144"/>
  <c r="AM40" i="144"/>
  <c r="AN40" i="144"/>
  <c r="AE40" i="144"/>
  <c r="S40" i="144"/>
  <c r="AP40" i="144"/>
  <c r="AQ40" i="144"/>
  <c r="AR40" i="144"/>
  <c r="AB40" i="144"/>
  <c r="AD40" i="144"/>
  <c r="P40" i="144"/>
  <c r="AX40" i="144"/>
  <c r="AW40" i="144"/>
  <c r="R40" i="144"/>
  <c r="Q40" i="144"/>
  <c r="AC40" i="144"/>
  <c r="L40" i="144"/>
  <c r="O40" i="144"/>
  <c r="AV40" i="144"/>
  <c r="T40" i="144"/>
  <c r="I42" i="144"/>
  <c r="I43" i="144"/>
  <c r="J43" i="144" s="1"/>
  <c r="C44" i="144"/>
  <c r="Y44" i="144"/>
  <c r="X44" i="144"/>
  <c r="V44" i="144"/>
  <c r="AL44" i="144"/>
  <c r="AK44" i="144"/>
  <c r="AT44" i="144"/>
  <c r="N44" i="144"/>
  <c r="U44" i="144"/>
  <c r="AA44" i="144"/>
  <c r="AF44" i="144"/>
  <c r="AG44" i="144"/>
  <c r="AU44" i="144"/>
  <c r="W44" i="144"/>
  <c r="AS44" i="144"/>
  <c r="AO44" i="144"/>
  <c r="AI44" i="144"/>
  <c r="AJ44" i="144"/>
  <c r="AH44" i="144"/>
  <c r="M44" i="144"/>
  <c r="Z44" i="144"/>
  <c r="AM44" i="144"/>
  <c r="AN44" i="144"/>
  <c r="AE44" i="144"/>
  <c r="S44" i="144"/>
  <c r="AP44" i="144"/>
  <c r="AQ44" i="144"/>
  <c r="AR44" i="144"/>
  <c r="AB44" i="144"/>
  <c r="AD44" i="144"/>
  <c r="P44" i="144"/>
  <c r="AX44" i="144"/>
  <c r="AW44" i="144"/>
  <c r="R44" i="144"/>
  <c r="Q44" i="144"/>
  <c r="AC44" i="144"/>
  <c r="L44" i="144"/>
  <c r="O44" i="144"/>
  <c r="AV44" i="144"/>
  <c r="T44" i="144"/>
  <c r="I45" i="144"/>
  <c r="I46" i="144"/>
  <c r="J46" i="144" s="1"/>
  <c r="I47" i="144"/>
  <c r="J47" i="144" s="1"/>
  <c r="I48" i="144"/>
  <c r="J48" i="144" s="1"/>
  <c r="I49" i="144"/>
  <c r="J49" i="144" s="1"/>
  <c r="I50" i="144"/>
  <c r="J50" i="144" s="1"/>
  <c r="I51" i="144"/>
  <c r="J51" i="144" s="1"/>
  <c r="C52" i="144"/>
  <c r="Y52" i="144"/>
  <c r="X52" i="144"/>
  <c r="V52" i="144"/>
  <c r="AL52" i="144"/>
  <c r="AK52" i="144"/>
  <c r="AT52" i="144"/>
  <c r="N52" i="144"/>
  <c r="U52" i="144"/>
  <c r="AA52" i="144"/>
  <c r="AF52" i="144"/>
  <c r="AG52" i="144"/>
  <c r="AU52" i="144"/>
  <c r="W52" i="144"/>
  <c r="AS52" i="144"/>
  <c r="AO52" i="144"/>
  <c r="AI52" i="144"/>
  <c r="AJ52" i="144"/>
  <c r="AH52" i="144"/>
  <c r="M52" i="144"/>
  <c r="Z52" i="144"/>
  <c r="AM52" i="144"/>
  <c r="AN52" i="144"/>
  <c r="AE52" i="144"/>
  <c r="S52" i="144"/>
  <c r="AP52" i="144"/>
  <c r="AQ52" i="144"/>
  <c r="AR52" i="144"/>
  <c r="AB52" i="144"/>
  <c r="AD52" i="144"/>
  <c r="P52" i="144"/>
  <c r="AX52" i="144"/>
  <c r="AW52" i="144"/>
  <c r="R52" i="144"/>
  <c r="Q52" i="144"/>
  <c r="AC52" i="144"/>
  <c r="L52" i="144"/>
  <c r="O52" i="144"/>
  <c r="AV52" i="144"/>
  <c r="T52" i="144"/>
  <c r="D53" i="144"/>
  <c r="I53" i="144"/>
  <c r="D54" i="144"/>
  <c r="I54" i="144"/>
  <c r="J54" i="144" s="1"/>
  <c r="C55" i="144"/>
  <c r="Y55" i="144"/>
  <c r="X55" i="144"/>
  <c r="V55" i="144"/>
  <c r="AL55" i="144"/>
  <c r="AK55" i="144"/>
  <c r="AT55" i="144"/>
  <c r="N55" i="144"/>
  <c r="U55" i="144"/>
  <c r="AA55" i="144"/>
  <c r="AF55" i="144"/>
  <c r="AG55" i="144"/>
  <c r="AU55" i="144"/>
  <c r="W55" i="144"/>
  <c r="AS55" i="144"/>
  <c r="AO55" i="144"/>
  <c r="AI55" i="144"/>
  <c r="AJ55" i="144"/>
  <c r="AH55" i="144"/>
  <c r="M55" i="144"/>
  <c r="Z55" i="144"/>
  <c r="AM55" i="144"/>
  <c r="AN55" i="144"/>
  <c r="AE55" i="144"/>
  <c r="S55" i="144"/>
  <c r="AP55" i="144"/>
  <c r="AQ55" i="144"/>
  <c r="AR55" i="144"/>
  <c r="AB55" i="144"/>
  <c r="AD55" i="144"/>
  <c r="P55" i="144"/>
  <c r="AX55" i="144"/>
  <c r="AW55" i="144"/>
  <c r="R55" i="144"/>
  <c r="Q55" i="144"/>
  <c r="AC55" i="144"/>
  <c r="L55" i="144"/>
  <c r="O55" i="144"/>
  <c r="AV55" i="144"/>
  <c r="T55" i="144"/>
  <c r="I56" i="144"/>
  <c r="D57" i="144"/>
  <c r="I57" i="144"/>
  <c r="J57" i="144" s="1"/>
  <c r="D58" i="144"/>
  <c r="I58" i="144"/>
  <c r="J58" i="144" s="1"/>
  <c r="D59" i="144"/>
  <c r="I59" i="144"/>
  <c r="J59" i="144" s="1"/>
  <c r="I60" i="144"/>
  <c r="J60" i="144" s="1"/>
  <c r="C61" i="144"/>
  <c r="Y61" i="144"/>
  <c r="X61" i="144"/>
  <c r="V61" i="144"/>
  <c r="AL61" i="144"/>
  <c r="AK61" i="144"/>
  <c r="AT61" i="144"/>
  <c r="N61" i="144"/>
  <c r="U61" i="144"/>
  <c r="AA61" i="144"/>
  <c r="AF61" i="144"/>
  <c r="AG61" i="144"/>
  <c r="AU61" i="144"/>
  <c r="W61" i="144"/>
  <c r="AS61" i="144"/>
  <c r="AO61" i="144"/>
  <c r="AI61" i="144"/>
  <c r="AJ61" i="144"/>
  <c r="AH61" i="144"/>
  <c r="M61" i="144"/>
  <c r="Z61" i="144"/>
  <c r="AM61" i="144"/>
  <c r="AN61" i="144"/>
  <c r="AE61" i="144"/>
  <c r="S61" i="144"/>
  <c r="AP61" i="144"/>
  <c r="AQ61" i="144"/>
  <c r="AR61" i="144"/>
  <c r="AB61" i="144"/>
  <c r="AD61" i="144"/>
  <c r="P61" i="144"/>
  <c r="AX61" i="144"/>
  <c r="AW61" i="144"/>
  <c r="R61" i="144"/>
  <c r="Q61" i="144"/>
  <c r="AC61" i="144"/>
  <c r="L61" i="144"/>
  <c r="O61" i="144"/>
  <c r="AV61" i="144"/>
  <c r="T61" i="144"/>
  <c r="Y69" i="144"/>
  <c r="X69" i="144"/>
  <c r="V69" i="144"/>
  <c r="AL69" i="144"/>
  <c r="AK69" i="144"/>
  <c r="AT69" i="144"/>
  <c r="N69" i="144"/>
  <c r="U69" i="144"/>
  <c r="AA69" i="144"/>
  <c r="AF69" i="144"/>
  <c r="AG69" i="144"/>
  <c r="AU69" i="144"/>
  <c r="W69" i="144"/>
  <c r="AS69" i="144"/>
  <c r="AO69" i="144"/>
  <c r="AI69" i="144"/>
  <c r="AJ69" i="144"/>
  <c r="AH69" i="144"/>
  <c r="M69" i="144"/>
  <c r="Z69" i="144"/>
  <c r="AM69" i="144"/>
  <c r="AN69" i="144"/>
  <c r="AE69" i="144"/>
  <c r="S69" i="144"/>
  <c r="AP69" i="144"/>
  <c r="AQ69" i="144"/>
  <c r="AR69" i="144"/>
  <c r="AB69" i="144"/>
  <c r="AD69" i="144"/>
  <c r="P69" i="144"/>
  <c r="AX69" i="144"/>
  <c r="AW69" i="144"/>
  <c r="R69" i="144"/>
  <c r="Q69" i="144"/>
  <c r="AC69" i="144"/>
  <c r="L69" i="144"/>
  <c r="O69" i="144"/>
  <c r="AV69" i="144"/>
  <c r="T69" i="144"/>
  <c r="U15" i="134"/>
  <c r="D73" i="144"/>
  <c r="F16" i="134" s="1"/>
  <c r="I73" i="144"/>
  <c r="C75" i="144"/>
  <c r="Y75" i="144"/>
  <c r="X75" i="144"/>
  <c r="V75" i="144"/>
  <c r="AL75" i="144"/>
  <c r="AK75" i="144"/>
  <c r="AT75" i="144"/>
  <c r="N75" i="144"/>
  <c r="U75" i="144"/>
  <c r="AA75" i="144"/>
  <c r="AF75" i="144"/>
  <c r="AG75" i="144"/>
  <c r="AU75" i="144"/>
  <c r="W75" i="144"/>
  <c r="AS75" i="144"/>
  <c r="AO75" i="144"/>
  <c r="AI75" i="144"/>
  <c r="AJ75" i="144"/>
  <c r="AH75" i="144"/>
  <c r="M75" i="144"/>
  <c r="Z75" i="144"/>
  <c r="AM75" i="144"/>
  <c r="AN75" i="144"/>
  <c r="AE75" i="144"/>
  <c r="S75" i="144"/>
  <c r="AP75" i="144"/>
  <c r="AQ75" i="144"/>
  <c r="AR75" i="144"/>
  <c r="AB75" i="144"/>
  <c r="AD75" i="144"/>
  <c r="P75" i="144"/>
  <c r="AX75" i="144"/>
  <c r="AW75" i="144"/>
  <c r="R75" i="144"/>
  <c r="Q75" i="144"/>
  <c r="AC75" i="144"/>
  <c r="L75" i="144"/>
  <c r="O75" i="144"/>
  <c r="AV75" i="144"/>
  <c r="T75" i="144"/>
  <c r="D77" i="144"/>
  <c r="F21" i="134" s="1"/>
  <c r="I77" i="144"/>
  <c r="U21" i="134" s="1"/>
  <c r="I78" i="144"/>
  <c r="I79" i="144"/>
  <c r="C80" i="144"/>
  <c r="Y80" i="144"/>
  <c r="X80" i="144"/>
  <c r="V80" i="144"/>
  <c r="AL80" i="144"/>
  <c r="AK80" i="144"/>
  <c r="AT80" i="144"/>
  <c r="N80" i="144"/>
  <c r="U80" i="144"/>
  <c r="AA80" i="144"/>
  <c r="AF80" i="144"/>
  <c r="AG80" i="144"/>
  <c r="AU80" i="144"/>
  <c r="W80" i="144"/>
  <c r="AS80" i="144"/>
  <c r="AO80" i="144"/>
  <c r="AI80" i="144"/>
  <c r="AJ80" i="144"/>
  <c r="AH80" i="144"/>
  <c r="M80" i="144"/>
  <c r="Z80" i="144"/>
  <c r="AM80" i="144"/>
  <c r="AN80" i="144"/>
  <c r="AE80" i="144"/>
  <c r="S80" i="144"/>
  <c r="AP80" i="144"/>
  <c r="AQ80" i="144"/>
  <c r="AR80" i="144"/>
  <c r="AB80" i="144"/>
  <c r="AD80" i="144"/>
  <c r="P80" i="144"/>
  <c r="AX80" i="144"/>
  <c r="AW80" i="144"/>
  <c r="R80" i="144"/>
  <c r="Q80" i="144"/>
  <c r="AC80" i="144"/>
  <c r="L80" i="144"/>
  <c r="O80" i="144"/>
  <c r="AV80" i="144"/>
  <c r="T80" i="144"/>
  <c r="Y89" i="144"/>
  <c r="X89" i="144"/>
  <c r="V89" i="144"/>
  <c r="AL89" i="144"/>
  <c r="AK89" i="144"/>
  <c r="AT89" i="144"/>
  <c r="N89" i="144"/>
  <c r="U89" i="144"/>
  <c r="AA89" i="144"/>
  <c r="AF89" i="144"/>
  <c r="AG89" i="144"/>
  <c r="AU89" i="144"/>
  <c r="W89" i="144"/>
  <c r="AS89" i="144"/>
  <c r="AO89" i="144"/>
  <c r="AI89" i="144"/>
  <c r="AJ89" i="144"/>
  <c r="AH89" i="144"/>
  <c r="M89" i="144"/>
  <c r="Z89" i="144"/>
  <c r="AM89" i="144"/>
  <c r="AN89" i="144"/>
  <c r="AE89" i="144"/>
  <c r="S89" i="144"/>
  <c r="AP89" i="144"/>
  <c r="AQ89" i="144"/>
  <c r="AR89" i="144"/>
  <c r="AB89" i="144"/>
  <c r="AD89" i="144"/>
  <c r="P89" i="144"/>
  <c r="AX89" i="144"/>
  <c r="AW89" i="144"/>
  <c r="R89" i="144"/>
  <c r="Q89" i="144"/>
  <c r="AC89" i="144"/>
  <c r="L89" i="144"/>
  <c r="O89" i="144"/>
  <c r="AV89" i="144"/>
  <c r="T89" i="144"/>
  <c r="D90" i="144"/>
  <c r="F11" i="92" s="1"/>
  <c r="I90" i="144"/>
  <c r="U11" i="92" s="1"/>
  <c r="I91" i="144"/>
  <c r="D92" i="144"/>
  <c r="F13" i="92" s="1"/>
  <c r="H13" i="92" s="1"/>
  <c r="I92" i="144"/>
  <c r="U13" i="92" s="1"/>
  <c r="D93" i="144"/>
  <c r="F14" i="92" s="1"/>
  <c r="H14" i="92" s="1"/>
  <c r="I93" i="144"/>
  <c r="D94" i="144"/>
  <c r="F15" i="92" s="1"/>
  <c r="H15" i="92" s="1"/>
  <c r="I94" i="144"/>
  <c r="C95" i="144"/>
  <c r="Y95" i="144"/>
  <c r="X95" i="144"/>
  <c r="V95" i="144"/>
  <c r="AL95" i="144"/>
  <c r="AK95" i="144"/>
  <c r="AT95" i="144"/>
  <c r="N95" i="144"/>
  <c r="U95" i="144"/>
  <c r="AA95" i="144"/>
  <c r="AF95" i="144"/>
  <c r="AG95" i="144"/>
  <c r="AU95" i="144"/>
  <c r="W95" i="144"/>
  <c r="AS95" i="144"/>
  <c r="AO95" i="144"/>
  <c r="AI95" i="144"/>
  <c r="AJ95" i="144"/>
  <c r="AH95" i="144"/>
  <c r="M95" i="144"/>
  <c r="Z95" i="144"/>
  <c r="AM95" i="144"/>
  <c r="AN95" i="144"/>
  <c r="AE95" i="144"/>
  <c r="S95" i="144"/>
  <c r="AP95" i="144"/>
  <c r="AQ95" i="144"/>
  <c r="AR95" i="144"/>
  <c r="AB95" i="144"/>
  <c r="AD95" i="144"/>
  <c r="P95" i="144"/>
  <c r="AX95" i="144"/>
  <c r="AW95" i="144"/>
  <c r="R95" i="144"/>
  <c r="Q95" i="144"/>
  <c r="AC95" i="144"/>
  <c r="L95" i="144"/>
  <c r="O95" i="144"/>
  <c r="AV95" i="144"/>
  <c r="T95" i="144"/>
  <c r="D97" i="144"/>
  <c r="F18" i="92" s="1"/>
  <c r="I97" i="144"/>
  <c r="U18" i="92" s="1"/>
  <c r="I98" i="144"/>
  <c r="C99" i="144"/>
  <c r="Y99" i="144"/>
  <c r="X99" i="144"/>
  <c r="V99" i="144"/>
  <c r="AL99" i="144"/>
  <c r="AK99" i="144"/>
  <c r="AT99" i="144"/>
  <c r="N99" i="144"/>
  <c r="U99" i="144"/>
  <c r="AA99" i="144"/>
  <c r="AF99" i="144"/>
  <c r="AG99" i="144"/>
  <c r="AU99" i="144"/>
  <c r="W99" i="144"/>
  <c r="AS99" i="144"/>
  <c r="AO99" i="144"/>
  <c r="AI99" i="144"/>
  <c r="AJ99" i="144"/>
  <c r="AH99" i="144"/>
  <c r="M99" i="144"/>
  <c r="Z99" i="144"/>
  <c r="AM99" i="144"/>
  <c r="AN99" i="144"/>
  <c r="AE99" i="144"/>
  <c r="S99" i="144"/>
  <c r="AP99" i="144"/>
  <c r="AQ99" i="144"/>
  <c r="AR99" i="144"/>
  <c r="AB99" i="144"/>
  <c r="AD99" i="144"/>
  <c r="P99" i="144"/>
  <c r="AX99" i="144"/>
  <c r="AW99" i="144"/>
  <c r="R99" i="144"/>
  <c r="Q99" i="144"/>
  <c r="AC99" i="144"/>
  <c r="L99" i="144"/>
  <c r="O99" i="144"/>
  <c r="AV99" i="144"/>
  <c r="T99" i="144"/>
  <c r="D102" i="144"/>
  <c r="F23" i="92" s="1"/>
  <c r="I102" i="144"/>
  <c r="U23" i="92" s="1"/>
  <c r="D101" i="144"/>
  <c r="I101" i="144"/>
  <c r="D104" i="144"/>
  <c r="F25" i="92" s="1"/>
  <c r="I104" i="144"/>
  <c r="U25" i="92" s="1"/>
  <c r="D105" i="144"/>
  <c r="F26" i="92" s="1"/>
  <c r="I105" i="144"/>
  <c r="D106" i="144"/>
  <c r="F27" i="92" s="1"/>
  <c r="I106" i="144"/>
  <c r="C107" i="144"/>
  <c r="Y107" i="144"/>
  <c r="X107" i="144"/>
  <c r="V107" i="144"/>
  <c r="AL107" i="144"/>
  <c r="AK107" i="144"/>
  <c r="AT107" i="144"/>
  <c r="N107" i="144"/>
  <c r="U107" i="144"/>
  <c r="AA107" i="144"/>
  <c r="AF107" i="144"/>
  <c r="AG107" i="144"/>
  <c r="AU107" i="144"/>
  <c r="W107" i="144"/>
  <c r="AS107" i="144"/>
  <c r="AO107" i="144"/>
  <c r="AI107" i="144"/>
  <c r="AJ107" i="144"/>
  <c r="AH107" i="144"/>
  <c r="M107" i="144"/>
  <c r="Z107" i="144"/>
  <c r="AM107" i="144"/>
  <c r="AN107" i="144"/>
  <c r="AE107" i="144"/>
  <c r="S107" i="144"/>
  <c r="AP107" i="144"/>
  <c r="AQ107" i="144"/>
  <c r="AR107" i="144"/>
  <c r="AB107" i="144"/>
  <c r="AD107" i="144"/>
  <c r="P107" i="144"/>
  <c r="AX107" i="144"/>
  <c r="AW107" i="144"/>
  <c r="R107" i="144"/>
  <c r="Q107" i="144"/>
  <c r="AC107" i="144"/>
  <c r="L107" i="144"/>
  <c r="O107" i="144"/>
  <c r="AV107" i="144"/>
  <c r="T107" i="144"/>
  <c r="D108" i="144"/>
  <c r="I108" i="144"/>
  <c r="U29" i="92" s="1"/>
  <c r="I109" i="144"/>
  <c r="I110" i="144"/>
  <c r="C111" i="144"/>
  <c r="Y111" i="144"/>
  <c r="X111" i="144"/>
  <c r="V111" i="144"/>
  <c r="AL111" i="144"/>
  <c r="AK111" i="144"/>
  <c r="AT111" i="144"/>
  <c r="N111" i="144"/>
  <c r="U111" i="144"/>
  <c r="AA111" i="144"/>
  <c r="AF111" i="144"/>
  <c r="AG111" i="144"/>
  <c r="AU111" i="144"/>
  <c r="W111" i="144"/>
  <c r="AS111" i="144"/>
  <c r="AO111" i="144"/>
  <c r="AI111" i="144"/>
  <c r="AJ111" i="144"/>
  <c r="AH111" i="144"/>
  <c r="M111" i="144"/>
  <c r="Z111" i="144"/>
  <c r="AM111" i="144"/>
  <c r="AN111" i="144"/>
  <c r="AE111" i="144"/>
  <c r="S111" i="144"/>
  <c r="AP111" i="144"/>
  <c r="AQ111" i="144"/>
  <c r="AR111" i="144"/>
  <c r="AB111" i="144"/>
  <c r="AD111" i="144"/>
  <c r="P111" i="144"/>
  <c r="AX111" i="144"/>
  <c r="AW111" i="144"/>
  <c r="R111" i="144"/>
  <c r="Q111" i="144"/>
  <c r="AC111" i="144"/>
  <c r="L111" i="144"/>
  <c r="O111" i="144"/>
  <c r="AV111" i="144"/>
  <c r="T111" i="144"/>
  <c r="I113" i="144"/>
  <c r="U34" i="92" s="1"/>
  <c r="I114" i="144"/>
  <c r="I115" i="144"/>
  <c r="D116" i="144"/>
  <c r="F37" i="92" s="1"/>
  <c r="I116" i="144"/>
  <c r="D117" i="144"/>
  <c r="F38" i="92" s="1"/>
  <c r="I117" i="144"/>
  <c r="I118" i="144"/>
  <c r="D119" i="144"/>
  <c r="F40" i="92" s="1"/>
  <c r="I119" i="144"/>
  <c r="U40" i="92" s="1"/>
  <c r="W40" i="92" s="1"/>
  <c r="D120" i="144"/>
  <c r="F41" i="92" s="1"/>
  <c r="I120" i="144"/>
  <c r="U41" i="92" s="1"/>
  <c r="W41" i="92" s="1"/>
  <c r="I121" i="144"/>
  <c r="C122" i="144"/>
  <c r="Y122" i="144"/>
  <c r="X122" i="144"/>
  <c r="V122" i="144"/>
  <c r="AL122" i="144"/>
  <c r="AK122" i="144"/>
  <c r="AT122" i="144"/>
  <c r="N122" i="144"/>
  <c r="U122" i="144"/>
  <c r="AA122" i="144"/>
  <c r="AF122" i="144"/>
  <c r="AG122" i="144"/>
  <c r="AU122" i="144"/>
  <c r="W122" i="144"/>
  <c r="AS122" i="144"/>
  <c r="AO122" i="144"/>
  <c r="AI122" i="144"/>
  <c r="AJ122" i="144"/>
  <c r="AH122" i="144"/>
  <c r="M122" i="144"/>
  <c r="Z122" i="144"/>
  <c r="AM122" i="144"/>
  <c r="AN122" i="144"/>
  <c r="AE122" i="144"/>
  <c r="S122" i="144"/>
  <c r="AP122" i="144"/>
  <c r="AQ122" i="144"/>
  <c r="AR122" i="144"/>
  <c r="AB122" i="144"/>
  <c r="AD122" i="144"/>
  <c r="P122" i="144"/>
  <c r="AX122" i="144"/>
  <c r="AW122" i="144"/>
  <c r="R122" i="144"/>
  <c r="Q122" i="144"/>
  <c r="AC122" i="144"/>
  <c r="L122" i="144"/>
  <c r="O122" i="144"/>
  <c r="AV122" i="144"/>
  <c r="T122" i="144"/>
  <c r="D123" i="144"/>
  <c r="F44" i="92" s="1"/>
  <c r="I123" i="144"/>
  <c r="U44" i="92" s="1"/>
  <c r="D124" i="144"/>
  <c r="F45" i="92" s="1"/>
  <c r="I124" i="144"/>
  <c r="C125" i="144"/>
  <c r="Y125" i="144"/>
  <c r="X125" i="144"/>
  <c r="V125" i="144"/>
  <c r="AL125" i="144"/>
  <c r="AK125" i="144"/>
  <c r="AT125" i="144"/>
  <c r="N125" i="144"/>
  <c r="U125" i="144"/>
  <c r="AA125" i="144"/>
  <c r="AF125" i="144"/>
  <c r="AG125" i="144"/>
  <c r="AU125" i="144"/>
  <c r="W125" i="144"/>
  <c r="AS125" i="144"/>
  <c r="AO125" i="144"/>
  <c r="AI125" i="144"/>
  <c r="AJ125" i="144"/>
  <c r="AH125" i="144"/>
  <c r="M125" i="144"/>
  <c r="Z125" i="144"/>
  <c r="AM125" i="144"/>
  <c r="AN125" i="144"/>
  <c r="AE125" i="144"/>
  <c r="S125" i="144"/>
  <c r="AP125" i="144"/>
  <c r="AQ125" i="144"/>
  <c r="AR125" i="144"/>
  <c r="AB125" i="144"/>
  <c r="AD125" i="144"/>
  <c r="P125" i="144"/>
  <c r="AX125" i="144"/>
  <c r="AW125" i="144"/>
  <c r="R125" i="144"/>
  <c r="Q125" i="144"/>
  <c r="AC125" i="144"/>
  <c r="L125" i="144"/>
  <c r="O125" i="144"/>
  <c r="AV125" i="144"/>
  <c r="T125" i="144"/>
  <c r="D126" i="144"/>
  <c r="F47" i="92" s="1"/>
  <c r="I126" i="144"/>
  <c r="U47" i="92" s="1"/>
  <c r="D127" i="144"/>
  <c r="F48" i="92" s="1"/>
  <c r="I127" i="144"/>
  <c r="C128" i="144"/>
  <c r="Y128" i="144"/>
  <c r="X128" i="144"/>
  <c r="V128" i="144"/>
  <c r="AL128" i="144"/>
  <c r="AK128" i="144"/>
  <c r="AT128" i="144"/>
  <c r="N128" i="144"/>
  <c r="U128" i="144"/>
  <c r="AA128" i="144"/>
  <c r="AF128" i="144"/>
  <c r="AG128" i="144"/>
  <c r="AU128" i="144"/>
  <c r="W128" i="144"/>
  <c r="AS128" i="144"/>
  <c r="AO128" i="144"/>
  <c r="AI128" i="144"/>
  <c r="AJ128" i="144"/>
  <c r="AH128" i="144"/>
  <c r="M128" i="144"/>
  <c r="Z128" i="144"/>
  <c r="AM128" i="144"/>
  <c r="AN128" i="144"/>
  <c r="AE128" i="144"/>
  <c r="S128" i="144"/>
  <c r="AP128" i="144"/>
  <c r="AQ128" i="144"/>
  <c r="AR128" i="144"/>
  <c r="AB128" i="144"/>
  <c r="AD128" i="144"/>
  <c r="P128" i="144"/>
  <c r="AX128" i="144"/>
  <c r="AW128" i="144"/>
  <c r="R128" i="144"/>
  <c r="Q128" i="144"/>
  <c r="AC128" i="144"/>
  <c r="L128" i="144"/>
  <c r="O128" i="144"/>
  <c r="AV128" i="144"/>
  <c r="T128" i="144"/>
  <c r="D129" i="144"/>
  <c r="F50" i="92" s="1"/>
  <c r="I129" i="144"/>
  <c r="U50" i="92" s="1"/>
  <c r="D130" i="144"/>
  <c r="F51" i="92" s="1"/>
  <c r="I130" i="144"/>
  <c r="C131" i="144"/>
  <c r="Y131" i="144"/>
  <c r="X131" i="144"/>
  <c r="V131" i="144"/>
  <c r="AL131" i="144"/>
  <c r="AK131" i="144"/>
  <c r="AT131" i="144"/>
  <c r="N131" i="144"/>
  <c r="U131" i="144"/>
  <c r="AA131" i="144"/>
  <c r="AF131" i="144"/>
  <c r="AG131" i="144"/>
  <c r="AU131" i="144"/>
  <c r="W131" i="144"/>
  <c r="AS131" i="144"/>
  <c r="AO131" i="144"/>
  <c r="AI131" i="144"/>
  <c r="AJ131" i="144"/>
  <c r="AH131" i="144"/>
  <c r="M131" i="144"/>
  <c r="Z131" i="144"/>
  <c r="AM131" i="144"/>
  <c r="AN131" i="144"/>
  <c r="AE131" i="144"/>
  <c r="S131" i="144"/>
  <c r="AP131" i="144"/>
  <c r="AQ131" i="144"/>
  <c r="AR131" i="144"/>
  <c r="AB131" i="144"/>
  <c r="AD131" i="144"/>
  <c r="P131" i="144"/>
  <c r="AX131" i="144"/>
  <c r="AW131" i="144"/>
  <c r="R131" i="144"/>
  <c r="Q131" i="144"/>
  <c r="AC131" i="144"/>
  <c r="L131" i="144"/>
  <c r="O131" i="144"/>
  <c r="AV131" i="144"/>
  <c r="T131" i="144"/>
  <c r="D133" i="144"/>
  <c r="F54" i="92" s="1"/>
  <c r="I133" i="144"/>
  <c r="U54" i="92" s="1"/>
  <c r="D134" i="144"/>
  <c r="F55" i="92" s="1"/>
  <c r="I134" i="144"/>
  <c r="D135" i="144"/>
  <c r="F56" i="92" s="1"/>
  <c r="I135" i="144"/>
  <c r="D136" i="144"/>
  <c r="F57" i="92" s="1"/>
  <c r="I136" i="144"/>
  <c r="C137" i="144"/>
  <c r="Y137" i="144"/>
  <c r="X137" i="144"/>
  <c r="V137" i="144"/>
  <c r="AL137" i="144"/>
  <c r="AK137" i="144"/>
  <c r="AT137" i="144"/>
  <c r="N137" i="144"/>
  <c r="U137" i="144"/>
  <c r="AA137" i="144"/>
  <c r="AF137" i="144"/>
  <c r="AG137" i="144"/>
  <c r="AU137" i="144"/>
  <c r="W137" i="144"/>
  <c r="AS137" i="144"/>
  <c r="AO137" i="144"/>
  <c r="AI137" i="144"/>
  <c r="AJ137" i="144"/>
  <c r="AH137" i="144"/>
  <c r="M137" i="144"/>
  <c r="Z137" i="144"/>
  <c r="AM137" i="144"/>
  <c r="AN137" i="144"/>
  <c r="AE137" i="144"/>
  <c r="S137" i="144"/>
  <c r="AP137" i="144"/>
  <c r="AQ137" i="144"/>
  <c r="AR137" i="144"/>
  <c r="AB137" i="144"/>
  <c r="AD137" i="144"/>
  <c r="P137" i="144"/>
  <c r="AX137" i="144"/>
  <c r="AW137" i="144"/>
  <c r="R137" i="144"/>
  <c r="Q137" i="144"/>
  <c r="AC137" i="144"/>
  <c r="L137" i="144"/>
  <c r="O137" i="144"/>
  <c r="AV137" i="144"/>
  <c r="T137" i="144"/>
  <c r="J121" i="144" l="1"/>
  <c r="U42" i="92"/>
  <c r="J117" i="144"/>
  <c r="U38" i="92"/>
  <c r="J115" i="144"/>
  <c r="U36" i="92"/>
  <c r="W34" i="92"/>
  <c r="Z34" i="92" s="1"/>
  <c r="X34" i="92"/>
  <c r="J109" i="144"/>
  <c r="U30" i="92"/>
  <c r="J94" i="144"/>
  <c r="U15" i="92"/>
  <c r="J93" i="144"/>
  <c r="U14" i="92"/>
  <c r="X13" i="92"/>
  <c r="W13" i="92"/>
  <c r="Z13" i="92" s="1"/>
  <c r="J91" i="144"/>
  <c r="U12" i="92"/>
  <c r="J118" i="144"/>
  <c r="U39" i="92"/>
  <c r="J114" i="144"/>
  <c r="U35" i="92"/>
  <c r="J110" i="144"/>
  <c r="U31" i="92"/>
  <c r="U32" i="92"/>
  <c r="W29" i="92"/>
  <c r="X29" i="92"/>
  <c r="J106" i="144"/>
  <c r="U27" i="92"/>
  <c r="J105" i="144"/>
  <c r="U26" i="92"/>
  <c r="U28" i="92" s="1"/>
  <c r="X28" i="92" s="1"/>
  <c r="W25" i="92"/>
  <c r="X25" i="92"/>
  <c r="J101" i="144"/>
  <c r="U22" i="92"/>
  <c r="W23" i="92"/>
  <c r="Z23" i="92" s="1"/>
  <c r="X23" i="92"/>
  <c r="C5" i="134"/>
  <c r="J136" i="144"/>
  <c r="U57" i="92"/>
  <c r="J135" i="144"/>
  <c r="U56" i="92"/>
  <c r="J134" i="144"/>
  <c r="U55" i="92"/>
  <c r="W54" i="92"/>
  <c r="X54" i="92"/>
  <c r="J130" i="144"/>
  <c r="U51" i="92"/>
  <c r="U52" i="92"/>
  <c r="X52" i="92" s="1"/>
  <c r="W50" i="92"/>
  <c r="X50" i="92"/>
  <c r="J127" i="144"/>
  <c r="U48" i="92"/>
  <c r="U49" i="92" s="1"/>
  <c r="X49" i="92" s="1"/>
  <c r="X47" i="92"/>
  <c r="W47" i="92"/>
  <c r="J124" i="144"/>
  <c r="U45" i="92"/>
  <c r="U46" i="92" s="1"/>
  <c r="X46" i="92" s="1"/>
  <c r="X44" i="92"/>
  <c r="W44" i="92"/>
  <c r="J116" i="144"/>
  <c r="U37" i="92"/>
  <c r="J98" i="144"/>
  <c r="U19" i="92"/>
  <c r="U20" i="92" s="1"/>
  <c r="X20" i="92" s="1"/>
  <c r="W18" i="92"/>
  <c r="X18" i="92"/>
  <c r="U16" i="92"/>
  <c r="W11" i="92"/>
  <c r="X11" i="92"/>
  <c r="M30" i="128"/>
  <c r="M33" i="128" s="1"/>
  <c r="M37" i="128" s="1"/>
  <c r="M5" i="139"/>
  <c r="M15" i="139" s="1"/>
  <c r="M30" i="139" s="1"/>
  <c r="F22" i="92"/>
  <c r="F24" i="92" s="1"/>
  <c r="D103" i="144"/>
  <c r="AY137" i="144"/>
  <c r="I103" i="144"/>
  <c r="AY111" i="144"/>
  <c r="AY107" i="144"/>
  <c r="AY103" i="144"/>
  <c r="AY89" i="144"/>
  <c r="AY131" i="144"/>
  <c r="AY128" i="144"/>
  <c r="AY125" i="144"/>
  <c r="AY122" i="144"/>
  <c r="AY99" i="144"/>
  <c r="AY95" i="144"/>
  <c r="AY75" i="144"/>
  <c r="AY69" i="144"/>
  <c r="D33" i="144"/>
  <c r="D41" i="144" s="1"/>
  <c r="AY80" i="144"/>
  <c r="AY21" i="144"/>
  <c r="J30" i="144"/>
  <c r="I33" i="144"/>
  <c r="AY55" i="144"/>
  <c r="AY44" i="144"/>
  <c r="AY40" i="144"/>
  <c r="AY33" i="144"/>
  <c r="AY28" i="144"/>
  <c r="AY17" i="144"/>
  <c r="AY61" i="144"/>
  <c r="AY52" i="144"/>
  <c r="D111" i="144"/>
  <c r="F29" i="92"/>
  <c r="F28" i="92"/>
  <c r="F20" i="92"/>
  <c r="H18" i="92"/>
  <c r="J78" i="144"/>
  <c r="U22" i="134"/>
  <c r="J73" i="144"/>
  <c r="U16" i="134"/>
  <c r="X15" i="134"/>
  <c r="W15" i="134"/>
  <c r="F58" i="92"/>
  <c r="F52" i="92"/>
  <c r="F49" i="92"/>
  <c r="F46" i="92"/>
  <c r="F43" i="92"/>
  <c r="F16" i="92"/>
  <c r="J79" i="144"/>
  <c r="U23" i="134"/>
  <c r="X21" i="134"/>
  <c r="W21" i="134"/>
  <c r="Z21" i="134" s="1"/>
  <c r="J67" i="144"/>
  <c r="J65" i="144"/>
  <c r="J68" i="144"/>
  <c r="J66" i="144"/>
  <c r="J64" i="144"/>
  <c r="J133" i="144"/>
  <c r="I137" i="144"/>
  <c r="I131" i="144"/>
  <c r="J129" i="144"/>
  <c r="I128" i="144"/>
  <c r="J126" i="144"/>
  <c r="I125" i="144"/>
  <c r="J123" i="144"/>
  <c r="J113" i="144"/>
  <c r="I122" i="144"/>
  <c r="I111" i="144"/>
  <c r="J108" i="144"/>
  <c r="J104" i="144"/>
  <c r="I107" i="144"/>
  <c r="J102" i="144"/>
  <c r="I100" i="144"/>
  <c r="J77" i="144"/>
  <c r="I80" i="144"/>
  <c r="I61" i="144"/>
  <c r="J56" i="144"/>
  <c r="I55" i="144"/>
  <c r="J53" i="144"/>
  <c r="I52" i="144"/>
  <c r="J45" i="144"/>
  <c r="I44" i="144"/>
  <c r="J42" i="144"/>
  <c r="J29" i="144"/>
  <c r="I28" i="144"/>
  <c r="U5" i="134" s="1"/>
  <c r="J23" i="144"/>
  <c r="I21" i="144"/>
  <c r="J18" i="144"/>
  <c r="I99" i="144"/>
  <c r="J97" i="144"/>
  <c r="I95" i="144"/>
  <c r="J90" i="144"/>
  <c r="I75" i="144"/>
  <c r="J72" i="144"/>
  <c r="I40" i="144"/>
  <c r="J34" i="144"/>
  <c r="J4" i="144"/>
  <c r="I17" i="144"/>
  <c r="D99" i="144"/>
  <c r="D75" i="144"/>
  <c r="D137" i="144"/>
  <c r="D131" i="144"/>
  <c r="D128" i="144"/>
  <c r="D125" i="144"/>
  <c r="D122" i="144"/>
  <c r="D80" i="144"/>
  <c r="D28" i="144"/>
  <c r="F5" i="134" s="1"/>
  <c r="D95" i="144"/>
  <c r="D107" i="144"/>
  <c r="D61" i="144"/>
  <c r="D55" i="144"/>
  <c r="D52" i="144"/>
  <c r="D44" i="144"/>
  <c r="D21" i="144"/>
  <c r="D17" i="144"/>
  <c r="E99" i="144"/>
  <c r="AC41" i="144"/>
  <c r="AC62" i="144" s="1"/>
  <c r="AR41" i="144"/>
  <c r="AR62" i="144" s="1"/>
  <c r="M41" i="144"/>
  <c r="AG41" i="144"/>
  <c r="AG62" i="144" s="1"/>
  <c r="V41" i="144"/>
  <c r="V62" i="144" s="1"/>
  <c r="AV22" i="144"/>
  <c r="Q22" i="144"/>
  <c r="P22" i="144"/>
  <c r="AQ22" i="144"/>
  <c r="AN22" i="144"/>
  <c r="AH22" i="144"/>
  <c r="AS22" i="144"/>
  <c r="AF22" i="144"/>
  <c r="AT22" i="144"/>
  <c r="X22" i="144"/>
  <c r="Y22" i="144"/>
  <c r="C112" i="144"/>
  <c r="AV96" i="144"/>
  <c r="S22" i="144"/>
  <c r="C22" i="144"/>
  <c r="Q41" i="144"/>
  <c r="Q62" i="144" s="1"/>
  <c r="AQ41" i="144"/>
  <c r="AQ62" i="144" s="1"/>
  <c r="AH41" i="144"/>
  <c r="AH62" i="144" s="1"/>
  <c r="AF41" i="144"/>
  <c r="AF62" i="144" s="1"/>
  <c r="AT41" i="144"/>
  <c r="AT62" i="144" s="1"/>
  <c r="T96" i="144"/>
  <c r="AC96" i="144"/>
  <c r="AX96" i="144"/>
  <c r="AR96" i="144"/>
  <c r="AE96" i="144"/>
  <c r="M96" i="144"/>
  <c r="AO96" i="144"/>
  <c r="AG96" i="144"/>
  <c r="N96" i="144"/>
  <c r="V96" i="144"/>
  <c r="AV41" i="144"/>
  <c r="AV62" i="144" s="1"/>
  <c r="P41" i="144"/>
  <c r="P62" i="144" s="1"/>
  <c r="AN41" i="144"/>
  <c r="AN62" i="144" s="1"/>
  <c r="AS41" i="144"/>
  <c r="AS62" i="144" s="1"/>
  <c r="X41" i="144"/>
  <c r="X62" i="144" s="1"/>
  <c r="AN96" i="144"/>
  <c r="AT96" i="144"/>
  <c r="AA112" i="144"/>
  <c r="O22" i="144"/>
  <c r="R22" i="144"/>
  <c r="AD22" i="144"/>
  <c r="AP22" i="144"/>
  <c r="AM22" i="144"/>
  <c r="AJ22" i="144"/>
  <c r="W22" i="144"/>
  <c r="AA22" i="144"/>
  <c r="AK22" i="144"/>
  <c r="AP112" i="144"/>
  <c r="AW22" i="144"/>
  <c r="AI22" i="144"/>
  <c r="U22" i="144"/>
  <c r="Q96" i="144"/>
  <c r="P96" i="144"/>
  <c r="AQ96" i="144"/>
  <c r="AH96" i="144"/>
  <c r="AS96" i="144"/>
  <c r="AF96" i="144"/>
  <c r="X96" i="144"/>
  <c r="AP96" i="144"/>
  <c r="W96" i="144"/>
  <c r="Y96" i="144"/>
  <c r="L41" i="144"/>
  <c r="L62" i="144" s="1"/>
  <c r="AW41" i="144"/>
  <c r="AW62" i="144" s="1"/>
  <c r="AB41" i="144"/>
  <c r="AB62" i="144" s="1"/>
  <c r="S41" i="144"/>
  <c r="S62" i="144" s="1"/>
  <c r="Z41" i="144"/>
  <c r="Z62" i="144" s="1"/>
  <c r="AI41" i="144"/>
  <c r="AI62" i="144" s="1"/>
  <c r="AU41" i="144"/>
  <c r="AU62" i="144" s="1"/>
  <c r="U41" i="144"/>
  <c r="U62" i="144" s="1"/>
  <c r="AL41" i="144"/>
  <c r="AL62" i="144" s="1"/>
  <c r="C41" i="144"/>
  <c r="O96" i="144"/>
  <c r="AD96" i="144"/>
  <c r="AJ96" i="144"/>
  <c r="AK96" i="144"/>
  <c r="C89" i="144"/>
  <c r="Q112" i="144"/>
  <c r="AN112" i="144"/>
  <c r="AS112" i="144"/>
  <c r="X112" i="144"/>
  <c r="AW96" i="144"/>
  <c r="Z96" i="144"/>
  <c r="AU96" i="144"/>
  <c r="T41" i="144"/>
  <c r="T62" i="144" s="1"/>
  <c r="AX41" i="144"/>
  <c r="AX62" i="144" s="1"/>
  <c r="AE41" i="144"/>
  <c r="AE62" i="144" s="1"/>
  <c r="AO41" i="144"/>
  <c r="AO62" i="144" s="1"/>
  <c r="N41" i="144"/>
  <c r="N62" i="144" s="1"/>
  <c r="R96" i="144"/>
  <c r="AM96" i="144"/>
  <c r="AA96" i="144"/>
  <c r="AV112" i="144"/>
  <c r="P112" i="144"/>
  <c r="AQ112" i="144"/>
  <c r="AH112" i="144"/>
  <c r="AF112" i="144"/>
  <c r="AT112" i="144"/>
  <c r="L96" i="144"/>
  <c r="AB96" i="144"/>
  <c r="S96" i="144"/>
  <c r="AI96" i="144"/>
  <c r="U96" i="144"/>
  <c r="AL96" i="144"/>
  <c r="O112" i="144"/>
  <c r="R112" i="144"/>
  <c r="AD112" i="144"/>
  <c r="AM112" i="144"/>
  <c r="AJ112" i="144"/>
  <c r="W112" i="144"/>
  <c r="AK112" i="144"/>
  <c r="Y112" i="144"/>
  <c r="L22" i="144"/>
  <c r="AB22" i="144"/>
  <c r="Z22" i="144"/>
  <c r="AU22" i="144"/>
  <c r="AL22" i="144"/>
  <c r="L112" i="144"/>
  <c r="AW112" i="144"/>
  <c r="AB112" i="144"/>
  <c r="S112" i="144"/>
  <c r="Z112" i="144"/>
  <c r="AI112" i="144"/>
  <c r="AU112" i="144"/>
  <c r="U112" i="144"/>
  <c r="AL112" i="144"/>
  <c r="T112" i="144"/>
  <c r="AC112" i="144"/>
  <c r="AX112" i="144"/>
  <c r="AR112" i="144"/>
  <c r="AE112" i="144"/>
  <c r="M112" i="144"/>
  <c r="AO112" i="144"/>
  <c r="AG112" i="144"/>
  <c r="N112" i="144"/>
  <c r="V112" i="144"/>
  <c r="O41" i="144"/>
  <c r="O62" i="144" s="1"/>
  <c r="R41" i="144"/>
  <c r="R62" i="144" s="1"/>
  <c r="AD41" i="144"/>
  <c r="AD62" i="144" s="1"/>
  <c r="AP41" i="144"/>
  <c r="AP62" i="144" s="1"/>
  <c r="AM41" i="144"/>
  <c r="AM62" i="144" s="1"/>
  <c r="AJ41" i="144"/>
  <c r="AJ62" i="144" s="1"/>
  <c r="W41" i="144"/>
  <c r="W62" i="144" s="1"/>
  <c r="AA41" i="144"/>
  <c r="AA62" i="144" s="1"/>
  <c r="AK41" i="144"/>
  <c r="AK62" i="144" s="1"/>
  <c r="Y41" i="144"/>
  <c r="Y62" i="144" s="1"/>
  <c r="T22" i="144"/>
  <c r="AC22" i="144"/>
  <c r="AX22" i="144"/>
  <c r="AR22" i="144"/>
  <c r="AE22" i="144"/>
  <c r="M22" i="144"/>
  <c r="AO22" i="144"/>
  <c r="AG22" i="144"/>
  <c r="N22" i="144"/>
  <c r="V22" i="144"/>
  <c r="E125" i="144"/>
  <c r="J100" i="144" l="1"/>
  <c r="U21" i="92"/>
  <c r="U58" i="92"/>
  <c r="X58" i="92" s="1"/>
  <c r="U24" i="92"/>
  <c r="W22" i="92"/>
  <c r="X22" i="92"/>
  <c r="X24" i="92" s="1"/>
  <c r="Z29" i="92"/>
  <c r="W31" i="92"/>
  <c r="Z31" i="92" s="1"/>
  <c r="X31" i="92"/>
  <c r="W35" i="92"/>
  <c r="Z35" i="92" s="1"/>
  <c r="X35" i="92"/>
  <c r="W39" i="92"/>
  <c r="Z39" i="92" s="1"/>
  <c r="X39" i="92"/>
  <c r="W12" i="92"/>
  <c r="Z12" i="92" s="1"/>
  <c r="X12" i="92"/>
  <c r="W14" i="92"/>
  <c r="Z14" i="92" s="1"/>
  <c r="X14" i="92"/>
  <c r="W15" i="92"/>
  <c r="Z15" i="92" s="1"/>
  <c r="X15" i="92"/>
  <c r="W30" i="92"/>
  <c r="Z30" i="92" s="1"/>
  <c r="X30" i="92"/>
  <c r="W36" i="92"/>
  <c r="Z36" i="92" s="1"/>
  <c r="X36" i="92"/>
  <c r="W38" i="92"/>
  <c r="Z38" i="92" s="1"/>
  <c r="X38" i="92"/>
  <c r="W42" i="92"/>
  <c r="Z42" i="92" s="1"/>
  <c r="X42" i="92"/>
  <c r="C62" i="144"/>
  <c r="C4" i="134"/>
  <c r="Z25" i="92"/>
  <c r="W26" i="92"/>
  <c r="Z26" i="92" s="1"/>
  <c r="X26" i="92"/>
  <c r="W27" i="92"/>
  <c r="Z27" i="92" s="1"/>
  <c r="X27" i="92"/>
  <c r="X32" i="92"/>
  <c r="U33" i="92"/>
  <c r="X33" i="92" s="1"/>
  <c r="C96" i="144"/>
  <c r="Z54" i="92"/>
  <c r="X55" i="92"/>
  <c r="W55" i="92"/>
  <c r="Z55" i="92" s="1"/>
  <c r="X56" i="92"/>
  <c r="W56" i="92"/>
  <c r="Z56" i="92" s="1"/>
  <c r="X57" i="92"/>
  <c r="W57" i="92"/>
  <c r="Z57" i="92" s="1"/>
  <c r="Z50" i="92"/>
  <c r="X51" i="92"/>
  <c r="W51" i="92"/>
  <c r="Z51" i="92" s="1"/>
  <c r="Z47" i="92"/>
  <c r="X48" i="92"/>
  <c r="W48" i="92"/>
  <c r="Z48" i="92" s="1"/>
  <c r="X45" i="92"/>
  <c r="W45" i="92"/>
  <c r="Z45" i="92" s="1"/>
  <c r="Z44" i="92"/>
  <c r="X37" i="92"/>
  <c r="U43" i="92"/>
  <c r="X43" i="92" s="1"/>
  <c r="W37" i="92"/>
  <c r="X19" i="92"/>
  <c r="W19" i="92"/>
  <c r="Z19" i="92" s="1"/>
  <c r="Z18" i="92"/>
  <c r="Z11" i="92"/>
  <c r="W16" i="92"/>
  <c r="Z16" i="92" s="1"/>
  <c r="X16" i="92"/>
  <c r="U17" i="92"/>
  <c r="AY112" i="144"/>
  <c r="AY96" i="144"/>
  <c r="AY22" i="144"/>
  <c r="M62" i="144"/>
  <c r="AY62" i="144" s="1"/>
  <c r="AY41" i="144"/>
  <c r="W5" i="134"/>
  <c r="Z5" i="134" s="1"/>
  <c r="X5" i="134"/>
  <c r="Z15" i="134"/>
  <c r="W16" i="134"/>
  <c r="Z16" i="134" s="1"/>
  <c r="X16" i="134"/>
  <c r="X22" i="134"/>
  <c r="W22" i="134"/>
  <c r="Z22" i="134" s="1"/>
  <c r="H20" i="92"/>
  <c r="D6" i="128"/>
  <c r="F32" i="92"/>
  <c r="F33" i="92" s="1"/>
  <c r="X23" i="134"/>
  <c r="W23" i="134"/>
  <c r="Z23" i="134" s="1"/>
  <c r="U18" i="134"/>
  <c r="X18" i="134" s="1"/>
  <c r="E111" i="144"/>
  <c r="J75" i="144"/>
  <c r="J99" i="144"/>
  <c r="J21" i="144"/>
  <c r="J28" i="144"/>
  <c r="J33" i="144"/>
  <c r="J44" i="144"/>
  <c r="J52" i="144"/>
  <c r="J55" i="144"/>
  <c r="J61" i="144"/>
  <c r="J125" i="144"/>
  <c r="J128" i="144"/>
  <c r="J131" i="144"/>
  <c r="J80" i="144"/>
  <c r="J103" i="144"/>
  <c r="J107" i="144"/>
  <c r="J122" i="144"/>
  <c r="J137" i="144"/>
  <c r="J40" i="144"/>
  <c r="I41" i="144"/>
  <c r="J95" i="144"/>
  <c r="I96" i="144"/>
  <c r="J111" i="144"/>
  <c r="I112" i="144"/>
  <c r="J17" i="144"/>
  <c r="I22" i="144"/>
  <c r="U4" i="134" s="1"/>
  <c r="AO132" i="144"/>
  <c r="AO138" i="144" s="1"/>
  <c r="AX132" i="144"/>
  <c r="AX138" i="144" s="1"/>
  <c r="E107" i="144"/>
  <c r="E44" i="144"/>
  <c r="AV76" i="144"/>
  <c r="AV81" i="144" s="1"/>
  <c r="E122" i="144"/>
  <c r="D62" i="144"/>
  <c r="F6" i="134" s="1"/>
  <c r="D22" i="144"/>
  <c r="F4" i="134" s="1"/>
  <c r="D112" i="144"/>
  <c r="E131" i="144"/>
  <c r="E28" i="144"/>
  <c r="I5" i="134" s="1"/>
  <c r="K5" i="134" s="1"/>
  <c r="E80" i="144"/>
  <c r="E17" i="144"/>
  <c r="E75" i="144"/>
  <c r="E128" i="144"/>
  <c r="E137" i="144"/>
  <c r="E61" i="144"/>
  <c r="E52" i="144"/>
  <c r="E95" i="144"/>
  <c r="E96" i="144" s="1"/>
  <c r="E55" i="144"/>
  <c r="E21" i="144"/>
  <c r="E40" i="144"/>
  <c r="AV132" i="144"/>
  <c r="AV138" i="144" s="1"/>
  <c r="Q76" i="144"/>
  <c r="Q81" i="144" s="1"/>
  <c r="AF76" i="144"/>
  <c r="AF81" i="144" s="1"/>
  <c r="X76" i="144"/>
  <c r="X81" i="144" s="1"/>
  <c r="V132" i="144"/>
  <c r="V138" i="144" s="1"/>
  <c r="M132" i="144"/>
  <c r="M138" i="144" s="1"/>
  <c r="AC132" i="144"/>
  <c r="AC138" i="144" s="1"/>
  <c r="AN132" i="144"/>
  <c r="AN138" i="144" s="1"/>
  <c r="AH76" i="144"/>
  <c r="AH81" i="144" s="1"/>
  <c r="AT76" i="144"/>
  <c r="AT81" i="144" s="1"/>
  <c r="AE132" i="144"/>
  <c r="AE138" i="144" s="1"/>
  <c r="AN76" i="144"/>
  <c r="AN81" i="144" s="1"/>
  <c r="AG76" i="144"/>
  <c r="AG81" i="144" s="1"/>
  <c r="N132" i="144"/>
  <c r="N138" i="144" s="1"/>
  <c r="T132" i="144"/>
  <c r="T138" i="144" s="1"/>
  <c r="AO76" i="144"/>
  <c r="AO81" i="144" s="1"/>
  <c r="U132" i="144"/>
  <c r="U138" i="144" s="1"/>
  <c r="AA132" i="144"/>
  <c r="AA138" i="144" s="1"/>
  <c r="C132" i="144"/>
  <c r="AI76" i="144"/>
  <c r="AI81" i="144" s="1"/>
  <c r="AQ76" i="144"/>
  <c r="AQ81" i="144" s="1"/>
  <c r="P76" i="144"/>
  <c r="P81" i="144" s="1"/>
  <c r="Y76" i="144"/>
  <c r="Y81" i="144" s="1"/>
  <c r="AT132" i="144"/>
  <c r="AT138" i="144" s="1"/>
  <c r="S76" i="144"/>
  <c r="S81" i="144" s="1"/>
  <c r="AS76" i="144"/>
  <c r="AS81" i="144" s="1"/>
  <c r="AK76" i="144"/>
  <c r="AK81" i="144" s="1"/>
  <c r="AM76" i="144"/>
  <c r="AM81" i="144" s="1"/>
  <c r="O76" i="144"/>
  <c r="O81" i="144" s="1"/>
  <c r="AG132" i="144"/>
  <c r="AG138" i="144" s="1"/>
  <c r="AR132" i="144"/>
  <c r="AR138" i="144" s="1"/>
  <c r="AH132" i="144"/>
  <c r="AH138" i="144" s="1"/>
  <c r="AS132" i="144"/>
  <c r="AS138" i="144" s="1"/>
  <c r="AK132" i="144"/>
  <c r="AK138" i="144" s="1"/>
  <c r="AW76" i="144"/>
  <c r="AW81" i="144" s="1"/>
  <c r="AD76" i="144"/>
  <c r="AD81" i="144" s="1"/>
  <c r="AW132" i="144"/>
  <c r="AW138" i="144" s="1"/>
  <c r="Y132" i="144"/>
  <c r="Y138" i="144" s="1"/>
  <c r="AM132" i="144"/>
  <c r="AM138" i="144" s="1"/>
  <c r="AE76" i="144"/>
  <c r="AE81" i="144" s="1"/>
  <c r="O132" i="144"/>
  <c r="O138" i="144" s="1"/>
  <c r="AU76" i="144"/>
  <c r="AU81" i="144" s="1"/>
  <c r="AQ132" i="144"/>
  <c r="AQ138" i="144" s="1"/>
  <c r="U76" i="144"/>
  <c r="U81" i="144" s="1"/>
  <c r="AP132" i="144"/>
  <c r="AP138" i="144" s="1"/>
  <c r="AA76" i="144"/>
  <c r="AA81" i="144" s="1"/>
  <c r="X132" i="144"/>
  <c r="X138" i="144" s="1"/>
  <c r="AP76" i="144"/>
  <c r="AP81" i="144" s="1"/>
  <c r="AF132" i="144"/>
  <c r="AF138" i="144" s="1"/>
  <c r="M76" i="144"/>
  <c r="M81" i="144" s="1"/>
  <c r="W76" i="144"/>
  <c r="W81" i="144" s="1"/>
  <c r="AR76" i="144"/>
  <c r="AR81" i="144" s="1"/>
  <c r="AJ76" i="144"/>
  <c r="AJ81" i="144" s="1"/>
  <c r="R76" i="144"/>
  <c r="R81" i="144" s="1"/>
  <c r="AL132" i="144"/>
  <c r="AL138" i="144" s="1"/>
  <c r="Z132" i="144"/>
  <c r="Z138" i="144" s="1"/>
  <c r="L132" i="144"/>
  <c r="L138" i="144" s="1"/>
  <c r="AJ132" i="144"/>
  <c r="AJ138" i="144" s="1"/>
  <c r="Q132" i="144"/>
  <c r="Q138" i="144" s="1"/>
  <c r="S132" i="144"/>
  <c r="S138" i="144" s="1"/>
  <c r="AB132" i="144"/>
  <c r="AB138" i="144" s="1"/>
  <c r="AL76" i="144"/>
  <c r="AL81" i="144" s="1"/>
  <c r="Z76" i="144"/>
  <c r="Z81" i="144" s="1"/>
  <c r="L76" i="144"/>
  <c r="W132" i="144"/>
  <c r="W138" i="144" s="1"/>
  <c r="AB76" i="144"/>
  <c r="AB81" i="144" s="1"/>
  <c r="N76" i="144"/>
  <c r="N81" i="144" s="1"/>
  <c r="T76" i="144"/>
  <c r="T81" i="144" s="1"/>
  <c r="P132" i="144"/>
  <c r="P138" i="144" s="1"/>
  <c r="R132" i="144"/>
  <c r="R138" i="144" s="1"/>
  <c r="AD132" i="144"/>
  <c r="AD138" i="144" s="1"/>
  <c r="AU132" i="144"/>
  <c r="AI132" i="144"/>
  <c r="AI138" i="144" s="1"/>
  <c r="V76" i="144"/>
  <c r="V81" i="144" s="1"/>
  <c r="AC76" i="144"/>
  <c r="AC81" i="144" s="1"/>
  <c r="AX76" i="144"/>
  <c r="AX81" i="144" s="1"/>
  <c r="W28" i="92" l="1"/>
  <c r="Z28" i="92" s="1"/>
  <c r="W21" i="92"/>
  <c r="Z21" i="92" s="1"/>
  <c r="X21" i="92"/>
  <c r="C6" i="134"/>
  <c r="W32" i="92"/>
  <c r="W24" i="92"/>
  <c r="Z22" i="92"/>
  <c r="Z24" i="92" s="1"/>
  <c r="C138" i="144"/>
  <c r="W20" i="92"/>
  <c r="Z20" i="92" s="1"/>
  <c r="W46" i="92"/>
  <c r="Z46" i="92" s="1"/>
  <c r="W58" i="92"/>
  <c r="Z58" i="92" s="1"/>
  <c r="W52" i="92"/>
  <c r="Z52" i="92" s="1"/>
  <c r="W49" i="92"/>
  <c r="Z49" i="92" s="1"/>
  <c r="Z37" i="92"/>
  <c r="W43" i="92"/>
  <c r="Z43" i="92" s="1"/>
  <c r="U53" i="92"/>
  <c r="X17" i="92"/>
  <c r="AU138" i="144"/>
  <c r="AY138" i="144" s="1"/>
  <c r="AY132" i="144"/>
  <c r="L81" i="144"/>
  <c r="AY81" i="144" s="1"/>
  <c r="AY76" i="144"/>
  <c r="W18" i="134"/>
  <c r="Z18" i="134" s="1"/>
  <c r="D17" i="139"/>
  <c r="D19" i="139" s="1"/>
  <c r="D8" i="128"/>
  <c r="X4" i="134"/>
  <c r="W4" i="134"/>
  <c r="J112" i="144"/>
  <c r="J96" i="144"/>
  <c r="I132" i="144"/>
  <c r="J41" i="144"/>
  <c r="I62" i="144"/>
  <c r="U6" i="134" s="1"/>
  <c r="J22" i="144"/>
  <c r="E41" i="144"/>
  <c r="E62" i="144" s="1"/>
  <c r="I6" i="134" s="1"/>
  <c r="K6" i="134" s="1"/>
  <c r="E22" i="144"/>
  <c r="I4" i="134" s="1"/>
  <c r="E112" i="144"/>
  <c r="E132" i="144" s="1"/>
  <c r="E138" i="144" s="1"/>
  <c r="W33" i="92" l="1"/>
  <c r="Z33" i="92" s="1"/>
  <c r="Z32" i="92"/>
  <c r="U59" i="92"/>
  <c r="X59" i="92" s="1"/>
  <c r="X53" i="92"/>
  <c r="I76" i="144"/>
  <c r="I81" i="144" s="1"/>
  <c r="K4" i="134"/>
  <c r="X6" i="134"/>
  <c r="W6" i="134"/>
  <c r="Z6" i="134" s="1"/>
  <c r="U12" i="134"/>
  <c r="Z4" i="134"/>
  <c r="J62" i="144"/>
  <c r="J132" i="144"/>
  <c r="I138" i="144"/>
  <c r="F28" i="91"/>
  <c r="F34" i="91" s="1"/>
  <c r="J76" i="144" l="1"/>
  <c r="W12" i="134"/>
  <c r="Z12" i="134" s="1"/>
  <c r="X12" i="134"/>
  <c r="U20" i="134"/>
  <c r="J81" i="144"/>
  <c r="J138" i="144"/>
  <c r="H28" i="91"/>
  <c r="J28" i="91" s="1"/>
  <c r="W20" i="134" l="1"/>
  <c r="W24" i="134" s="1"/>
  <c r="Z24" i="134" s="1"/>
  <c r="U24" i="134"/>
  <c r="X24" i="134" s="1"/>
  <c r="X20" i="134"/>
  <c r="H34" i="91"/>
  <c r="J34" i="91" s="1"/>
  <c r="T4" i="92"/>
  <c r="T10" i="92" s="1"/>
  <c r="W4" i="92"/>
  <c r="N4" i="92"/>
  <c r="N10" i="92" s="1"/>
  <c r="Q4" i="92"/>
  <c r="Q10" i="92" s="1"/>
  <c r="Q17" i="92" s="1"/>
  <c r="Q53" i="92" s="1"/>
  <c r="Q59" i="92" s="1"/>
  <c r="Z20" i="134" l="1"/>
  <c r="N17" i="92"/>
  <c r="N53" i="92" s="1"/>
  <c r="N59" i="92" s="1"/>
  <c r="E3" i="128"/>
  <c r="T17" i="92"/>
  <c r="T53" i="92" s="1"/>
  <c r="T59" i="92" s="1"/>
  <c r="F3" i="128"/>
  <c r="G3" i="128" s="1"/>
  <c r="Z4" i="92"/>
  <c r="W10" i="92"/>
  <c r="F3" i="139" l="1"/>
  <c r="G3" i="139" s="1"/>
  <c r="F5" i="128"/>
  <c r="E3" i="139"/>
  <c r="E5" i="139" s="1"/>
  <c r="E15" i="139" s="1"/>
  <c r="E30" i="139" s="1"/>
  <c r="E5" i="128"/>
  <c r="E30" i="128" s="1"/>
  <c r="E33" i="128" s="1"/>
  <c r="E37" i="128" s="1"/>
  <c r="Z10" i="92"/>
  <c r="W17" i="92"/>
  <c r="F30" i="128" l="1"/>
  <c r="F5" i="139"/>
  <c r="Z17" i="92"/>
  <c r="W53" i="92"/>
  <c r="D18" i="97"/>
  <c r="D20" i="97" s="1"/>
  <c r="F33" i="128" l="1"/>
  <c r="F15" i="139"/>
  <c r="Z53" i="92"/>
  <c r="W59" i="92"/>
  <c r="Z59" i="92" s="1"/>
  <c r="D31" i="97"/>
  <c r="F30" i="139" l="1"/>
  <c r="F37" i="128"/>
  <c r="D4" i="95"/>
  <c r="D3" i="95"/>
  <c r="D5" i="95" l="1"/>
  <c r="D64" i="144" s="1"/>
  <c r="F8" i="134" s="1"/>
  <c r="D65" i="132"/>
  <c r="G9" i="134" s="1"/>
  <c r="D64" i="132"/>
  <c r="G8" i="134" s="1"/>
  <c r="D78" i="132"/>
  <c r="G22" i="134" s="1"/>
  <c r="H22" i="134" s="1"/>
  <c r="K35" i="128" s="1"/>
  <c r="K25" i="139" s="1"/>
  <c r="H8" i="134" l="1"/>
  <c r="K7" i="128" s="1"/>
  <c r="K7" i="139" s="1"/>
  <c r="D66" i="132"/>
  <c r="G10" i="134" s="1"/>
  <c r="H10" i="134" s="1"/>
  <c r="K9" i="128" s="1"/>
  <c r="K9" i="139" s="1"/>
  <c r="C69" i="132" l="1"/>
  <c r="J23" i="139" l="1"/>
  <c r="N23" i="139" s="1"/>
  <c r="J22" i="128"/>
  <c r="N22" i="128" s="1"/>
  <c r="C111" i="132"/>
  <c r="D110" i="132"/>
  <c r="G31" i="92" s="1"/>
  <c r="H31" i="92" s="1"/>
  <c r="D19" i="128" s="1"/>
  <c r="D109" i="132"/>
  <c r="G30" i="92" s="1"/>
  <c r="H30" i="92" s="1"/>
  <c r="D18" i="128" s="1"/>
  <c r="D108" i="132"/>
  <c r="G29" i="92" s="1"/>
  <c r="C107" i="132"/>
  <c r="D106" i="132"/>
  <c r="G27" i="92" s="1"/>
  <c r="H27" i="92" s="1"/>
  <c r="D15" i="128" s="1"/>
  <c r="D105" i="132"/>
  <c r="G26" i="92" s="1"/>
  <c r="H26" i="92" s="1"/>
  <c r="D14" i="128" s="1"/>
  <c r="D104" i="132"/>
  <c r="G25" i="92" s="1"/>
  <c r="D101" i="132"/>
  <c r="D102" i="132"/>
  <c r="G23" i="92" s="1"/>
  <c r="D100" i="132"/>
  <c r="G21" i="92" s="1"/>
  <c r="H21" i="92" s="1"/>
  <c r="D9" i="128" s="1"/>
  <c r="C95" i="132"/>
  <c r="C20" i="97"/>
  <c r="D33" i="97"/>
  <c r="C32" i="97"/>
  <c r="C137" i="132"/>
  <c r="D135" i="132"/>
  <c r="G56" i="92" s="1"/>
  <c r="H56" i="92" s="1"/>
  <c r="D34" i="128" s="1"/>
  <c r="D26" i="139" s="1"/>
  <c r="D134" i="132"/>
  <c r="G55" i="92" s="1"/>
  <c r="H55" i="92" s="1"/>
  <c r="D32" i="128" s="1"/>
  <c r="D25" i="139" s="1"/>
  <c r="C122" i="132"/>
  <c r="D121" i="132"/>
  <c r="G42" i="92" s="1"/>
  <c r="H42" i="92" s="1"/>
  <c r="D70" i="132"/>
  <c r="G13" i="134" s="1"/>
  <c r="D51" i="132"/>
  <c r="D60" i="132"/>
  <c r="D50" i="132"/>
  <c r="D34" i="132"/>
  <c r="D35" i="132"/>
  <c r="D36" i="132"/>
  <c r="D37" i="132"/>
  <c r="D38" i="132"/>
  <c r="D39" i="132"/>
  <c r="D23" i="132"/>
  <c r="D24" i="132"/>
  <c r="G22" i="92" l="1"/>
  <c r="D103" i="132"/>
  <c r="G28" i="92"/>
  <c r="H25" i="92"/>
  <c r="G32" i="92"/>
  <c r="H29" i="92"/>
  <c r="H23" i="92"/>
  <c r="D107" i="132"/>
  <c r="D111" i="132"/>
  <c r="D40" i="132"/>
  <c r="C112" i="132"/>
  <c r="D25" i="132"/>
  <c r="D26" i="132"/>
  <c r="D27" i="132"/>
  <c r="H22" i="92" l="1"/>
  <c r="D10" i="128" s="1"/>
  <c r="G24" i="92"/>
  <c r="G33" i="92" s="1"/>
  <c r="D11" i="128"/>
  <c r="D12" i="128" s="1"/>
  <c r="D17" i="128"/>
  <c r="D20" i="128" s="1"/>
  <c r="H32" i="92"/>
  <c r="D13" i="128"/>
  <c r="D16" i="128" s="1"/>
  <c r="H28" i="92"/>
  <c r="D28" i="132"/>
  <c r="G5" i="134" s="1"/>
  <c r="H5" i="134" s="1"/>
  <c r="K4" i="128" s="1"/>
  <c r="K4" i="139" s="1"/>
  <c r="H24" i="92" l="1"/>
  <c r="H33" i="92" s="1"/>
  <c r="D21" i="128"/>
  <c r="D7" i="139" s="1"/>
  <c r="C21" i="132"/>
  <c r="C17" i="132"/>
  <c r="D16" i="132"/>
  <c r="D4" i="132"/>
  <c r="D136" i="132"/>
  <c r="G57" i="92" s="1"/>
  <c r="H57" i="92" s="1"/>
  <c r="D35" i="128" s="1"/>
  <c r="D133" i="132"/>
  <c r="G54" i="92" s="1"/>
  <c r="D130" i="132"/>
  <c r="G51" i="92" s="1"/>
  <c r="H51" i="92" s="1"/>
  <c r="D28" i="128" s="1"/>
  <c r="D22" i="139" s="1"/>
  <c r="D129" i="132"/>
  <c r="G50" i="92" s="1"/>
  <c r="D127" i="132"/>
  <c r="G48" i="92" s="1"/>
  <c r="H48" i="92" s="1"/>
  <c r="D25" i="128" s="1"/>
  <c r="D10" i="139" s="1"/>
  <c r="D126" i="132"/>
  <c r="G47" i="92" s="1"/>
  <c r="D124" i="132"/>
  <c r="G45" i="92" s="1"/>
  <c r="H45" i="92" s="1"/>
  <c r="D123" i="132"/>
  <c r="G44" i="92" s="1"/>
  <c r="D120" i="132"/>
  <c r="G41" i="92" s="1"/>
  <c r="H41" i="92" s="1"/>
  <c r="D119" i="132"/>
  <c r="G40" i="92" s="1"/>
  <c r="H40" i="92" s="1"/>
  <c r="D118" i="132"/>
  <c r="G39" i="92" s="1"/>
  <c r="H39" i="92" s="1"/>
  <c r="D117" i="132"/>
  <c r="G38" i="92" s="1"/>
  <c r="H38" i="92" s="1"/>
  <c r="D116" i="132"/>
  <c r="G37" i="92" s="1"/>
  <c r="H37" i="92" s="1"/>
  <c r="D115" i="132"/>
  <c r="G36" i="92" s="1"/>
  <c r="H36" i="92" s="1"/>
  <c r="D114" i="132"/>
  <c r="G35" i="92" s="1"/>
  <c r="H35" i="92" s="1"/>
  <c r="D113" i="132"/>
  <c r="G34" i="92" s="1"/>
  <c r="D90" i="132"/>
  <c r="D88" i="132"/>
  <c r="G9" i="92" s="1"/>
  <c r="H9" i="92" s="1"/>
  <c r="D87" i="132"/>
  <c r="G8" i="92" s="1"/>
  <c r="H8" i="92" s="1"/>
  <c r="D86" i="132"/>
  <c r="G7" i="92" s="1"/>
  <c r="D85" i="132"/>
  <c r="G6" i="92" s="1"/>
  <c r="H6" i="92" s="1"/>
  <c r="D84" i="132"/>
  <c r="G5" i="92" s="1"/>
  <c r="D83" i="132"/>
  <c r="G4" i="92" s="1"/>
  <c r="D79" i="132"/>
  <c r="G23" i="134" s="1"/>
  <c r="H23" i="134" s="1"/>
  <c r="K36" i="128" s="1"/>
  <c r="K26" i="139" s="1"/>
  <c r="D77" i="132"/>
  <c r="D74" i="132"/>
  <c r="G17" i="134" s="1"/>
  <c r="H17" i="134" s="1"/>
  <c r="K18" i="128" s="1"/>
  <c r="K22" i="139" s="1"/>
  <c r="D73" i="132"/>
  <c r="G16" i="134" s="1"/>
  <c r="H16" i="134" s="1"/>
  <c r="K17" i="128" s="1"/>
  <c r="K21" i="139" s="1"/>
  <c r="D72" i="132"/>
  <c r="G15" i="134" s="1"/>
  <c r="D68" i="132"/>
  <c r="G19" i="134" s="1"/>
  <c r="D67" i="132"/>
  <c r="G11" i="134" s="1"/>
  <c r="D59" i="132"/>
  <c r="D58" i="132"/>
  <c r="D57" i="132"/>
  <c r="D56" i="132"/>
  <c r="D54" i="132"/>
  <c r="D53" i="132"/>
  <c r="D49" i="132"/>
  <c r="D48" i="132"/>
  <c r="D47" i="132"/>
  <c r="D46" i="132"/>
  <c r="D45" i="132"/>
  <c r="D43" i="132"/>
  <c r="D42" i="132"/>
  <c r="D32" i="132"/>
  <c r="D31" i="132"/>
  <c r="D30" i="132"/>
  <c r="D29" i="132"/>
  <c r="D20" i="132"/>
  <c r="D19" i="132"/>
  <c r="D18" i="132"/>
  <c r="D15" i="132"/>
  <c r="D14" i="132"/>
  <c r="D13" i="132"/>
  <c r="D12" i="132"/>
  <c r="D11" i="132"/>
  <c r="D10" i="132"/>
  <c r="D9" i="132"/>
  <c r="D8" i="132"/>
  <c r="D7" i="132"/>
  <c r="D6" i="132"/>
  <c r="D5" i="132"/>
  <c r="G10" i="92" l="1"/>
  <c r="D44" i="132"/>
  <c r="H19" i="134"/>
  <c r="K23" i="128" s="1"/>
  <c r="D80" i="132"/>
  <c r="G21" i="134"/>
  <c r="H21" i="134" s="1"/>
  <c r="K34" i="128" s="1"/>
  <c r="K24" i="139" s="1"/>
  <c r="K27" i="139" s="1"/>
  <c r="D95" i="132"/>
  <c r="G11" i="92"/>
  <c r="H15" i="134"/>
  <c r="G18" i="134"/>
  <c r="G43" i="92"/>
  <c r="H34" i="92"/>
  <c r="H43" i="92" s="1"/>
  <c r="D22" i="128" s="1"/>
  <c r="D8" i="139" s="1"/>
  <c r="G46" i="92"/>
  <c r="H44" i="92"/>
  <c r="H46" i="92" s="1"/>
  <c r="D23" i="128" s="1"/>
  <c r="D20" i="139" s="1"/>
  <c r="G49" i="92"/>
  <c r="H47" i="92"/>
  <c r="G52" i="92"/>
  <c r="H50" i="92"/>
  <c r="G58" i="92"/>
  <c r="H54" i="92"/>
  <c r="D89" i="132"/>
  <c r="D96" i="132" s="1"/>
  <c r="D21" i="132"/>
  <c r="D69" i="132"/>
  <c r="D75" i="132"/>
  <c r="D122" i="132"/>
  <c r="D125" i="132"/>
  <c r="D128" i="132"/>
  <c r="D131" i="132"/>
  <c r="D137" i="132"/>
  <c r="D55" i="132"/>
  <c r="D61" i="132"/>
  <c r="D17" i="132"/>
  <c r="D52" i="132"/>
  <c r="D33" i="132"/>
  <c r="D41" i="132" s="1"/>
  <c r="C22" i="132"/>
  <c r="D4" i="134" s="1"/>
  <c r="C33" i="132"/>
  <c r="C40" i="132"/>
  <c r="D29" i="91"/>
  <c r="D22" i="91"/>
  <c r="D84" i="144" s="1"/>
  <c r="F5" i="92" s="1"/>
  <c r="H5" i="92" s="1"/>
  <c r="D13" i="91"/>
  <c r="D83" i="144" s="1"/>
  <c r="E22" i="94"/>
  <c r="E25" i="94"/>
  <c r="D26" i="94"/>
  <c r="D23" i="94"/>
  <c r="D24" i="94"/>
  <c r="D25" i="94"/>
  <c r="D22" i="94"/>
  <c r="D16" i="94"/>
  <c r="D17" i="94"/>
  <c r="D18" i="94"/>
  <c r="D19" i="94"/>
  <c r="D20" i="94"/>
  <c r="D15" i="94"/>
  <c r="C21" i="94"/>
  <c r="C27" i="94"/>
  <c r="C32" i="95"/>
  <c r="D23" i="95"/>
  <c r="D27" i="95"/>
  <c r="D25" i="95"/>
  <c r="D24" i="95"/>
  <c r="D22" i="95"/>
  <c r="D21" i="95"/>
  <c r="D20" i="95"/>
  <c r="D19" i="95"/>
  <c r="D18" i="95"/>
  <c r="D17" i="95"/>
  <c r="D16" i="95"/>
  <c r="D15" i="95"/>
  <c r="D14" i="95"/>
  <c r="C28" i="95"/>
  <c r="C67" i="144" s="1"/>
  <c r="C29" i="95"/>
  <c r="E6" i="95"/>
  <c r="E8" i="95"/>
  <c r="C11" i="134" l="1"/>
  <c r="E11" i="134" s="1"/>
  <c r="J10" i="128" s="1"/>
  <c r="N10" i="128" s="1"/>
  <c r="E27" i="94"/>
  <c r="E28" i="94" s="1"/>
  <c r="E63" i="144" s="1"/>
  <c r="I7" i="134" s="1"/>
  <c r="K7" i="134" s="1"/>
  <c r="F4" i="92"/>
  <c r="D86" i="144"/>
  <c r="F7" i="92" s="1"/>
  <c r="H7" i="92" s="1"/>
  <c r="D31" i="91"/>
  <c r="D34" i="91" s="1"/>
  <c r="E11" i="95"/>
  <c r="H58" i="92"/>
  <c r="D31" i="128"/>
  <c r="D24" i="139" s="1"/>
  <c r="D27" i="139" s="1"/>
  <c r="H52" i="92"/>
  <c r="D27" i="128"/>
  <c r="H49" i="92"/>
  <c r="D24" i="128"/>
  <c r="E4" i="134"/>
  <c r="K16" i="128"/>
  <c r="G16" i="92"/>
  <c r="G17" i="92" s="1"/>
  <c r="G53" i="92" s="1"/>
  <c r="G59" i="92" s="1"/>
  <c r="H11" i="92"/>
  <c r="H16" i="92" s="1"/>
  <c r="D4" i="128" s="1"/>
  <c r="D4" i="139" s="1"/>
  <c r="K12" i="139"/>
  <c r="K14" i="139" s="1"/>
  <c r="D132" i="132"/>
  <c r="D138" i="132" s="1"/>
  <c r="D22" i="132"/>
  <c r="G4" i="134" s="1"/>
  <c r="D62" i="132"/>
  <c r="G6" i="134" s="1"/>
  <c r="H6" i="134" s="1"/>
  <c r="K5" i="128" s="1"/>
  <c r="K5" i="139" s="1"/>
  <c r="D21" i="94"/>
  <c r="D27" i="94"/>
  <c r="D28" i="95"/>
  <c r="D67" i="144" s="1"/>
  <c r="F11" i="134" s="1"/>
  <c r="H11" i="134" s="1"/>
  <c r="K10" i="128" s="1"/>
  <c r="K10" i="139" s="1"/>
  <c r="C35" i="95"/>
  <c r="C68" i="144" s="1"/>
  <c r="C41" i="132"/>
  <c r="J10" i="139" l="1"/>
  <c r="N10" i="139" s="1"/>
  <c r="D89" i="144"/>
  <c r="D96" i="144" s="1"/>
  <c r="D132" i="144" s="1"/>
  <c r="D138" i="144" s="1"/>
  <c r="F10" i="92"/>
  <c r="F17" i="92" s="1"/>
  <c r="F53" i="92" s="1"/>
  <c r="F59" i="92" s="1"/>
  <c r="C19" i="134"/>
  <c r="E19" i="134" s="1"/>
  <c r="J23" i="128" s="1"/>
  <c r="N23" i="128" s="1"/>
  <c r="E65" i="144"/>
  <c r="I9" i="134" s="1"/>
  <c r="E36" i="95"/>
  <c r="E69" i="144" s="1"/>
  <c r="K20" i="139"/>
  <c r="K23" i="139" s="1"/>
  <c r="K22" i="128"/>
  <c r="G12" i="134"/>
  <c r="G20" i="134" s="1"/>
  <c r="G24" i="134" s="1"/>
  <c r="H4" i="134"/>
  <c r="J3" i="128"/>
  <c r="N3" i="128" s="1"/>
  <c r="D9" i="139"/>
  <c r="D11" i="139" s="1"/>
  <c r="D26" i="128"/>
  <c r="D21" i="139"/>
  <c r="D23" i="139" s="1"/>
  <c r="D28" i="139" s="1"/>
  <c r="D29" i="128"/>
  <c r="D76" i="132"/>
  <c r="D81" i="132" s="1"/>
  <c r="D28" i="94"/>
  <c r="D63" i="144" s="1"/>
  <c r="F7" i="134" s="1"/>
  <c r="H7" i="134" s="1"/>
  <c r="K6" i="128" s="1"/>
  <c r="K6" i="139" s="1"/>
  <c r="H4" i="92"/>
  <c r="H10" i="92" s="1"/>
  <c r="K4" i="92"/>
  <c r="K10" i="92" s="1"/>
  <c r="K17" i="92" s="1"/>
  <c r="K53" i="92" s="1"/>
  <c r="K59" i="92" s="1"/>
  <c r="J12" i="139" l="1"/>
  <c r="N12" i="139" s="1"/>
  <c r="J3" i="139"/>
  <c r="N3" i="139" s="1"/>
  <c r="K9" i="134"/>
  <c r="K12" i="134" s="1"/>
  <c r="I12" i="134"/>
  <c r="K3" i="128"/>
  <c r="K3" i="139" s="1"/>
  <c r="H17" i="92"/>
  <c r="H53" i="92" s="1"/>
  <c r="H59" i="92" s="1"/>
  <c r="D3" i="128"/>
  <c r="C11" i="95"/>
  <c r="D10" i="95"/>
  <c r="D9" i="95"/>
  <c r="D8" i="95"/>
  <c r="D7" i="95"/>
  <c r="D6" i="95"/>
  <c r="C36" i="95" l="1"/>
  <c r="C69" i="144" s="1"/>
  <c r="C65" i="144"/>
  <c r="D3" i="139"/>
  <c r="D5" i="139" s="1"/>
  <c r="D15" i="139" s="1"/>
  <c r="D30" i="139" s="1"/>
  <c r="D5" i="128"/>
  <c r="D30" i="128" s="1"/>
  <c r="D33" i="128" s="1"/>
  <c r="D37" i="128" s="1"/>
  <c r="D11" i="95"/>
  <c r="C51" i="97"/>
  <c r="D50" i="97"/>
  <c r="D51" i="97" s="1"/>
  <c r="E37" i="97"/>
  <c r="D40" i="97"/>
  <c r="D37" i="97"/>
  <c r="D38" i="97"/>
  <c r="D39" i="97"/>
  <c r="D41" i="97"/>
  <c r="D42" i="97"/>
  <c r="D36" i="97"/>
  <c r="D25" i="97"/>
  <c r="D22" i="97"/>
  <c r="D23" i="97"/>
  <c r="D24" i="97"/>
  <c r="D26" i="97"/>
  <c r="D27" i="97"/>
  <c r="D28" i="97"/>
  <c r="D29" i="97"/>
  <c r="D21" i="97"/>
  <c r="D6" i="97"/>
  <c r="C9" i="134" l="1"/>
  <c r="E9" i="134" s="1"/>
  <c r="J8" i="128" s="1"/>
  <c r="N8" i="128" s="1"/>
  <c r="E49" i="97"/>
  <c r="E53" i="97" s="1"/>
  <c r="D49" i="97"/>
  <c r="D36" i="95"/>
  <c r="D69" i="144" s="1"/>
  <c r="D65" i="144"/>
  <c r="F9" i="134" s="1"/>
  <c r="D32" i="97"/>
  <c r="D53" i="97"/>
  <c r="C53" i="97"/>
  <c r="C71" i="144" s="1"/>
  <c r="D71" i="144" l="1"/>
  <c r="F14" i="134" s="1"/>
  <c r="H14" i="134" s="1"/>
  <c r="K15" i="128" s="1"/>
  <c r="K18" i="139" s="1"/>
  <c r="J8" i="139"/>
  <c r="E71" i="144"/>
  <c r="E76" i="144" s="1"/>
  <c r="E81" i="144" s="1"/>
  <c r="E60" i="97"/>
  <c r="I14" i="134"/>
  <c r="H9" i="134"/>
  <c r="F12" i="134"/>
  <c r="C14" i="134"/>
  <c r="E14" i="134" s="1"/>
  <c r="D12" i="97"/>
  <c r="D11" i="97"/>
  <c r="D10" i="97"/>
  <c r="D8" i="97"/>
  <c r="D7" i="97"/>
  <c r="D5" i="97"/>
  <c r="D9" i="97"/>
  <c r="N8" i="139" l="1"/>
  <c r="J11" i="139"/>
  <c r="N11" i="139" s="1"/>
  <c r="D17" i="97"/>
  <c r="K14" i="134"/>
  <c r="K18" i="134" s="1"/>
  <c r="K20" i="134" s="1"/>
  <c r="K24" i="134" s="1"/>
  <c r="I18" i="134"/>
  <c r="I20" i="134" s="1"/>
  <c r="I24" i="134" s="1"/>
  <c r="K8" i="128"/>
  <c r="H12" i="134"/>
  <c r="J15" i="128"/>
  <c r="N15" i="128" s="1"/>
  <c r="D35" i="97"/>
  <c r="J18" i="139" l="1"/>
  <c r="N18" i="139" s="1"/>
  <c r="K8" i="139"/>
  <c r="K11" i="139" s="1"/>
  <c r="K15" i="139" s="1"/>
  <c r="K11" i="128"/>
  <c r="D60" i="97"/>
  <c r="D70" i="144"/>
  <c r="C4" i="97"/>
  <c r="F13" i="134" l="1"/>
  <c r="D76" i="144"/>
  <c r="D81" i="144" s="1"/>
  <c r="C35" i="97"/>
  <c r="C70" i="144" s="1"/>
  <c r="C28" i="132"/>
  <c r="D5" i="134" s="1"/>
  <c r="C44" i="132"/>
  <c r="C52" i="132"/>
  <c r="C61" i="132"/>
  <c r="C55" i="132"/>
  <c r="C8" i="94"/>
  <c r="C5" i="94"/>
  <c r="C75" i="132"/>
  <c r="C89" i="132"/>
  <c r="C96" i="132" s="1"/>
  <c r="C125" i="132"/>
  <c r="C128" i="132"/>
  <c r="C131" i="132"/>
  <c r="C10" i="94"/>
  <c r="C14" i="94"/>
  <c r="C14" i="139"/>
  <c r="G14" i="139" s="1"/>
  <c r="C13" i="134" l="1"/>
  <c r="E13" i="134" s="1"/>
  <c r="F18" i="134"/>
  <c r="F20" i="134" s="1"/>
  <c r="F24" i="134" s="1"/>
  <c r="H13" i="134"/>
  <c r="E5" i="134"/>
  <c r="E27" i="134"/>
  <c r="C99" i="132"/>
  <c r="C132" i="132" s="1"/>
  <c r="C138" i="132" s="1"/>
  <c r="C62" i="132"/>
  <c r="D6" i="134" s="1"/>
  <c r="E6" i="134" s="1"/>
  <c r="J5" i="128" s="1"/>
  <c r="N5" i="128" s="1"/>
  <c r="C28" i="94"/>
  <c r="C63" i="144" s="1"/>
  <c r="C7" i="134" l="1"/>
  <c r="E7" i="134" s="1"/>
  <c r="J6" i="128" s="1"/>
  <c r="J6" i="139" s="1"/>
  <c r="N6" i="139" s="1"/>
  <c r="C76" i="144"/>
  <c r="N6" i="128"/>
  <c r="J5" i="139"/>
  <c r="N5" i="139" s="1"/>
  <c r="J14" i="128"/>
  <c r="N14" i="128" s="1"/>
  <c r="E18" i="134"/>
  <c r="K14" i="128"/>
  <c r="H18" i="134"/>
  <c r="H20" i="134" s="1"/>
  <c r="H24" i="134" s="1"/>
  <c r="D12" i="134"/>
  <c r="D20" i="134" s="1"/>
  <c r="D24" i="134" s="1"/>
  <c r="J4" i="128"/>
  <c r="N4" i="128" s="1"/>
  <c r="E12" i="134"/>
  <c r="C60" i="97"/>
  <c r="C46" i="92"/>
  <c r="C10" i="92"/>
  <c r="C76" i="132"/>
  <c r="C81" i="132" s="1"/>
  <c r="C49" i="92"/>
  <c r="C81" i="144" l="1"/>
  <c r="J4" i="139"/>
  <c r="N4" i="139" s="1"/>
  <c r="E20" i="134"/>
  <c r="E24" i="134" s="1"/>
  <c r="J17" i="139"/>
  <c r="N17" i="139" s="1"/>
  <c r="K17" i="139"/>
  <c r="K28" i="139" s="1"/>
  <c r="K30" i="139" s="1"/>
  <c r="K30" i="128"/>
  <c r="K33" i="128" s="1"/>
  <c r="K37" i="128" s="1"/>
  <c r="C52" i="92"/>
  <c r="C20" i="92"/>
  <c r="C43" i="92"/>
  <c r="C16" i="92"/>
  <c r="C18" i="134" l="1"/>
  <c r="C12" i="134"/>
  <c r="C17" i="92"/>
  <c r="C20" i="134" l="1"/>
  <c r="C53" i="92"/>
  <c r="C59" i="92" l="1"/>
  <c r="C24" i="134"/>
  <c r="J11" i="128" l="1"/>
  <c r="N11" i="128" s="1"/>
  <c r="J14" i="139"/>
  <c r="N14" i="139" s="1"/>
  <c r="J27" i="139"/>
  <c r="N27" i="139" s="1"/>
  <c r="J30" i="128" l="1"/>
  <c r="N30" i="128" s="1"/>
  <c r="J15" i="139"/>
  <c r="N15" i="139" s="1"/>
  <c r="J28" i="139"/>
  <c r="N28" i="139" s="1"/>
  <c r="J33" i="128" l="1"/>
  <c r="N33" i="128" s="1"/>
  <c r="J30" i="139"/>
  <c r="N30" i="139" s="1"/>
  <c r="J37" i="128" l="1"/>
  <c r="N37" i="128" s="1"/>
  <c r="C29" i="128" l="1"/>
  <c r="G29" i="128" s="1"/>
  <c r="C5" i="139"/>
  <c r="G5" i="139" s="1"/>
  <c r="C11" i="139"/>
  <c r="G11" i="139" s="1"/>
  <c r="C5" i="128"/>
  <c r="G5" i="128" s="1"/>
  <c r="C26" i="128"/>
  <c r="G26" i="128" s="1"/>
  <c r="C8" i="128"/>
  <c r="G8" i="128" s="1"/>
  <c r="C19" i="139"/>
  <c r="G19" i="139" s="1"/>
  <c r="C23" i="139"/>
  <c r="G23" i="139" s="1"/>
  <c r="C27" i="139"/>
  <c r="G27" i="139" s="1"/>
  <c r="C28" i="139" l="1"/>
  <c r="G28" i="139" s="1"/>
  <c r="C15" i="139"/>
  <c r="G15" i="139" s="1"/>
  <c r="C30" i="128"/>
  <c r="G30" i="128" s="1"/>
  <c r="C33" i="128" l="1"/>
  <c r="G33" i="128" s="1"/>
  <c r="C30" i="139"/>
  <c r="G30" i="139" s="1"/>
  <c r="C37" i="128" l="1"/>
  <c r="G37" i="128" s="1"/>
</calcChain>
</file>

<file path=xl/sharedStrings.xml><?xml version="1.0" encoding="utf-8"?>
<sst xmlns="http://schemas.openxmlformats.org/spreadsheetml/2006/main" count="1677" uniqueCount="908">
  <si>
    <t>Személyi juttatások</t>
  </si>
  <si>
    <t>Dologi kiadás</t>
  </si>
  <si>
    <t>Ellátottak juttatása</t>
  </si>
  <si>
    <t>Beruházás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</si>
  <si>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</si>
  <si>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</si>
  <si>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</si>
  <si>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</si>
  <si>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</si>
  <si>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</si>
  <si>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</si>
  <si>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</si>
  <si>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</si>
  <si>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</si>
  <si>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</si>
  <si>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</si>
  <si>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</si>
  <si>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</si>
  <si>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</si>
  <si>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</si>
  <si>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</si>
  <si>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</si>
  <si>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</si>
  <si>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</si>
  <si>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</si>
  <si>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</si>
  <si>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</si>
  <si>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</si>
  <si>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</si>
  <si>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</si>
  <si>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</si>
  <si>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</si>
  <si>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</si>
  <si>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</si>
  <si>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</si>
  <si>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</si>
  <si>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</si>
  <si>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</si>
  <si>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</si>
  <si>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</si>
  <si>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</si>
  <si>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Óvoda</t>
  </si>
  <si>
    <t>Bölcsődés gyerekek össz.:</t>
  </si>
  <si>
    <t>Munkaadókat terhelő járulék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</si>
  <si>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</si>
  <si>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</si>
  <si>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</si>
  <si>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</si>
  <si>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</si>
  <si>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</si>
  <si>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</si>
  <si>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</si>
  <si>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</si>
  <si>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</si>
  <si>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</si>
  <si>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</si>
  <si>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</si>
  <si>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terv</t>
  </si>
  <si>
    <t>Szociális adó</t>
  </si>
  <si>
    <t xml:space="preserve">EHO </t>
  </si>
  <si>
    <t>Munkaruha, védőeszköz</t>
  </si>
  <si>
    <t>Intézmény finanszírozás</t>
  </si>
  <si>
    <t>Ápolási díj</t>
  </si>
  <si>
    <t>fő</t>
  </si>
  <si>
    <t>Ft</t>
  </si>
  <si>
    <t xml:space="preserve">Óvodai nevelés </t>
  </si>
  <si>
    <t>Lakásfenntartási támogatás</t>
  </si>
  <si>
    <t>BEVÉTELEK</t>
  </si>
  <si>
    <t>Iparűzési adó</t>
  </si>
  <si>
    <t>Gépjármű adó</t>
  </si>
  <si>
    <t>Gyermekvédelmi támogatás</t>
  </si>
  <si>
    <t>Megnevezés</t>
  </si>
  <si>
    <t>Szociális juttatások</t>
  </si>
  <si>
    <t>Gyógyszer, vegyszer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</si>
  <si>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</si>
  <si>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</si>
  <si>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</si>
  <si>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</si>
  <si>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</si>
  <si>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</si>
  <si>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</si>
  <si>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</si>
  <si>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</si>
  <si>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</si>
  <si>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</si>
  <si>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</si>
  <si>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</si>
  <si>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</si>
  <si>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</si>
  <si>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</si>
  <si>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</si>
  <si>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</si>
  <si>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</si>
  <si>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</si>
  <si>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</si>
  <si>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</si>
  <si>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</si>
  <si>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</si>
  <si>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>MŰKÖDÉSI  BEVÉTELEK ÖSSZESEN</t>
  </si>
  <si>
    <t>MŰKÖDÉSI KIADÁSOK ÖSSZ.</t>
  </si>
  <si>
    <t>Hiány:</t>
  </si>
  <si>
    <t>Többlet:</t>
  </si>
  <si>
    <t>FELHALMOZÁSI KIADÁSOK ÖSSZ.</t>
  </si>
  <si>
    <t>Létszám (fő)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</si>
  <si>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</si>
  <si>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</si>
  <si>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</si>
  <si>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</si>
  <si>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</si>
  <si>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</si>
  <si>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</si>
  <si>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</si>
  <si>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</si>
  <si>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</si>
  <si>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</si>
  <si>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</si>
  <si>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</si>
  <si>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</si>
  <si>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</si>
  <si>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</si>
  <si>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</si>
  <si>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</si>
  <si>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</si>
  <si>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</si>
  <si>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</si>
  <si>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</si>
  <si>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</si>
  <si>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</si>
  <si>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</si>
  <si>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</si>
  <si>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</si>
  <si>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</si>
  <si>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</si>
  <si>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</si>
  <si>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</si>
  <si>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</si>
  <si>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</si>
  <si>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</si>
  <si>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</si>
  <si>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</si>
  <si>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</si>
  <si>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</si>
  <si>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</si>
  <si>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</si>
  <si>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</si>
  <si>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</si>
  <si>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</si>
  <si>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</si>
  <si>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</si>
  <si>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</si>
  <si>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</si>
  <si>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</si>
  <si>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</si>
  <si>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</si>
  <si>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>Foglalkoztatottak egyéb személyi juttatása (biztosítási díj)</t>
  </si>
  <si>
    <t>Egyéb külső személyi juttatások (prémium évek, egysz.fogl.,repi)</t>
  </si>
  <si>
    <t>K321</t>
  </si>
  <si>
    <t>Informatikai szolgáltatások igénybevétele</t>
  </si>
  <si>
    <t xml:space="preserve">K322 </t>
  </si>
  <si>
    <t>K32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</si>
  <si>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</si>
  <si>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</si>
  <si>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</si>
  <si>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</si>
  <si>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</si>
  <si>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</si>
  <si>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</si>
  <si>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</si>
  <si>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</si>
  <si>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Vásárolt élelmezés</t>
  </si>
  <si>
    <t>K341</t>
  </si>
  <si>
    <t>K342</t>
  </si>
  <si>
    <t>Kiküldetési kiadások</t>
  </si>
  <si>
    <t>Reklám és propaganda kiadások</t>
  </si>
  <si>
    <t>K34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</si>
  <si>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</si>
  <si>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</si>
  <si>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</si>
  <si>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</si>
  <si>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</si>
  <si>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</si>
  <si>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</si>
  <si>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</si>
  <si>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</si>
  <si>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</si>
  <si>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</si>
  <si>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>K3</t>
  </si>
  <si>
    <t xml:space="preserve">DOLOGI KIADÁSOK </t>
  </si>
  <si>
    <t>K61</t>
  </si>
  <si>
    <t>K62</t>
  </si>
  <si>
    <t>K63</t>
  </si>
  <si>
    <t>K64</t>
  </si>
  <si>
    <t>K65</t>
  </si>
  <si>
    <t>K67</t>
  </si>
  <si>
    <t>K6</t>
  </si>
  <si>
    <t>K71</t>
  </si>
  <si>
    <t>K74</t>
  </si>
  <si>
    <t>K7</t>
  </si>
  <si>
    <t>K86</t>
  </si>
  <si>
    <t>K87</t>
  </si>
  <si>
    <t>K88</t>
  </si>
  <si>
    <t>K8</t>
  </si>
  <si>
    <t>FELHALMOZÁSI KIADÁSOK ÖSSZESEN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</si>
  <si>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</si>
  <si>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</si>
  <si>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</si>
  <si>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</si>
  <si>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</si>
  <si>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</si>
  <si>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</si>
  <si>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</si>
  <si>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</si>
  <si>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</si>
  <si>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</si>
  <si>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</si>
  <si>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</si>
  <si>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</si>
  <si>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</si>
  <si>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</si>
  <si>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</si>
  <si>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</si>
  <si>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</si>
  <si>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</si>
  <si>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</si>
  <si>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</si>
  <si>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</si>
  <si>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</si>
  <si>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</si>
  <si>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</si>
  <si>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</si>
  <si>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</si>
  <si>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</si>
  <si>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</si>
  <si>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>Eredeti</t>
  </si>
  <si>
    <t>Önkorm.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</si>
  <si>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</si>
  <si>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</si>
  <si>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</si>
  <si>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</si>
  <si>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</si>
  <si>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</si>
  <si>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</si>
  <si>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</si>
  <si>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</si>
  <si>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</si>
  <si>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</si>
  <si>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</si>
  <si>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>K912</t>
  </si>
  <si>
    <t>Belföldi értékpapír vásárlás</t>
  </si>
  <si>
    <t>B1</t>
  </si>
  <si>
    <t>Önkormányzatok működési támogatása</t>
  </si>
  <si>
    <t>Egyéb működési célú támogatások ÁH-n belülről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</si>
  <si>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</si>
  <si>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</si>
  <si>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</si>
  <si>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</si>
  <si>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</si>
  <si>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</si>
  <si>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</si>
  <si>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</si>
  <si>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</si>
  <si>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</si>
  <si>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</si>
  <si>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</si>
  <si>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t>B34</t>
  </si>
  <si>
    <t>B351</t>
  </si>
  <si>
    <t>B354</t>
  </si>
  <si>
    <t>B355</t>
  </si>
  <si>
    <t>Gépjárműadók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</si>
  <si>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</si>
  <si>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</si>
  <si>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</si>
  <si>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</si>
  <si>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</si>
  <si>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</si>
  <si>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</si>
  <si>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</si>
  <si>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</si>
  <si>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</si>
  <si>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</si>
  <si>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</si>
  <si>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</si>
  <si>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</si>
  <si>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</si>
  <si>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</si>
  <si>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</si>
  <si>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</si>
  <si>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</si>
  <si>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</si>
  <si>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</si>
  <si>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</si>
  <si>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</si>
  <si>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</si>
  <si>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</si>
  <si>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</si>
  <si>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</si>
  <si>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</si>
  <si>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</si>
  <si>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</si>
  <si>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</si>
  <si>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</si>
  <si>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</si>
  <si>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Egyéb felhalmozási célú átvett pénzeszközök ÁH-n kívülről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</si>
  <si>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</si>
  <si>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</si>
  <si>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</si>
  <si>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</si>
  <si>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</si>
  <si>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</si>
  <si>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</si>
  <si>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Ellátottak juttatásai</t>
  </si>
  <si>
    <t xml:space="preserve">      ÖNKORMÁNYZAT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</si>
  <si>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</si>
  <si>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</si>
  <si>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</si>
  <si>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</si>
  <si>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</si>
  <si>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</si>
  <si>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</si>
  <si>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</si>
  <si>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</si>
  <si>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</si>
  <si>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</si>
  <si>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</si>
  <si>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</si>
  <si>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Szolgáltatások ellenértéke (igazg.szolg.díj, vendégétkezés)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</si>
  <si>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</si>
  <si>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</si>
  <si>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</si>
  <si>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</si>
  <si>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</si>
  <si>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</si>
  <si>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</si>
  <si>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</si>
  <si>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>Egyéb működési célú kiadások</t>
  </si>
  <si>
    <t>Egyéb felhalmozási célú kiadások</t>
  </si>
  <si>
    <t xml:space="preserve">  HALMOZOTT BEVÉTELEK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</si>
  <si>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</si>
  <si>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</si>
  <si>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</si>
  <si>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</si>
  <si>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</si>
  <si>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</si>
  <si>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</si>
  <si>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t>B8</t>
  </si>
  <si>
    <t>K9</t>
  </si>
  <si>
    <t>Előző évi működési maradvány igénybevétele</t>
  </si>
  <si>
    <t xml:space="preserve">      ELLÁTOTTAK JUTTATÁSAI</t>
  </si>
  <si>
    <t>Egyéb kommunikációs szolgáltatások  (telefondíj)</t>
  </si>
  <si>
    <t>Közüzemi díjak (gáz, áram, víz)</t>
  </si>
  <si>
    <t>Közfoglalkoztatás</t>
  </si>
  <si>
    <t>I.1.a.</t>
  </si>
  <si>
    <t>I.</t>
  </si>
  <si>
    <t>II.</t>
  </si>
  <si>
    <t>Pénzbeli szociális feladatok</t>
  </si>
  <si>
    <t>III.</t>
  </si>
  <si>
    <t>IV.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</si>
  <si>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</si>
  <si>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</si>
  <si>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</si>
  <si>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</si>
  <si>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</si>
  <si>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>Gyermekétkeztetés támogatása (bértámogatás)</t>
  </si>
  <si>
    <t>I.1.b.</t>
  </si>
  <si>
    <t>Arany János Tehetséggondozó Program</t>
  </si>
  <si>
    <t>Felsőoktatásban résztvevők támogatása</t>
  </si>
  <si>
    <t>8. osztályos tanulók támogatása (16. fő)</t>
  </si>
  <si>
    <t>Beiskolázási segély, táboroztatás</t>
  </si>
  <si>
    <t>Szakmai tev-t segítő szolgáltatások  (közszolg.,száml.szellemi)</t>
  </si>
  <si>
    <t>Egyéb szolgáltatások (száll.,posta, hull.,munkaeü., bank)</t>
  </si>
  <si>
    <t>Ruházati költségtérítés  (2013. SZÉP kártya)</t>
  </si>
  <si>
    <t>Táppénz hozzájárulás  (2012. SZÉP kártya kif.adó)</t>
  </si>
  <si>
    <t>Közcélú foglalkoztatás</t>
  </si>
  <si>
    <t>Működési célú központosított előirányzatok  (kompenzáció)</t>
  </si>
  <si>
    <t>Helyi önkormányzatok kiegészítő támogatása    (külterületi)</t>
  </si>
  <si>
    <t>Közös Hivatal fennt-hoz átvett pénzeszköz …... Önk-tól</t>
  </si>
  <si>
    <t>Össz.: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</si>
  <si>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</si>
  <si>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</si>
  <si>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</si>
  <si>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</si>
  <si>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</si>
  <si>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</si>
  <si>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</si>
  <si>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</si>
  <si>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</si>
  <si>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</si>
  <si>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</si>
  <si>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</si>
  <si>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</si>
  <si>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</si>
  <si>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</si>
  <si>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</si>
  <si>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</si>
  <si>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</si>
  <si>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</si>
  <si>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</si>
  <si>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</si>
  <si>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</si>
  <si>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</si>
  <si>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</si>
  <si>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</si>
  <si>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</si>
  <si>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</si>
  <si>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</si>
  <si>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</si>
  <si>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</si>
  <si>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>Fogorvosi alapellátás</t>
  </si>
  <si>
    <t>Levél SE</t>
  </si>
  <si>
    <t>Horgász Egyesület</t>
  </si>
  <si>
    <t>Levél Barátai Egyesület</t>
  </si>
  <si>
    <t>Nyugdíjás Egyesület</t>
  </si>
  <si>
    <t>Talizmán</t>
  </si>
  <si>
    <t>Általános tartalék</t>
  </si>
  <si>
    <t>Céltartalék</t>
  </si>
  <si>
    <t>Nyugdíjasok karácsonyi juttatása</t>
  </si>
  <si>
    <t>Pénzeszköz átadás Közös Hivatal</t>
  </si>
  <si>
    <t>Egyéb kommunikációs szolgáltatások  (telefondíj, műsoridő)</t>
  </si>
  <si>
    <t>Bérleti és lízingdíj</t>
  </si>
  <si>
    <t>Egyéb anyag, készletbeszerzés (kisértékű tárgyi eszk.,virágosítás)</t>
  </si>
  <si>
    <t>Szakmai tevékenységet segítő szolgáltatások  (gyermekorvos)</t>
  </si>
  <si>
    <t>Béren kívüli juttatások részmunkaidős</t>
  </si>
  <si>
    <t>Tüzelőanyag</t>
  </si>
  <si>
    <t>K3113</t>
  </si>
  <si>
    <t>Egyéb szakmai anyag</t>
  </si>
  <si>
    <t>Idegenforgalmi adó</t>
  </si>
  <si>
    <t>Kommunális adó</t>
  </si>
  <si>
    <t>Polgárőr Egyesület</t>
  </si>
  <si>
    <t>Szolgáltatások ellenértéke</t>
  </si>
  <si>
    <t>Értékesítési és forgalmi adók (iparűzési adó)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</si>
  <si>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</si>
  <si>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</si>
  <si>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</si>
  <si>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</si>
  <si>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</si>
  <si>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</si>
  <si>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</si>
  <si>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</si>
  <si>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</si>
  <si>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</si>
  <si>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</si>
  <si>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</si>
  <si>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</si>
  <si>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</si>
  <si>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</si>
  <si>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</si>
  <si>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</si>
  <si>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</si>
  <si>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</si>
  <si>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</si>
  <si>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</si>
  <si>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</si>
  <si>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</si>
  <si>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</si>
  <si>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</si>
  <si>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</si>
  <si>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</si>
  <si>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</si>
  <si>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</si>
  <si>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</si>
  <si>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</si>
  <si>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</si>
  <si>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</si>
  <si>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</si>
  <si>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</si>
  <si>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</si>
  <si>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</si>
  <si>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</si>
  <si>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Játékok</t>
  </si>
  <si>
    <t>K917</t>
  </si>
  <si>
    <t>Pénzügyi lízing kiadásai</t>
  </si>
  <si>
    <t>K914</t>
  </si>
  <si>
    <t>Államháztartáson belüli megelőlegzések visszafizetése</t>
  </si>
  <si>
    <t>Tagdíjak</t>
  </si>
  <si>
    <t>Levéli Általános Iskola Diákjaiért Alapítvány</t>
  </si>
  <si>
    <t>HungaRocky Táncegyesület</t>
  </si>
  <si>
    <t>Pénzügyi lízing</t>
  </si>
  <si>
    <t>Államháztartáson belüli megelőlegzések visszafiz.</t>
  </si>
  <si>
    <t>Államháztartáson belüli megelőlegzések</t>
  </si>
  <si>
    <t>ingyenes</t>
  </si>
  <si>
    <t>Települési támogatás, lakásfenntartási támogatás, temetési segély</t>
  </si>
  <si>
    <t>Köztemetés, ápolási támogatás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</si>
  <si>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</si>
  <si>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</si>
  <si>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</si>
  <si>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</si>
  <si>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</si>
  <si>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</si>
  <si>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</si>
  <si>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</si>
  <si>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</si>
  <si>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>Tanulmányterv Fő utca parkoló elhelyezésére</t>
  </si>
  <si>
    <t>Közvilágítás korszerűsítése</t>
  </si>
  <si>
    <t>Maradvány felhasználás</t>
  </si>
  <si>
    <t>Pénzmaradvány felhasználéás</t>
  </si>
  <si>
    <t>Pénzmaradvány igénybevétele</t>
  </si>
  <si>
    <t>teljesítés</t>
  </si>
  <si>
    <t>A helyi önkormányzatok előző évi elszámolásából származó kiadások</t>
  </si>
  <si>
    <t>2019. évi költségvetési előirányzat költségvetési szervenként</t>
  </si>
  <si>
    <t>Költségvetési engedélyezett létszámhely 2019. év</t>
  </si>
  <si>
    <t>Nem közfoglal-koztatott</t>
  </si>
  <si>
    <t>Közfog-lalkoztatott</t>
  </si>
  <si>
    <t>Kultúrház udvar fedése</t>
  </si>
  <si>
    <t>Fő u. 7. (takarék vásárlása)</t>
  </si>
  <si>
    <t>Bölcsődei fejlesztési pályázatírás költsége 171/2018. (X.29.) határozat</t>
  </si>
  <si>
    <t>Bölcsőde pályázat önerő biztosítása</t>
  </si>
  <si>
    <t>Térköves járdaépítés folytatása (temető) ravatolozó, szerszámos</t>
  </si>
  <si>
    <t>Járdaépítés (József A. u. és Fő u. 59. sz. ingatlan mellett)</t>
  </si>
  <si>
    <t>Murvás útépítés (Vadász u., Petőfi S. utcától Diófa utcáig)</t>
  </si>
  <si>
    <t>Diófa és Vadász utca között betonelem csapadékvíz-elvezető árokhoz</t>
  </si>
  <si>
    <t>Kultúrház udvarán gépkocsifeljáró térkövezése (108/2019. hat.)</t>
  </si>
  <si>
    <t>Kultúrház udvarán térkőburkolat készítése (82/2019. hat.)</t>
  </si>
  <si>
    <t>Immateriális javak beszerzése</t>
  </si>
  <si>
    <t>Ingatlanok beszerzése, létesítése</t>
  </si>
  <si>
    <t>Informatikai eszközök beszerzése</t>
  </si>
  <si>
    <t>Fénymásoló megvásárlása maradványértéken (lízingelt másoló)</t>
  </si>
  <si>
    <t>Chip olvasó</t>
  </si>
  <si>
    <t>Egyéb tárgyi eszközök beszerzése</t>
  </si>
  <si>
    <t>Részesedés vásárlás</t>
  </si>
  <si>
    <t>Beruházások előzetesen felszámított általános forgalmi adója</t>
  </si>
  <si>
    <t xml:space="preserve">BERUHÁZÁSOK </t>
  </si>
  <si>
    <t>Zsírfogó cseréje a konyhánál</t>
  </si>
  <si>
    <t>Fűnyíró vásárlása: zöldterület kezelés</t>
  </si>
  <si>
    <t>Adagoló sószóró-adapter beszerzése</t>
  </si>
  <si>
    <t>Kamerarendszer bővítése: Horgásztó</t>
  </si>
  <si>
    <t>Közösségi kemence: pályázati önrész</t>
  </si>
  <si>
    <t>Chipleolvasó</t>
  </si>
  <si>
    <t>Berendezési tárgyak megvásárlása: Fő u. 7. (takarék)</t>
  </si>
  <si>
    <t>Berendezési tárgyak megvásárlása: Sport büfé (192/2018. (XII.17.) hat.)</t>
  </si>
  <si>
    <t>Védőnői szék, lámpa a pólyázó fölé</t>
  </si>
  <si>
    <t>Villamos hálózat bővítése: temető</t>
  </si>
  <si>
    <t>Kazáncsere: Fő u. 25. 2. sz. lakás</t>
  </si>
  <si>
    <t>Hátsó épület külső pucolása és szociális helyiség kialakítása: Fő u. 2. (kertészek raktára)</t>
  </si>
  <si>
    <t>Villamos bővítés kábelezéssel: Fő u. 2. (kertészek raktára)</t>
  </si>
  <si>
    <t>Csapadékvíz-elvezető árok: Vadász utca</t>
  </si>
  <si>
    <t>Út-felújítás: Alsófő u. és Május 1. Liget u. (80/2019. hat.)</t>
  </si>
  <si>
    <t>Szolgálati lakások felújítása: Fő u. 25. (2 lakás) (58/2019. hat.)</t>
  </si>
  <si>
    <t>K73</t>
  </si>
  <si>
    <t>Egyéb tárgyi eszközök felújítása</t>
  </si>
  <si>
    <t>Ingatlanok felújítása</t>
  </si>
  <si>
    <t>Felújítások általános forgalmi adója</t>
  </si>
  <si>
    <t>EGYÉB FELHALMOZÁSI CÉLÚ KIADÁSOK</t>
  </si>
  <si>
    <t>Egyéb működési célú peszk. átadása államházt. belülre</t>
  </si>
  <si>
    <t>Fejlesztési célú peszk. átadása államházt. belülre</t>
  </si>
  <si>
    <t>Országos Mentőszolgálat Alapítvány</t>
  </si>
  <si>
    <t>Példa Egyesület a Szigetköz Gyermekekért</t>
  </si>
  <si>
    <t>Egyéb civil szervezetek (alapítvány) támogatása</t>
  </si>
  <si>
    <t>K513</t>
  </si>
  <si>
    <t>Felnőtt játszótér pályázat önerő 90/2018.(IV24.) határozat</t>
  </si>
  <si>
    <t>Tűzoltó Egyesület (-sátorbérlet)</t>
  </si>
  <si>
    <t>Jelzőrendszeres 50e, doborgazi tábor 70e rászoruló gy kar 75e, idősek otthoni ellátásért</t>
  </si>
  <si>
    <t>Tankönyv támogatás</t>
  </si>
  <si>
    <t>Közép- és felső oktatási tanulók szoc.t. (Bursa)</t>
  </si>
  <si>
    <t>Téli rezsicsökkentés (átcsop. K312-be)</t>
  </si>
  <si>
    <t>Foglalkoztatottak személyi juttatásai</t>
  </si>
  <si>
    <t>Foglalk. egyéb szem. jutt. (biztosítási díj, megbízási díj: kompenzáció, kult. pótlék)</t>
  </si>
  <si>
    <t xml:space="preserve">Külső személyi juttatások </t>
  </si>
  <si>
    <t>Alapilletmények, pótlékok, illetmények, kereset-kiegészítés</t>
  </si>
  <si>
    <t>Alapilletmények, pótlékok, illetmények, kereset-kiegészítés: részmunkaidősök</t>
  </si>
  <si>
    <t>Jutalom: részmunkaidősök</t>
  </si>
  <si>
    <t>Szakmai anyag beszerzés</t>
  </si>
  <si>
    <t>Üzemeltetési anyagok beszerzése</t>
  </si>
  <si>
    <t>Készletbeszerzés</t>
  </si>
  <si>
    <t>Kommunikációs szolgáltatások</t>
  </si>
  <si>
    <t>Egyéb szolgáltatások (lomtalanítás, Hír-Levél nyomtatás, gyepmesteri szolg., tűzoltó készülékek ell., postaktg., biztosítási díj)</t>
  </si>
  <si>
    <t>K332</t>
  </si>
  <si>
    <t>Szolgáltatási kiadások</t>
  </si>
  <si>
    <t>Kiküldetések, reklám kiadások</t>
  </si>
  <si>
    <t>Különféle befizetések és egyéb dologi kiadások</t>
  </si>
  <si>
    <t>K33</t>
  </si>
  <si>
    <t>KIADÁSOK ÖSSZESEN</t>
  </si>
  <si>
    <t>KIADÁSOK HALMOZOTT ÖSSZEGE</t>
  </si>
  <si>
    <t>FINANSZÍROZÁSI KIADÁSOK</t>
  </si>
  <si>
    <t>Könyvtári, közművelődés feladatok támogatása (B114)</t>
  </si>
  <si>
    <t>Bursa ösztöndíj</t>
  </si>
  <si>
    <t>Jövedelem adók (termőföld bérbeadás)</t>
  </si>
  <si>
    <t>Vagyoni típusú adók (építmény, telekadó)</t>
  </si>
  <si>
    <t>Egyéb adók (talajterhelési díj)</t>
  </si>
  <si>
    <t>B36</t>
  </si>
  <si>
    <t>B35</t>
  </si>
  <si>
    <t>Termékek és szolgáltatások adói</t>
  </si>
  <si>
    <t>Egyéb közhatalmi bevételek</t>
  </si>
  <si>
    <t>Környezetvédelmi bírság</t>
  </si>
  <si>
    <t>B367</t>
  </si>
  <si>
    <t>B361</t>
  </si>
  <si>
    <t>B362</t>
  </si>
  <si>
    <t>Vagyoni típusú adók összesen</t>
  </si>
  <si>
    <t>Fordítot áfa</t>
  </si>
  <si>
    <t>B411</t>
  </si>
  <si>
    <t>MŰK. CÉLÚ ÁTVETT PÉNZE. ÁH. KÍVÜLRŐL</t>
  </si>
  <si>
    <t>B65</t>
  </si>
  <si>
    <t>FELHALM. CÉLÚ ÁTVETT PÉNZE. ÁH. KÍVÜLRŐL</t>
  </si>
  <si>
    <t>B75</t>
  </si>
  <si>
    <t>BEVÉTELEK ÖSSZESEN</t>
  </si>
  <si>
    <t>FINANSZÍROZÁSI BEVÉTELEK</t>
  </si>
  <si>
    <t>BEVÉTELEK HALMOZOTT ÖSSZEGE</t>
  </si>
  <si>
    <t>FELHALM. ÁTVETT PÉNZE. ÁH KÍVÜLRŐL</t>
  </si>
  <si>
    <t>MŰK. CÉLÚ TÁMOGATÁS ÁH. BELÜLRŐL</t>
  </si>
  <si>
    <t>FELH. CÉLÚ TÁMOGATÁS ÁH. BELÜLRŐL</t>
  </si>
  <si>
    <t>Alapilletmények, pótlékok, illetmény-, keresetkiegészítés: részmunkaidős</t>
  </si>
  <si>
    <t>Jutalom: részmunkaidős</t>
  </si>
  <si>
    <t>K22</t>
  </si>
  <si>
    <t>Rehabilitációs hozzájárulás</t>
  </si>
  <si>
    <t>K3114</t>
  </si>
  <si>
    <t>Szakmai anyag: tempera, krepp papír barkácsoláshoz</t>
  </si>
  <si>
    <t>Felhalm. célú pénze. átv. ÁH. kívülről</t>
  </si>
  <si>
    <t>KÖLTSÉGVETÉSI FŐÖSSZEG</t>
  </si>
  <si>
    <t>Finanszírozási célú bevételek</t>
  </si>
  <si>
    <t>Finanszírozási célú kiadások</t>
  </si>
  <si>
    <t>FELHALMOZÁSI BEVÉTELEK ÖSSZ.</t>
  </si>
  <si>
    <t>Készletértékesítés ellenértéke</t>
  </si>
  <si>
    <t>Közvetített szolgáltatások ellenértéke</t>
  </si>
  <si>
    <t>Tulajdonosi bevételek</t>
  </si>
  <si>
    <t>Általános forgalmi adó visszatérítése</t>
  </si>
  <si>
    <t>Kamatbevételek és más nyereségjellegű bevételek</t>
  </si>
  <si>
    <t>Jövedelem adók: termőföld bérbeadás</t>
  </si>
  <si>
    <t>Vagyoni típusú adók: építmény, telekadó</t>
  </si>
  <si>
    <t>Értékesítési és forgalmi adók: iparűzési adó</t>
  </si>
  <si>
    <t>összesen</t>
  </si>
  <si>
    <t>Működési kiadások összesen</t>
  </si>
  <si>
    <t>Felhalmozási kiadások</t>
  </si>
  <si>
    <t>K5021</t>
  </si>
  <si>
    <t>K5022</t>
  </si>
  <si>
    <t>HALMOZOTT KIADÁSOK ÖSSZ.</t>
  </si>
  <si>
    <t>ÖSSZESEN</t>
  </si>
  <si>
    <t>Közös Hivatal fennt-hoz átvett pénzeszközök</t>
  </si>
  <si>
    <t>VI.</t>
  </si>
  <si>
    <t>A helyi önkormányzatok törvényi előíráson alapuló befizetései</t>
  </si>
  <si>
    <t>ÓVODA</t>
  </si>
  <si>
    <t>HALMOZOTT BEVÉTELEK ÖSSZESEN</t>
  </si>
  <si>
    <t>Egyéb felhalmozási célú támogatások ÁH-n kívülre</t>
  </si>
  <si>
    <t>I. módosított EI</t>
  </si>
  <si>
    <t>II. módosított EI</t>
  </si>
  <si>
    <t>III. módosított EI</t>
  </si>
  <si>
    <t>Vagyoni típusú adók</t>
  </si>
  <si>
    <t>Építményadó, telekadó</t>
  </si>
  <si>
    <t>B363</t>
  </si>
  <si>
    <t>Bírság, pótlék</t>
  </si>
  <si>
    <t>KÖLTSÉGVETÉSI BEVÉTELEK</t>
  </si>
  <si>
    <t>HALMOZOTT KIADÁSOK</t>
  </si>
  <si>
    <t>KÖLTSÉGVETÉSI KIADÁSOK</t>
  </si>
  <si>
    <t>MINDÖSSZESEN</t>
  </si>
  <si>
    <t>2019. 01-09. havi</t>
  </si>
  <si>
    <t>2019.
évi
telj.
(%)</t>
  </si>
  <si>
    <t>2019. évi
telj. (%)</t>
  </si>
  <si>
    <t>2019. évi</t>
  </si>
  <si>
    <t>telj. (%)</t>
  </si>
  <si>
    <t>2019. évi
vált. (%)</t>
  </si>
  <si>
    <t>módosított EI (I.)</t>
  </si>
  <si>
    <t>módosított EI (II.)</t>
  </si>
  <si>
    <t>módosított EI (III.)</t>
  </si>
  <si>
    <t>ÁLLAMI TÁMOGATÁSOK</t>
  </si>
  <si>
    <t>ÁLLAMI TÁMOGATÁS ÖSSZESEN</t>
  </si>
  <si>
    <t>Helyi önkormányzatok működésének általános tám. (B111)</t>
  </si>
  <si>
    <t>Köznevelési feladatok (óvoda) (B112)</t>
  </si>
  <si>
    <t>Szociális és gyermekjóléti feladatok</t>
  </si>
  <si>
    <t>Kulturális feladatok támogatása</t>
  </si>
  <si>
    <t>Lakott külterület (B115)</t>
  </si>
  <si>
    <t>Kiegészítő támogatások (B116)</t>
  </si>
  <si>
    <t>8 hónap: - óvodapedagógus</t>
  </si>
  <si>
    <t>- közvetlen segítők</t>
  </si>
  <si>
    <t>- működtetés</t>
  </si>
  <si>
    <t>4 hónap: - óvodapedagógus</t>
  </si>
  <si>
    <t>Óvodapedagógus elismert létszáma elismert összeg + kiegészítő támogatás</t>
  </si>
  <si>
    <t>Önkormányzati hivatal működésének támogatása</t>
  </si>
  <si>
    <t>- beszámítás</t>
  </si>
  <si>
    <t>Település üzemeltetés támogatása</t>
  </si>
  <si>
    <t>2019. 01-09. hó</t>
  </si>
  <si>
    <t>Kedvezményes étkezés (B113)</t>
  </si>
  <si>
    <t>EGYÉB MŰKÖÉDÉSI KIADÁSOK</t>
  </si>
  <si>
    <t>Működési tartalék (2018. évi maradvány: 25.403.317,-Ft)</t>
  </si>
  <si>
    <t>Felhalmozási tartalék</t>
  </si>
  <si>
    <t>Működési tartalék</t>
  </si>
  <si>
    <t>Pénzügyi lízing kiadásai (Konkord-tól az új másolót béreljük.)</t>
  </si>
  <si>
    <t>K89</t>
  </si>
  <si>
    <t>Fizetendő általános forgalmi adó (Fordított ÁFA)</t>
  </si>
  <si>
    <t>EHO</t>
  </si>
  <si>
    <t>ROVAT</t>
  </si>
  <si>
    <t>062020</t>
  </si>
  <si>
    <t>051040</t>
  </si>
  <si>
    <t>045120</t>
  </si>
  <si>
    <t>083050</t>
  </si>
  <si>
    <t>083030</t>
  </si>
  <si>
    <t>096015</t>
  </si>
  <si>
    <t>013350</t>
  </si>
  <si>
    <t>042180</t>
  </si>
  <si>
    <t>066010</t>
  </si>
  <si>
    <t>074031</t>
  </si>
  <si>
    <t>074032</t>
  </si>
  <si>
    <t>107060</t>
  </si>
  <si>
    <t>045161</t>
  </si>
  <si>
    <t>094260</t>
  </si>
  <si>
    <t>086030</t>
  </si>
  <si>
    <t>082044</t>
  </si>
  <si>
    <t>082091</t>
  </si>
  <si>
    <t>081045</t>
  </si>
  <si>
    <t>013320</t>
  </si>
  <si>
    <t>064010</t>
  </si>
  <si>
    <t>084031</t>
  </si>
  <si>
    <t>084032</t>
  </si>
  <si>
    <t>072450</t>
  </si>
  <si>
    <t>032020</t>
  </si>
  <si>
    <t>091211</t>
  </si>
  <si>
    <t>091220</t>
  </si>
  <si>
    <t>092120</t>
  </si>
  <si>
    <t>066020</t>
  </si>
  <si>
    <t>072311</t>
  </si>
  <si>
    <t>016080</t>
  </si>
  <si>
    <t>900070</t>
  </si>
  <si>
    <t>900060</t>
  </si>
  <si>
    <t>018030</t>
  </si>
  <si>
    <t>072111</t>
  </si>
  <si>
    <t>011130</t>
  </si>
  <si>
    <t>016030</t>
  </si>
  <si>
    <t>900020</t>
  </si>
  <si>
    <t>041233</t>
  </si>
  <si>
    <t>Hosszabb
időtartamú
közfogl.</t>
  </si>
  <si>
    <t>Állam-
polgársági
ügyletek</t>
  </si>
  <si>
    <t>Fogorvosi
alap-
ellátás</t>
  </si>
  <si>
    <t>Fiziko-
terápiás
szolg.</t>
  </si>
  <si>
    <t>Köz-
világítás</t>
  </si>
  <si>
    <t>Zöldterület
kezelés</t>
  </si>
  <si>
    <t>2019. évi
terv</t>
  </si>
  <si>
    <t>2019. I. félévi</t>
  </si>
  <si>
    <t>módosított
EI (I.)</t>
  </si>
  <si>
    <t>Telepü-
lésfejl. proj.
és tám.</t>
  </si>
  <si>
    <t>Út,
autópálya
építése</t>
  </si>
  <si>
    <t>TV-műsor
szolg. és
támogatása</t>
  </si>
  <si>
    <t>Egyéb
kiadói
tev.</t>
  </si>
  <si>
    <t>Gyermek-
étk. köznev.
int.-ben</t>
  </si>
  <si>
    <t>Önkorm.-i
vagyonnal
való gazd.</t>
  </si>
  <si>
    <t>Állateü.</t>
  </si>
  <si>
    <t>Család és
nővéd.
eü.-gond.</t>
  </si>
  <si>
    <t>Ifjúság-
eü.-i
gondozás</t>
  </si>
  <si>
    <t>Egyéb
szociális
ellátások</t>
  </si>
  <si>
    <t>Kerékpár-
utak
üzemeltetése</t>
  </si>
  <si>
    <t>Hallgatói
és oktatói
ösztöndíjak</t>
  </si>
  <si>
    <t>NZK kult.
együtt-
működés</t>
  </si>
  <si>
    <t>Könyv-
tári
szolg.</t>
  </si>
  <si>
    <t>Közműve-
lődés</t>
  </si>
  <si>
    <t>Szabadidő-
sport
tev. és tám.</t>
  </si>
  <si>
    <t>Köz-
temető
fenntartása</t>
  </si>
  <si>
    <t>Civil szerv.
működési
támogatása</t>
  </si>
  <si>
    <t>Civil
szerv.
prog.-tám.</t>
  </si>
  <si>
    <t>Tűz- és
katasztrófa-
véd. tev.</t>
  </si>
  <si>
    <t>Köznev. int.
szakmai fela-
datai: 1-4. évf.</t>
  </si>
  <si>
    <t>Köznev. int.
működési fela-
datai: 1-4. évf.</t>
  </si>
  <si>
    <t>Köznev. int.
működési fela-
datai: 5-8. évf.</t>
  </si>
  <si>
    <t>Község-
gazd.
szolg.</t>
  </si>
  <si>
    <t>Kiemelt
állami
rend.-ek</t>
  </si>
  <si>
    <t>Fejezeti
és ált.
tartalékok</t>
  </si>
  <si>
    <t>Forgatási
és befekt.
célú fin.</t>
  </si>
  <si>
    <t>Tám. célú
finansz.
műveletek</t>
  </si>
  <si>
    <t>Önk.-ok
elsz. kp.-i
ktg.-vetéssel</t>
  </si>
  <si>
    <t>Házi-
orvosi
ellátás</t>
  </si>
  <si>
    <t>Önk.-ok jogalkotó és
ált. ig. tev.</t>
  </si>
  <si>
    <t>Önk.-ok
bevételei
ÁH kívülről</t>
  </si>
  <si>
    <t>Nem vesz.
hulladék
kezelése</t>
  </si>
  <si>
    <t>018010</t>
  </si>
  <si>
    <t>2019. évi teljesítésből:</t>
  </si>
  <si>
    <t>módosított
EI (II.)</t>
  </si>
  <si>
    <t>módosított
EI (III.)</t>
  </si>
  <si>
    <t>2019.
évi
telj. (%)</t>
  </si>
  <si>
    <t>Ingatlan értékesítés</t>
  </si>
  <si>
    <t>Értékpapír beváltás</t>
  </si>
  <si>
    <t>2019. évi előirányzat</t>
  </si>
  <si>
    <t xml:space="preserve">A működési és fejlesztési célú bevételek és kiadások 2019-2022. évi </t>
  </si>
  <si>
    <t>módosí-
tott
EI (I.)</t>
  </si>
  <si>
    <t>Útburkolat felújítása: Ág u.</t>
  </si>
  <si>
    <t>Kiülő tetőcseréje: Horgász-tó</t>
  </si>
  <si>
    <t>módosí-
tott
EI (II.)</t>
  </si>
  <si>
    <t>módosí-
tott
EI (III.)</t>
  </si>
  <si>
    <t>Gázüzemű ételfőző üst: konyha</t>
  </si>
  <si>
    <t>Gázkazán csere: kultúrház</t>
  </si>
  <si>
    <t>Fő u. 25. (226. hrsz.) társasházzá nyilvánításához terv készítése</t>
  </si>
  <si>
    <t>Magyar Falu Program: Vasút u.</t>
  </si>
  <si>
    <t>Magyar Falu Program: Cseresznyés u.</t>
  </si>
  <si>
    <t>Levéli Sportegyesület támogatása: felnőtt játszótér kialakítása</t>
  </si>
  <si>
    <r>
      <t xml:space="preserve">Egyéb tárgyi eszközök: tányér, evőeszköz, mosogatógép, kuka, </t>
    </r>
    <r>
      <rPr>
        <b/>
        <sz val="12"/>
        <rFont val="Times"/>
        <charset val="238"/>
      </rPr>
      <t xml:space="preserve">külső adattároló, üzenetrögzítős telefon, </t>
    </r>
    <r>
      <rPr>
        <sz val="12"/>
        <rFont val="Times"/>
        <charset val="238"/>
      </rPr>
      <t xml:space="preserve">falitükör, konyhaszekrény, beltéri hírdetőtábla, olvasólámpa, </t>
    </r>
    <r>
      <rPr>
        <b/>
        <sz val="12"/>
        <rFont val="Times"/>
        <charset val="238"/>
      </rPr>
      <t xml:space="preserve">szelektív ingeráram készülék Amazone-tól, mobiltelefon (temető), virágtartó láda (temető), vérnyomásmérő, </t>
    </r>
    <r>
      <rPr>
        <sz val="12"/>
        <rFont val="Times"/>
        <charset val="238"/>
      </rPr>
      <t xml:space="preserve">fénymásoló (bérlet: Kultúrház), </t>
    </r>
    <r>
      <rPr>
        <b/>
        <sz val="12"/>
        <rFont val="Times"/>
        <charset val="238"/>
      </rPr>
      <t>sátorponyva, 4 db zöld sátor, receptnyomtató, iratmegsemmisítő, szalagcsiszoló, létra, EKG készülék, mérleg, hősugárzók, intarzia, lézerprojector</t>
    </r>
  </si>
  <si>
    <t>Hagyományőrző Alapítvány: lomtalanítás bevétele</t>
  </si>
  <si>
    <t>OEP-től átvett pénzeszköz: - ifjúság eü. feladatok</t>
  </si>
  <si>
    <t>- háziorvosi szolgálat</t>
  </si>
  <si>
    <t>B343</t>
  </si>
  <si>
    <t>B341/4</t>
  </si>
  <si>
    <t>mód. EI (III.)</t>
  </si>
  <si>
    <t>mód. EI (II.)</t>
  </si>
  <si>
    <t>mód. EI (I.)</t>
  </si>
  <si>
    <t>Konszolidálás előtti összeg</t>
  </si>
  <si>
    <t>Konszolidálás</t>
  </si>
  <si>
    <t>Konszolidált összeg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</si>
  <si>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</si>
  <si>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</si>
  <si>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</si>
  <si>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</si>
  <si>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</si>
  <si>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</si>
  <si>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</si>
  <si>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</si>
  <si>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</si>
  <si>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</si>
  <si>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</si>
  <si>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</si>
  <si>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</si>
  <si>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</si>
  <si>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</si>
  <si>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</si>
  <si>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</si>
  <si>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G/ SAJÁT TŐKE  (= G/I+…+G/VI)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</si>
  <si>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</si>
  <si>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</si>
  <si>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</si>
  <si>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</si>
  <si>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</si>
  <si>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</si>
  <si>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</si>
  <si>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</si>
  <si>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</si>
  <si>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</si>
  <si>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</si>
  <si>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</si>
  <si>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</si>
  <si>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</si>
  <si>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</si>
  <si>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</si>
  <si>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</si>
  <si>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</si>
  <si>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</si>
  <si>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</si>
  <si>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</si>
  <si>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</si>
  <si>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</si>
  <si>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</si>
  <si>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</si>
  <si>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</si>
  <si>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</si>
  <si>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MÉRLEG SZERINTI EREDMÉNY (=±A±B)</t>
  </si>
  <si>
    <t>Gázkazán cseréje orvosi rendelőben</t>
  </si>
  <si>
    <t>Felhalmozási célú visszatérítendő támogatások, kölcsönök nyújtása ÁH-on kívülre</t>
  </si>
  <si>
    <t>Téglajegy: Mosonmagyaróvár és Vidéke Ipartestület székházának felújítása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</si>
  <si>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</si>
  <si>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</si>
  <si>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</si>
  <si>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</si>
  <si>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</si>
  <si>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</si>
  <si>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</si>
  <si>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</si>
  <si>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</si>
  <si>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</si>
  <si>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</si>
  <si>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</si>
  <si>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</si>
  <si>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C/III/1 Kincstáron kívüli forintszámlák</t>
  </si>
  <si>
    <t>C/III Forintszámlák (=C/III/1+C/III/2)</t>
  </si>
  <si>
    <t>D/I/4 Költségvetési évben esedékes követelések működési bevételre (=D/I/4a+…+D/I/4i)</t>
  </si>
  <si>
    <t>D/I/4c - ebből: költségvetési évben esedékes követelések ellátási díjakra</t>
  </si>
  <si>
    <t>H/III/1 Kapott előlegek</t>
  </si>
  <si>
    <t>J/2 Költségek, ráfordítások passzív időbeli elhatárolása</t>
  </si>
  <si>
    <t>Konszolidált vagyonmérleg</t>
  </si>
  <si>
    <t>Konszolidált eredménykimutatás</t>
  </si>
  <si>
    <t>A/I/2 Szellemi termékek</t>
  </si>
  <si>
    <t>A/II/1 Ingatlanok és a kapcsolódó vagyoni értékű jogok</t>
  </si>
  <si>
    <t>A/II/2 Gépek, berendezések, felszerelések, járművek</t>
  </si>
  <si>
    <t>A/II/4 Beruházások, felújítások</t>
  </si>
  <si>
    <t>A/III/1 Tartós részesedések (=A/III/1a+…+A/III/1e)</t>
  </si>
  <si>
    <t>A/III/1b - ebből: tartós részesedések nem pénzügyi vállalkozásban</t>
  </si>
  <si>
    <t>A/III/2 Tartós hitelviszonyt megtestesítő értékpapírok (&gt;=A/III/2a+A/III/2/b)</t>
  </si>
  <si>
    <t>A/III/2a - ebből: államkötvények</t>
  </si>
  <si>
    <t>A/IV/1 Koncesszióba, vagyonkezelésbe adott eszközök (=A/IV/1a+A/IV/1b+A/IV/1c)</t>
  </si>
  <si>
    <t>A/IV/1b - ebből: tárgyi eszközök</t>
  </si>
  <si>
    <t>C/II/1 Forintpénztár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</si>
  <si>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</si>
  <si>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</si>
  <si>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</si>
  <si>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</si>
  <si>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</si>
  <si>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</si>
  <si>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</si>
  <si>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</si>
  <si>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</si>
  <si>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</si>
  <si>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</si>
  <si>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</si>
  <si>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D/III/1 Adott előlegek (=D/III/1a+…+D/III/1f)</t>
  </si>
  <si>
    <t>D/III/1f - ebből: túlfizetések, téves és visszajáró kifizetések</t>
  </si>
  <si>
    <t>D/III/4 Forgótőke elszámolása</t>
  </si>
  <si>
    <t>D/III/5 Vagyonkezelésbe adott eszközökkel kapcsolatos visszapótlási követelés elszámolása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</si>
  <si>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</si>
  <si>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</si>
  <si>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</si>
  <si>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</si>
  <si>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</si>
  <si>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G/I  Nemzeti vagyon induláskori értéke</t>
  </si>
  <si>
    <t>G/II Nemzeti vagyon változásai</t>
  </si>
  <si>
    <t>G/III Egyéb eszközök induláskori értéke és változásai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</si>
  <si>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</si>
  <si>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</si>
  <si>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</si>
  <si>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</si>
  <si>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H/III/3 Más szervezetet megillető bevételek elszámolása</t>
  </si>
  <si>
    <t>J/3 Halasztott eredményszemléletű bevételek</t>
  </si>
  <si>
    <t>Önkormányzat - maradványkimutatás</t>
  </si>
  <si>
    <t>Óvoda - maradványkimutatás</t>
  </si>
  <si>
    <t>Önkormányzat - vagyonmérleg</t>
  </si>
  <si>
    <t>Óvoda - vagyonmérleg</t>
  </si>
  <si>
    <t>Működési célú visszatérítendő támogatások nyújtása ÁH-on kívülre</t>
  </si>
  <si>
    <t>Levéli Tűzoltó Egyesület: Bistrol védőruha vásárlása</t>
  </si>
  <si>
    <t>Működési célú visszatérítendő kölcsönök ÁH-n kívülre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</si>
</sst>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#,###"/>
    <numFmt numFmtId="168" formatCode="0&quot;. évi&quot;"/>
    <numFmt numFmtId="169" formatCode="0&quot;. I. félévi&quot;"/>
    <numFmt numFmtId="170" formatCode="#,##0\ _F_t"/>
    <numFmt numFmtId="171" formatCode="0&quot; fő&quot;"/>
  </numFmts>
  <fonts count="8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name val="Times"/>
      <family val="1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sz val="16"/>
      <name val="Times"/>
      <family val="1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color indexed="10"/>
      <name val="Times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b/>
      <sz val="14"/>
      <name val="Times"/>
      <charset val="238"/>
    </font>
    <font>
      <b/>
      <sz val="12"/>
      <name val="Times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2"/>
      <color indexed="8"/>
      <name val="Calibri"/>
      <family val="2"/>
      <charset val="238"/>
    </font>
    <font>
      <sz val="14"/>
      <name val="Arial CE"/>
      <charset val="238"/>
    </font>
    <font>
      <b/>
      <sz val="10"/>
      <name val="Times"/>
      <charset val="238"/>
    </font>
    <font>
      <b/>
      <sz val="13"/>
      <name val="Times"/>
      <charset val="238"/>
    </font>
    <font>
      <b/>
      <i/>
      <sz val="12"/>
      <name val="Times"/>
      <charset val="238"/>
    </font>
    <font>
      <sz val="13"/>
      <name val="Times"/>
      <charset val="238"/>
    </font>
    <font>
      <sz val="10"/>
      <name val="Times"/>
      <charset val="238"/>
    </font>
    <font>
      <b/>
      <sz val="15"/>
      <name val="Times"/>
      <charset val="238"/>
    </font>
    <font>
      <sz val="15"/>
      <name val="Arial CE"/>
      <charset val="238"/>
    </font>
    <font>
      <b/>
      <i/>
      <sz val="14"/>
      <name val="Times"/>
      <charset val="238"/>
    </font>
    <font>
      <b/>
      <sz val="16"/>
      <name val="Times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6"/>
      <name val="Arial CE"/>
      <charset val="238"/>
    </font>
    <font>
      <b/>
      <i/>
      <sz val="11"/>
      <name val="Times"/>
      <charset val="238"/>
    </font>
    <font>
      <i/>
      <sz val="12"/>
      <name val="Times"/>
      <charset val="238"/>
    </font>
    <font>
      <i/>
      <sz val="12"/>
      <name val="Times"/>
      <family val="1"/>
    </font>
    <font>
      <b/>
      <i/>
      <sz val="10"/>
      <name val="Arial"/>
      <family val="2"/>
      <charset val="238"/>
    </font>
    <font>
      <b/>
      <sz val="13"/>
      <name val="Times"/>
    </font>
    <font>
      <sz val="13"/>
      <name val="Times"/>
    </font>
    <font>
      <sz val="13"/>
      <name val="Arial CE"/>
      <charset val="238"/>
    </font>
    <font>
      <b/>
      <sz val="12"/>
      <name val="Times"/>
    </font>
    <font>
      <sz val="12"/>
      <name val="Times"/>
    </font>
    <font>
      <b/>
      <sz val="12"/>
      <name val="Times"/>
      <family val="1"/>
    </font>
    <font>
      <b/>
      <sz val="14"/>
      <name val="Times"/>
      <family val="1"/>
    </font>
    <font>
      <sz val="10"/>
      <name val="Arial"/>
    </font>
    <font>
      <b/>
      <sz val="10"/>
      <name val="Arial"/>
    </font>
    <font>
      <b/>
      <sz val="14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66"/>
        <bgColor indexed="64"/>
      </patternFill>
    </fill>
  </fills>
  <borders count="1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43" fillId="0" borderId="0"/>
    <xf numFmtId="0" fontId="1" fillId="0" borderId="0"/>
    <xf numFmtId="0" fontId="35" fillId="0" borderId="0"/>
    <xf numFmtId="0" fontId="53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165" fontId="1" fillId="0" borderId="0" applyFont="0" applyFill="0" applyBorder="0" applyAlignment="0" applyProtection="0"/>
  </cellStyleXfs>
  <cellXfs count="1414">
    <xf numFmtId="0" fontId="0" fillId="0" borderId="0" xfId="0"/>
    <xf numFmtId="0" fontId="4" fillId="0" borderId="10" xfId="0" applyFont="1" applyBorder="1"/>
    <xf numFmtId="166" fontId="6" fillId="24" borderId="10" xfId="26" applyNumberFormat="1" applyFont="1" applyFill="1" applyBorder="1"/>
    <xf numFmtId="166" fontId="7" fillId="24" borderId="10" xfId="26" applyNumberFormat="1" applyFont="1" applyFill="1" applyBorder="1"/>
    <xf numFmtId="166" fontId="5" fillId="25" borderId="10" xfId="26" applyNumberFormat="1" applyFont="1" applyFill="1" applyBorder="1"/>
    <xf numFmtId="0" fontId="6" fillId="24" borderId="10" xfId="0" applyFont="1" applyFill="1" applyBorder="1" applyAlignment="1">
      <alignment horizontal="center"/>
    </xf>
    <xf numFmtId="0" fontId="5" fillId="25" borderId="10" xfId="0" applyFont="1" applyFill="1" applyBorder="1" applyAlignment="1">
      <alignment horizontal="center"/>
    </xf>
    <xf numFmtId="0" fontId="5" fillId="25" borderId="10" xfId="0" applyFont="1" applyFill="1" applyBorder="1"/>
    <xf numFmtId="0" fontId="5" fillId="0" borderId="10" xfId="0" applyFont="1" applyBorder="1" applyAlignment="1">
      <alignment horizontal="center"/>
    </xf>
    <xf numFmtId="0" fontId="25" fillId="25" borderId="10" xfId="0" applyFont="1" applyFill="1" applyBorder="1"/>
    <xf numFmtId="0" fontId="5" fillId="0" borderId="10" xfId="0" applyFont="1" applyBorder="1"/>
    <xf numFmtId="0" fontId="31" fillId="0" borderId="10" xfId="0" applyFont="1" applyBorder="1"/>
    <xf numFmtId="166" fontId="5" fillId="26" borderId="10" xfId="26" applyNumberFormat="1" applyFont="1" applyFill="1" applyBorder="1" applyAlignment="1">
      <alignment horizontal="center"/>
    </xf>
    <xf numFmtId="0" fontId="26" fillId="25" borderId="10" xfId="0" applyFont="1" applyFill="1" applyBorder="1"/>
    <xf numFmtId="0" fontId="3" fillId="0" borderId="10" xfId="0" applyFont="1" applyBorder="1"/>
    <xf numFmtId="0" fontId="32" fillId="0" borderId="10" xfId="0" applyFont="1" applyBorder="1"/>
    <xf numFmtId="0" fontId="4" fillId="0" borderId="14" xfId="0" applyFont="1" applyBorder="1"/>
    <xf numFmtId="0" fontId="26" fillId="25" borderId="14" xfId="0" applyFont="1" applyFill="1" applyBorder="1"/>
    <xf numFmtId="166" fontId="7" fillId="24" borderId="14" xfId="26" applyNumberFormat="1" applyFont="1" applyFill="1" applyBorder="1"/>
    <xf numFmtId="166" fontId="4" fillId="0" borderId="10" xfId="26" applyNumberFormat="1" applyFont="1" applyBorder="1"/>
    <xf numFmtId="166" fontId="3" fillId="0" borderId="10" xfId="26" applyNumberFormat="1" applyFont="1" applyBorder="1"/>
    <xf numFmtId="166" fontId="4" fillId="0" borderId="14" xfId="26" applyNumberFormat="1" applyFont="1" applyBorder="1"/>
    <xf numFmtId="0" fontId="4" fillId="27" borderId="10" xfId="0" applyFont="1" applyFill="1" applyBorder="1"/>
    <xf numFmtId="0" fontId="4" fillId="25" borderId="10" xfId="0" applyFont="1" applyFill="1" applyBorder="1"/>
    <xf numFmtId="0" fontId="37" fillId="0" borderId="0" xfId="0" applyFont="1"/>
    <xf numFmtId="0" fontId="43" fillId="0" borderId="0" xfId="40"/>
    <xf numFmtId="0" fontId="40" fillId="0" borderId="0" xfId="40" applyFont="1"/>
    <xf numFmtId="0" fontId="40" fillId="0" borderId="27" xfId="40" applyFont="1" applyBorder="1"/>
    <xf numFmtId="0" fontId="40" fillId="0" borderId="29" xfId="40" applyFont="1" applyBorder="1" applyAlignment="1">
      <alignment horizontal="center" wrapText="1"/>
    </xf>
    <xf numFmtId="0" fontId="40" fillId="0" borderId="28" xfId="40" applyFont="1" applyBorder="1"/>
    <xf numFmtId="0" fontId="36" fillId="0" borderId="31" xfId="40" applyFont="1" applyBorder="1"/>
    <xf numFmtId="0" fontId="30" fillId="0" borderId="31" xfId="40" applyFont="1" applyBorder="1"/>
    <xf numFmtId="0" fontId="40" fillId="0" borderId="0" xfId="0" applyFont="1"/>
    <xf numFmtId="0" fontId="43" fillId="0" borderId="34" xfId="0" applyFont="1" applyBorder="1"/>
    <xf numFmtId="0" fontId="43" fillId="0" borderId="31" xfId="0" applyFont="1" applyBorder="1"/>
    <xf numFmtId="0" fontId="43" fillId="0" borderId="32" xfId="0" applyFont="1" applyBorder="1"/>
    <xf numFmtId="3" fontId="0" fillId="0" borderId="35" xfId="0" applyNumberFormat="1" applyBorder="1"/>
    <xf numFmtId="3" fontId="0" fillId="0" borderId="31" xfId="0" applyNumberFormat="1" applyBorder="1"/>
    <xf numFmtId="3" fontId="43" fillId="0" borderId="31" xfId="0" applyNumberFormat="1" applyFont="1" applyBorder="1" applyAlignment="1">
      <alignment horizontal="left"/>
    </xf>
    <xf numFmtId="0" fontId="43" fillId="0" borderId="0" xfId="0" applyFont="1"/>
    <xf numFmtId="0" fontId="44" fillId="0" borderId="15" xfId="0" applyFont="1" applyBorder="1"/>
    <xf numFmtId="3" fontId="44" fillId="0" borderId="15" xfId="0" applyNumberFormat="1" applyFont="1" applyBorder="1"/>
    <xf numFmtId="0" fontId="51" fillId="25" borderId="10" xfId="0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49" fontId="50" fillId="24" borderId="10" xfId="26" applyNumberFormat="1" applyFont="1" applyFill="1" applyBorder="1" applyAlignment="1">
      <alignment horizontal="center"/>
    </xf>
    <xf numFmtId="49" fontId="4" fillId="0" borderId="10" xfId="0" applyNumberFormat="1" applyFont="1" applyBorder="1"/>
    <xf numFmtId="0" fontId="6" fillId="24" borderId="10" xfId="0" applyFont="1" applyFill="1" applyBorder="1"/>
    <xf numFmtId="1" fontId="6" fillId="24" borderId="10" xfId="0" applyNumberFormat="1" applyFont="1" applyFill="1" applyBorder="1"/>
    <xf numFmtId="166" fontId="38" fillId="24" borderId="10" xfId="26" applyNumberFormat="1" applyFont="1" applyFill="1" applyBorder="1"/>
    <xf numFmtId="0" fontId="41" fillId="0" borderId="27" xfId="0" applyFont="1" applyBorder="1" applyAlignment="1">
      <alignment horizontal="center"/>
    </xf>
    <xf numFmtId="0" fontId="41" fillId="0" borderId="41" xfId="0" applyFont="1" applyBorder="1"/>
    <xf numFmtId="0" fontId="41" fillId="0" borderId="35" xfId="0" applyFont="1" applyBorder="1"/>
    <xf numFmtId="3" fontId="41" fillId="0" borderId="35" xfId="0" applyNumberFormat="1" applyFont="1" applyBorder="1"/>
    <xf numFmtId="0" fontId="42" fillId="0" borderId="42" xfId="0" applyFont="1" applyBorder="1"/>
    <xf numFmtId="0" fontId="42" fillId="0" borderId="34" xfId="0" applyFont="1" applyBorder="1"/>
    <xf numFmtId="3" fontId="42" fillId="0" borderId="34" xfId="0" applyNumberFormat="1" applyFont="1" applyBorder="1"/>
    <xf numFmtId="0" fontId="42" fillId="0" borderId="43" xfId="0" applyFont="1" applyBorder="1"/>
    <xf numFmtId="0" fontId="42" fillId="0" borderId="31" xfId="0" applyFont="1" applyBorder="1"/>
    <xf numFmtId="3" fontId="42" fillId="0" borderId="31" xfId="0" applyNumberFormat="1" applyFont="1" applyBorder="1"/>
    <xf numFmtId="3" fontId="39" fillId="0" borderId="27" xfId="0" applyNumberFormat="1" applyFont="1" applyBorder="1"/>
    <xf numFmtId="0" fontId="40" fillId="0" borderId="30" xfId="40" applyFont="1" applyBorder="1" applyAlignment="1">
      <alignment horizontal="center" vertical="center" wrapText="1"/>
    </xf>
    <xf numFmtId="3" fontId="47" fillId="0" borderId="11" xfId="0" applyNumberFormat="1" applyFont="1" applyFill="1" applyBorder="1" applyAlignment="1"/>
    <xf numFmtId="0" fontId="47" fillId="0" borderId="10" xfId="0" applyFont="1" applyFill="1" applyBorder="1" applyAlignment="1">
      <alignment horizontal="left"/>
    </xf>
    <xf numFmtId="0" fontId="47" fillId="0" borderId="14" xfId="0" applyFont="1" applyFill="1" applyBorder="1" applyAlignment="1">
      <alignment horizontal="left"/>
    </xf>
    <xf numFmtId="3" fontId="47" fillId="0" borderId="45" xfId="0" applyNumberFormat="1" applyFont="1" applyFill="1" applyBorder="1" applyAlignment="1"/>
    <xf numFmtId="0" fontId="0" fillId="0" borderId="0" xfId="0" applyFont="1"/>
    <xf numFmtId="10" fontId="0" fillId="0" borderId="0" xfId="0" applyNumberFormat="1" applyFont="1"/>
    <xf numFmtId="0" fontId="49" fillId="0" borderId="22" xfId="0" applyFont="1" applyFill="1" applyBorder="1"/>
    <xf numFmtId="0" fontId="49" fillId="0" borderId="12" xfId="0" applyFont="1" applyFill="1" applyBorder="1" applyAlignment="1"/>
    <xf numFmtId="168" fontId="49" fillId="33" borderId="54" xfId="0" applyNumberFormat="1" applyFont="1" applyFill="1" applyBorder="1" applyAlignment="1">
      <alignment horizontal="center"/>
    </xf>
    <xf numFmtId="168" fontId="49" fillId="35" borderId="68" xfId="0" applyNumberFormat="1" applyFont="1" applyFill="1" applyBorder="1" applyAlignment="1">
      <alignment horizontal="center"/>
    </xf>
    <xf numFmtId="0" fontId="49" fillId="33" borderId="44" xfId="0" applyFont="1" applyFill="1" applyBorder="1" applyAlignment="1">
      <alignment horizontal="center"/>
    </xf>
    <xf numFmtId="0" fontId="49" fillId="35" borderId="69" xfId="0" applyFont="1" applyFill="1" applyBorder="1" applyAlignment="1">
      <alignment horizontal="center"/>
    </xf>
    <xf numFmtId="0" fontId="48" fillId="0" borderId="12" xfId="0" applyFont="1" applyFill="1" applyBorder="1" applyAlignment="1"/>
    <xf numFmtId="0" fontId="48" fillId="0" borderId="22" xfId="0" applyFont="1" applyFill="1" applyBorder="1"/>
    <xf numFmtId="10" fontId="48" fillId="38" borderId="81" xfId="27" applyNumberFormat="1" applyFont="1" applyFill="1" applyBorder="1"/>
    <xf numFmtId="166" fontId="49" fillId="0" borderId="22" xfId="26" applyNumberFormat="1" applyFont="1" applyFill="1" applyBorder="1"/>
    <xf numFmtId="0" fontId="48" fillId="0" borderId="36" xfId="0" applyFont="1" applyFill="1" applyBorder="1" applyAlignment="1"/>
    <xf numFmtId="0" fontId="48" fillId="0" borderId="55" xfId="0" applyFont="1" applyFill="1" applyBorder="1"/>
    <xf numFmtId="0" fontId="48" fillId="0" borderId="36" xfId="0" applyFont="1" applyFill="1" applyBorder="1" applyAlignment="1">
      <alignment horizontal="left" indent="2"/>
    </xf>
    <xf numFmtId="10" fontId="48" fillId="38" borderId="82" xfId="27" applyNumberFormat="1" applyFont="1" applyFill="1" applyBorder="1"/>
    <xf numFmtId="10" fontId="49" fillId="32" borderId="49" xfId="26" applyNumberFormat="1" applyFont="1" applyFill="1" applyBorder="1"/>
    <xf numFmtId="10" fontId="60" fillId="32" borderId="49" xfId="26" applyNumberFormat="1" applyFont="1" applyFill="1" applyBorder="1"/>
    <xf numFmtId="0" fontId="61" fillId="0" borderId="0" xfId="0" applyFont="1"/>
    <xf numFmtId="0" fontId="48" fillId="0" borderId="12" xfId="0" applyFont="1" applyFill="1" applyBorder="1" applyAlignment="1">
      <alignment wrapText="1"/>
    </xf>
    <xf numFmtId="0" fontId="49" fillId="0" borderId="11" xfId="0" applyFont="1" applyFill="1" applyBorder="1" applyAlignment="1"/>
    <xf numFmtId="0" fontId="49" fillId="39" borderId="12" xfId="0" applyFont="1" applyFill="1" applyBorder="1" applyAlignment="1">
      <alignment horizontal="left" indent="2"/>
    </xf>
    <xf numFmtId="0" fontId="62" fillId="40" borderId="12" xfId="0" applyFont="1" applyFill="1" applyBorder="1" applyAlignment="1">
      <alignment horizontal="left" indent="1"/>
    </xf>
    <xf numFmtId="0" fontId="49" fillId="39" borderId="22" xfId="0" applyFont="1" applyFill="1" applyBorder="1"/>
    <xf numFmtId="10" fontId="49" fillId="39" borderId="81" xfId="27" applyNumberFormat="1" applyFont="1" applyFill="1" applyBorder="1"/>
    <xf numFmtId="0" fontId="62" fillId="40" borderId="22" xfId="0" applyFont="1" applyFill="1" applyBorder="1"/>
    <xf numFmtId="0" fontId="48" fillId="0" borderId="78" xfId="0" applyFont="1" applyFill="1" applyBorder="1"/>
    <xf numFmtId="0" fontId="49" fillId="39" borderId="78" xfId="0" applyFont="1" applyFill="1" applyBorder="1"/>
    <xf numFmtId="0" fontId="49" fillId="39" borderId="36" xfId="0" applyFont="1" applyFill="1" applyBorder="1" applyAlignment="1">
      <alignment horizontal="left" indent="2"/>
    </xf>
    <xf numFmtId="0" fontId="48" fillId="0" borderId="83" xfId="0" applyFont="1" applyFill="1" applyBorder="1"/>
    <xf numFmtId="0" fontId="48" fillId="0" borderId="46" xfId="0" applyFont="1" applyFill="1" applyBorder="1" applyAlignment="1"/>
    <xf numFmtId="10" fontId="48" fillId="38" borderId="85" xfId="27" applyNumberFormat="1" applyFont="1" applyFill="1" applyBorder="1"/>
    <xf numFmtId="10" fontId="49" fillId="32" borderId="49" xfId="27" applyNumberFormat="1" applyFont="1" applyFill="1" applyBorder="1"/>
    <xf numFmtId="10" fontId="48" fillId="38" borderId="80" xfId="27" applyNumberFormat="1" applyFont="1" applyFill="1" applyBorder="1"/>
    <xf numFmtId="10" fontId="62" fillId="40" borderId="81" xfId="27" applyNumberFormat="1" applyFont="1" applyFill="1" applyBorder="1"/>
    <xf numFmtId="10" fontId="49" fillId="39" borderId="82" xfId="27" applyNumberFormat="1" applyFont="1" applyFill="1" applyBorder="1"/>
    <xf numFmtId="10" fontId="48" fillId="38" borderId="86" xfId="27" applyNumberFormat="1" applyFont="1" applyFill="1" applyBorder="1"/>
    <xf numFmtId="168" fontId="49" fillId="35" borderId="16" xfId="0" applyNumberFormat="1" applyFont="1" applyFill="1" applyBorder="1" applyAlignment="1">
      <alignment horizontal="center"/>
    </xf>
    <xf numFmtId="168" fontId="49" fillId="35" borderId="72" xfId="0" applyNumberFormat="1" applyFont="1" applyFill="1" applyBorder="1" applyAlignment="1">
      <alignment horizontal="center"/>
    </xf>
    <xf numFmtId="0" fontId="49" fillId="35" borderId="23" xfId="0" applyFont="1" applyFill="1" applyBorder="1" applyAlignment="1">
      <alignment horizontal="center"/>
    </xf>
    <xf numFmtId="10" fontId="6" fillId="38" borderId="49" xfId="0" applyNumberFormat="1" applyFont="1" applyFill="1" applyBorder="1" applyAlignment="1" applyProtection="1">
      <alignment horizontal="right" vertical="center" wrapText="1"/>
    </xf>
    <xf numFmtId="0" fontId="65" fillId="0" borderId="0" xfId="0" applyFont="1"/>
    <xf numFmtId="10" fontId="6" fillId="38" borderId="40" xfId="0" applyNumberFormat="1" applyFont="1" applyFill="1" applyBorder="1" applyAlignment="1" applyProtection="1">
      <alignment horizontal="right" vertical="center" wrapText="1"/>
    </xf>
    <xf numFmtId="10" fontId="6" fillId="38" borderId="88" xfId="0" applyNumberFormat="1" applyFont="1" applyFill="1" applyBorder="1" applyAlignment="1" applyProtection="1">
      <alignment horizontal="right" vertical="center" wrapText="1"/>
    </xf>
    <xf numFmtId="0" fontId="65" fillId="0" borderId="0" xfId="0" applyFont="1" applyAlignment="1">
      <alignment horizontal="left"/>
    </xf>
    <xf numFmtId="0" fontId="47" fillId="0" borderId="15" xfId="0" applyFont="1" applyFill="1" applyBorder="1" applyAlignment="1">
      <alignment horizontal="left"/>
    </xf>
    <xf numFmtId="3" fontId="47" fillId="0" borderId="57" xfId="0" applyNumberFormat="1" applyFont="1" applyFill="1" applyBorder="1" applyAlignment="1"/>
    <xf numFmtId="0" fontId="50" fillId="39" borderId="15" xfId="0" applyFont="1" applyFill="1" applyBorder="1" applyAlignment="1">
      <alignment horizontal="left"/>
    </xf>
    <xf numFmtId="0" fontId="50" fillId="39" borderId="36" xfId="0" applyFont="1" applyFill="1" applyBorder="1" applyAlignment="1">
      <alignment horizontal="left" indent="2"/>
    </xf>
    <xf numFmtId="0" fontId="50" fillId="39" borderId="10" xfId="0" applyFont="1" applyFill="1" applyBorder="1" applyAlignment="1">
      <alignment horizontal="left"/>
    </xf>
    <xf numFmtId="0" fontId="50" fillId="39" borderId="12" xfId="0" applyFont="1" applyFill="1" applyBorder="1" applyAlignment="1">
      <alignment horizontal="left" indent="2"/>
    </xf>
    <xf numFmtId="0" fontId="57" fillId="40" borderId="10" xfId="0" applyFont="1" applyFill="1" applyBorder="1" applyAlignment="1">
      <alignment horizontal="left"/>
    </xf>
    <xf numFmtId="3" fontId="57" fillId="40" borderId="11" xfId="0" applyNumberFormat="1" applyFont="1" applyFill="1" applyBorder="1" applyAlignment="1"/>
    <xf numFmtId="3" fontId="57" fillId="40" borderId="12" xfId="0" applyNumberFormat="1" applyFont="1" applyFill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9" fillId="0" borderId="0" xfId="0" applyFont="1"/>
    <xf numFmtId="3" fontId="59" fillId="0" borderId="45" xfId="0" applyNumberFormat="1" applyFont="1" applyFill="1" applyBorder="1" applyAlignment="1"/>
    <xf numFmtId="3" fontId="59" fillId="0" borderId="11" xfId="0" applyNumberFormat="1" applyFont="1" applyFill="1" applyBorder="1" applyAlignment="1"/>
    <xf numFmtId="166" fontId="59" fillId="0" borderId="0" xfId="0" applyNumberFormat="1" applyFont="1"/>
    <xf numFmtId="0" fontId="59" fillId="0" borderId="0" xfId="0" applyFont="1" applyBorder="1"/>
    <xf numFmtId="0" fontId="59" fillId="0" borderId="0" xfId="0" applyFont="1" applyAlignment="1">
      <alignment horizontal="center"/>
    </xf>
    <xf numFmtId="0" fontId="55" fillId="0" borderId="0" xfId="0" applyFont="1"/>
    <xf numFmtId="10" fontId="50" fillId="32" borderId="76" xfId="0" applyNumberFormat="1" applyFont="1" applyFill="1" applyBorder="1" applyAlignment="1">
      <alignment horizontal="center" vertical="center"/>
    </xf>
    <xf numFmtId="10" fontId="50" fillId="32" borderId="86" xfId="0" applyNumberFormat="1" applyFont="1" applyFill="1" applyBorder="1" applyAlignment="1">
      <alignment horizontal="center" vertical="center"/>
    </xf>
    <xf numFmtId="10" fontId="47" fillId="0" borderId="74" xfId="0" applyNumberFormat="1" applyFont="1" applyBorder="1"/>
    <xf numFmtId="10" fontId="47" fillId="0" borderId="80" xfId="0" applyNumberFormat="1" applyFont="1" applyBorder="1"/>
    <xf numFmtId="10" fontId="47" fillId="0" borderId="75" xfId="0" applyNumberFormat="1" applyFont="1" applyBorder="1"/>
    <xf numFmtId="10" fontId="47" fillId="0" borderId="81" xfId="0" applyNumberFormat="1" applyFont="1" applyBorder="1"/>
    <xf numFmtId="10" fontId="47" fillId="0" borderId="84" xfId="0" applyNumberFormat="1" applyFont="1" applyBorder="1"/>
    <xf numFmtId="10" fontId="47" fillId="0" borderId="85" xfId="0" applyNumberFormat="1" applyFont="1" applyBorder="1"/>
    <xf numFmtId="10" fontId="47" fillId="0" borderId="79" xfId="0" applyNumberFormat="1" applyFont="1" applyBorder="1"/>
    <xf numFmtId="10" fontId="47" fillId="0" borderId="82" xfId="0" applyNumberFormat="1" applyFont="1" applyBorder="1"/>
    <xf numFmtId="10" fontId="47" fillId="0" borderId="0" xfId="0" applyNumberFormat="1" applyFont="1"/>
    <xf numFmtId="10" fontId="57" fillId="40" borderId="75" xfId="0" applyNumberFormat="1" applyFont="1" applyFill="1" applyBorder="1"/>
    <xf numFmtId="10" fontId="57" fillId="40" borderId="81" xfId="0" applyNumberFormat="1" applyFont="1" applyFill="1" applyBorder="1"/>
    <xf numFmtId="10" fontId="50" fillId="39" borderId="75" xfId="0" applyNumberFormat="1" applyFont="1" applyFill="1" applyBorder="1"/>
    <xf numFmtId="10" fontId="50" fillId="39" borderId="81" xfId="0" applyNumberFormat="1" applyFont="1" applyFill="1" applyBorder="1"/>
    <xf numFmtId="10" fontId="50" fillId="39" borderId="79" xfId="0" applyNumberFormat="1" applyFont="1" applyFill="1" applyBorder="1"/>
    <xf numFmtId="10" fontId="50" fillId="39" borderId="82" xfId="0" applyNumberFormat="1" applyFont="1" applyFill="1" applyBorder="1"/>
    <xf numFmtId="0" fontId="55" fillId="0" borderId="0" xfId="0" applyFont="1" applyAlignment="1">
      <alignment horizontal="center"/>
    </xf>
    <xf numFmtId="3" fontId="6" fillId="33" borderId="55" xfId="0" applyNumberFormat="1" applyFont="1" applyFill="1" applyBorder="1" applyAlignment="1">
      <alignment horizontal="center" vertical="center"/>
    </xf>
    <xf numFmtId="3" fontId="6" fillId="33" borderId="76" xfId="0" applyNumberFormat="1" applyFont="1" applyFill="1" applyBorder="1" applyAlignment="1">
      <alignment horizontal="center" vertical="center"/>
    </xf>
    <xf numFmtId="3" fontId="6" fillId="33" borderId="86" xfId="0" applyNumberFormat="1" applyFont="1" applyFill="1" applyBorder="1" applyAlignment="1">
      <alignment horizontal="center" vertical="center"/>
    </xf>
    <xf numFmtId="3" fontId="50" fillId="35" borderId="87" xfId="0" applyNumberFormat="1" applyFont="1" applyFill="1" applyBorder="1" applyAlignment="1">
      <alignment horizontal="center" vertical="center"/>
    </xf>
    <xf numFmtId="3" fontId="50" fillId="35" borderId="76" xfId="0" applyNumberFormat="1" applyFont="1" applyFill="1" applyBorder="1" applyAlignment="1">
      <alignment horizontal="center" vertical="center"/>
    </xf>
    <xf numFmtId="3" fontId="50" fillId="41" borderId="76" xfId="0" applyNumberFormat="1" applyFont="1" applyFill="1" applyBorder="1" applyAlignment="1">
      <alignment horizontal="center" vertical="center"/>
    </xf>
    <xf numFmtId="3" fontId="50" fillId="41" borderId="67" xfId="0" applyNumberFormat="1" applyFont="1" applyFill="1" applyBorder="1" applyAlignment="1">
      <alignment horizontal="center" vertical="center"/>
    </xf>
    <xf numFmtId="3" fontId="50" fillId="34" borderId="83" xfId="26" applyNumberFormat="1" applyFont="1" applyFill="1" applyBorder="1"/>
    <xf numFmtId="3" fontId="50" fillId="34" borderId="84" xfId="26" applyNumberFormat="1" applyFont="1" applyFill="1" applyBorder="1"/>
    <xf numFmtId="3" fontId="50" fillId="34" borderId="85" xfId="26" applyNumberFormat="1" applyFont="1" applyFill="1" applyBorder="1" applyAlignment="1"/>
    <xf numFmtId="3" fontId="47" fillId="36" borderId="42" xfId="26" applyNumberFormat="1" applyFont="1" applyFill="1" applyBorder="1"/>
    <xf numFmtId="3" fontId="47" fillId="36" borderId="84" xfId="26" applyNumberFormat="1" applyFont="1" applyFill="1" applyBorder="1"/>
    <xf numFmtId="3" fontId="47" fillId="42" borderId="84" xfId="26" applyNumberFormat="1" applyFont="1" applyFill="1" applyBorder="1"/>
    <xf numFmtId="3" fontId="7" fillId="42" borderId="37" xfId="26" applyNumberFormat="1" applyFont="1" applyFill="1" applyBorder="1" applyAlignment="1"/>
    <xf numFmtId="3" fontId="7" fillId="42" borderId="46" xfId="26" applyNumberFormat="1" applyFont="1" applyFill="1" applyBorder="1" applyAlignment="1"/>
    <xf numFmtId="3" fontId="50" fillId="34" borderId="22" xfId="26" applyNumberFormat="1" applyFont="1" applyFill="1" applyBorder="1"/>
    <xf numFmtId="3" fontId="50" fillId="34" borderId="75" xfId="26" applyNumberFormat="1" applyFont="1" applyFill="1" applyBorder="1"/>
    <xf numFmtId="3" fontId="50" fillId="34" borderId="81" xfId="26" applyNumberFormat="1" applyFont="1" applyFill="1" applyBorder="1" applyAlignment="1"/>
    <xf numFmtId="3" fontId="47" fillId="36" borderId="43" xfId="26" applyNumberFormat="1" applyFont="1" applyFill="1" applyBorder="1"/>
    <xf numFmtId="3" fontId="47" fillId="36" borderId="75" xfId="26" applyNumberFormat="1" applyFont="1" applyFill="1" applyBorder="1"/>
    <xf numFmtId="3" fontId="47" fillId="42" borderId="75" xfId="26" applyNumberFormat="1" applyFont="1" applyFill="1" applyBorder="1"/>
    <xf numFmtId="3" fontId="7" fillId="42" borderId="13" xfId="26" applyNumberFormat="1" applyFont="1" applyFill="1" applyBorder="1" applyAlignment="1"/>
    <xf numFmtId="3" fontId="7" fillId="42" borderId="12" xfId="26" applyNumberFormat="1" applyFont="1" applyFill="1" applyBorder="1" applyAlignment="1"/>
    <xf numFmtId="3" fontId="57" fillId="40" borderId="22" xfId="0" applyNumberFormat="1" applyFont="1" applyFill="1" applyBorder="1" applyAlignment="1"/>
    <xf numFmtId="3" fontId="57" fillId="40" borderId="75" xfId="0" applyNumberFormat="1" applyFont="1" applyFill="1" applyBorder="1" applyAlignment="1"/>
    <xf numFmtId="3" fontId="57" fillId="40" borderId="81" xfId="0" applyNumberFormat="1" applyFont="1" applyFill="1" applyBorder="1" applyAlignment="1"/>
    <xf numFmtId="3" fontId="57" fillId="40" borderId="43" xfId="0" applyNumberFormat="1" applyFont="1" applyFill="1" applyBorder="1" applyAlignment="1"/>
    <xf numFmtId="3" fontId="57" fillId="40" borderId="13" xfId="0" applyNumberFormat="1" applyFont="1" applyFill="1" applyBorder="1" applyAlignment="1"/>
    <xf numFmtId="3" fontId="50" fillId="39" borderId="22" xfId="0" applyNumberFormat="1" applyFont="1" applyFill="1" applyBorder="1" applyAlignment="1"/>
    <xf numFmtId="3" fontId="50" fillId="39" borderId="75" xfId="0" applyNumberFormat="1" applyFont="1" applyFill="1" applyBorder="1" applyAlignment="1"/>
    <xf numFmtId="3" fontId="50" fillId="39" borderId="81" xfId="0" applyNumberFormat="1" applyFont="1" applyFill="1" applyBorder="1" applyAlignment="1"/>
    <xf numFmtId="3" fontId="50" fillId="39" borderId="43" xfId="0" applyNumberFormat="1" applyFont="1" applyFill="1" applyBorder="1" applyAlignment="1"/>
    <xf numFmtId="3" fontId="50" fillId="39" borderId="12" xfId="0" applyNumberFormat="1" applyFont="1" applyFill="1" applyBorder="1" applyAlignment="1"/>
    <xf numFmtId="3" fontId="50" fillId="39" borderId="13" xfId="0" applyNumberFormat="1" applyFont="1" applyFill="1" applyBorder="1" applyAlignment="1"/>
    <xf numFmtId="3" fontId="50" fillId="34" borderId="22" xfId="0" applyNumberFormat="1" applyFont="1" applyFill="1" applyBorder="1" applyAlignment="1"/>
    <xf numFmtId="3" fontId="50" fillId="34" borderId="75" xfId="0" applyNumberFormat="1" applyFont="1" applyFill="1" applyBorder="1" applyAlignment="1"/>
    <xf numFmtId="3" fontId="50" fillId="34" borderId="81" xfId="0" applyNumberFormat="1" applyFont="1" applyFill="1" applyBorder="1" applyAlignment="1"/>
    <xf numFmtId="3" fontId="47" fillId="36" borderId="43" xfId="0" applyNumberFormat="1" applyFont="1" applyFill="1" applyBorder="1" applyAlignment="1"/>
    <xf numFmtId="3" fontId="47" fillId="36" borderId="75" xfId="0" applyNumberFormat="1" applyFont="1" applyFill="1" applyBorder="1" applyAlignment="1"/>
    <xf numFmtId="3" fontId="47" fillId="42" borderId="12" xfId="0" applyNumberFormat="1" applyFont="1" applyFill="1" applyBorder="1" applyAlignment="1"/>
    <xf numFmtId="3" fontId="47" fillId="42" borderId="75" xfId="0" applyNumberFormat="1" applyFont="1" applyFill="1" applyBorder="1" applyAlignment="1"/>
    <xf numFmtId="3" fontId="47" fillId="42" borderId="13" xfId="0" applyNumberFormat="1" applyFont="1" applyFill="1" applyBorder="1" applyAlignment="1"/>
    <xf numFmtId="3" fontId="57" fillId="40" borderId="22" xfId="26" applyNumberFormat="1" applyFont="1" applyFill="1" applyBorder="1"/>
    <xf numFmtId="3" fontId="57" fillId="40" borderId="75" xfId="26" applyNumberFormat="1" applyFont="1" applyFill="1" applyBorder="1"/>
    <xf numFmtId="3" fontId="57" fillId="40" borderId="81" xfId="26" applyNumberFormat="1" applyFont="1" applyFill="1" applyBorder="1" applyAlignment="1"/>
    <xf numFmtId="3" fontId="57" fillId="40" borderId="43" xfId="26" applyNumberFormat="1" applyFont="1" applyFill="1" applyBorder="1"/>
    <xf numFmtId="3" fontId="57" fillId="40" borderId="13" xfId="26" applyNumberFormat="1" applyFont="1" applyFill="1" applyBorder="1" applyAlignment="1"/>
    <xf numFmtId="3" fontId="57" fillId="40" borderId="12" xfId="26" applyNumberFormat="1" applyFont="1" applyFill="1" applyBorder="1" applyAlignment="1"/>
    <xf numFmtId="3" fontId="50" fillId="39" borderId="78" xfId="0" applyNumberFormat="1" applyFont="1" applyFill="1" applyBorder="1" applyAlignment="1"/>
    <xf numFmtId="3" fontId="50" fillId="39" borderId="79" xfId="0" applyNumberFormat="1" applyFont="1" applyFill="1" applyBorder="1" applyAlignment="1"/>
    <xf numFmtId="3" fontId="50" fillId="39" borderId="82" xfId="0" applyNumberFormat="1" applyFont="1" applyFill="1" applyBorder="1" applyAlignment="1"/>
    <xf numFmtId="3" fontId="50" fillId="39" borderId="95" xfId="0" applyNumberFormat="1" applyFont="1" applyFill="1" applyBorder="1" applyAlignment="1"/>
    <xf numFmtId="3" fontId="50" fillId="39" borderId="36" xfId="0" applyNumberFormat="1" applyFont="1" applyFill="1" applyBorder="1" applyAlignment="1"/>
    <xf numFmtId="3" fontId="50" fillId="39" borderId="24" xfId="0" applyNumberFormat="1" applyFont="1" applyFill="1" applyBorder="1" applyAlignment="1"/>
    <xf numFmtId="3" fontId="50" fillId="34" borderId="78" xfId="26" applyNumberFormat="1" applyFont="1" applyFill="1" applyBorder="1"/>
    <xf numFmtId="3" fontId="50" fillId="34" borderId="79" xfId="26" applyNumberFormat="1" applyFont="1" applyFill="1" applyBorder="1"/>
    <xf numFmtId="3" fontId="50" fillId="34" borderId="82" xfId="26" applyNumberFormat="1" applyFont="1" applyFill="1" applyBorder="1" applyAlignment="1"/>
    <xf numFmtId="3" fontId="47" fillId="36" borderId="95" xfId="26" applyNumberFormat="1" applyFont="1" applyFill="1" applyBorder="1"/>
    <xf numFmtId="3" fontId="47" fillId="36" borderId="79" xfId="26" applyNumberFormat="1" applyFont="1" applyFill="1" applyBorder="1"/>
    <xf numFmtId="3" fontId="47" fillId="42" borderId="79" xfId="26" applyNumberFormat="1" applyFont="1" applyFill="1" applyBorder="1"/>
    <xf numFmtId="3" fontId="7" fillId="42" borderId="24" xfId="26" applyNumberFormat="1" applyFont="1" applyFill="1" applyBorder="1" applyAlignment="1"/>
    <xf numFmtId="3" fontId="7" fillId="42" borderId="36" xfId="26" applyNumberFormat="1" applyFont="1" applyFill="1" applyBorder="1" applyAlignment="1"/>
    <xf numFmtId="3" fontId="65" fillId="0" borderId="0" xfId="0" applyNumberFormat="1" applyFont="1"/>
    <xf numFmtId="3" fontId="50" fillId="35" borderId="103" xfId="0" applyNumberFormat="1" applyFont="1" applyFill="1" applyBorder="1" applyAlignment="1">
      <alignment horizontal="center" vertical="center"/>
    </xf>
    <xf numFmtId="3" fontId="50" fillId="41" borderId="104" xfId="0" applyNumberFormat="1" applyFont="1" applyFill="1" applyBorder="1" applyAlignment="1">
      <alignment horizontal="center" vertical="center"/>
    </xf>
    <xf numFmtId="3" fontId="7" fillId="36" borderId="105" xfId="26" applyNumberFormat="1" applyFont="1" applyFill="1" applyBorder="1" applyAlignment="1"/>
    <xf numFmtId="3" fontId="47" fillId="42" borderId="106" xfId="26" applyNumberFormat="1" applyFont="1" applyFill="1" applyBorder="1"/>
    <xf numFmtId="3" fontId="7" fillId="36" borderId="107" xfId="26" applyNumberFormat="1" applyFont="1" applyFill="1" applyBorder="1" applyAlignment="1"/>
    <xf numFmtId="3" fontId="47" fillId="42" borderId="108" xfId="26" applyNumberFormat="1" applyFont="1" applyFill="1" applyBorder="1"/>
    <xf numFmtId="3" fontId="57" fillId="40" borderId="107" xfId="0" applyNumberFormat="1" applyFont="1" applyFill="1" applyBorder="1" applyAlignment="1"/>
    <xf numFmtId="3" fontId="57" fillId="40" borderId="108" xfId="0" applyNumberFormat="1" applyFont="1" applyFill="1" applyBorder="1" applyAlignment="1"/>
    <xf numFmtId="3" fontId="50" fillId="39" borderId="107" xfId="0" applyNumberFormat="1" applyFont="1" applyFill="1" applyBorder="1" applyAlignment="1"/>
    <xf numFmtId="3" fontId="50" fillId="39" borderId="108" xfId="0" applyNumberFormat="1" applyFont="1" applyFill="1" applyBorder="1" applyAlignment="1"/>
    <xf numFmtId="3" fontId="47" fillId="36" borderId="107" xfId="0" applyNumberFormat="1" applyFont="1" applyFill="1" applyBorder="1" applyAlignment="1"/>
    <xf numFmtId="3" fontId="47" fillId="42" borderId="108" xfId="0" applyNumberFormat="1" applyFont="1" applyFill="1" applyBorder="1" applyAlignment="1"/>
    <xf numFmtId="3" fontId="57" fillId="40" borderId="107" xfId="26" applyNumberFormat="1" applyFont="1" applyFill="1" applyBorder="1" applyAlignment="1"/>
    <xf numFmtId="3" fontId="57" fillId="40" borderId="108" xfId="26" applyNumberFormat="1" applyFont="1" applyFill="1" applyBorder="1"/>
    <xf numFmtId="3" fontId="50" fillId="39" borderId="109" xfId="0" applyNumberFormat="1" applyFont="1" applyFill="1" applyBorder="1" applyAlignment="1"/>
    <xf numFmtId="3" fontId="50" fillId="39" borderId="110" xfId="0" applyNumberFormat="1" applyFont="1" applyFill="1" applyBorder="1" applyAlignment="1"/>
    <xf numFmtId="3" fontId="7" fillId="36" borderId="109" xfId="26" applyNumberFormat="1" applyFont="1" applyFill="1" applyBorder="1" applyAlignment="1"/>
    <xf numFmtId="3" fontId="47" fillId="42" borderId="110" xfId="26" applyNumberFormat="1" applyFont="1" applyFill="1" applyBorder="1"/>
    <xf numFmtId="0" fontId="55" fillId="33" borderId="87" xfId="0" applyFont="1" applyFill="1" applyBorder="1" applyAlignment="1">
      <alignment horizontal="center" vertical="center"/>
    </xf>
    <xf numFmtId="0" fontId="55" fillId="33" borderId="76" xfId="0" applyFont="1" applyFill="1" applyBorder="1" applyAlignment="1">
      <alignment horizontal="center" vertical="center"/>
    </xf>
    <xf numFmtId="0" fontId="55" fillId="33" borderId="122" xfId="0" applyFont="1" applyFill="1" applyBorder="1" applyAlignment="1">
      <alignment horizontal="center" vertical="center"/>
    </xf>
    <xf numFmtId="0" fontId="55" fillId="35" borderId="51" xfId="0" applyFont="1" applyFill="1" applyBorder="1" applyAlignment="1">
      <alignment horizontal="center" vertical="center"/>
    </xf>
    <xf numFmtId="3" fontId="59" fillId="42" borderId="46" xfId="26" applyNumberFormat="1" applyFont="1" applyFill="1" applyBorder="1"/>
    <xf numFmtId="3" fontId="59" fillId="42" borderId="12" xfId="26" applyNumberFormat="1" applyFont="1" applyFill="1" applyBorder="1"/>
    <xf numFmtId="0" fontId="55" fillId="35" borderId="76" xfId="0" applyFont="1" applyFill="1" applyBorder="1" applyAlignment="1">
      <alignment horizontal="center" vertical="center"/>
    </xf>
    <xf numFmtId="0" fontId="55" fillId="35" borderId="103" xfId="0" applyFont="1" applyFill="1" applyBorder="1" applyAlignment="1">
      <alignment horizontal="center" vertical="center"/>
    </xf>
    <xf numFmtId="3" fontId="59" fillId="36" borderId="84" xfId="26" applyNumberFormat="1" applyFont="1" applyFill="1" applyBorder="1"/>
    <xf numFmtId="3" fontId="59" fillId="36" borderId="105" xfId="26" applyNumberFormat="1" applyFont="1" applyFill="1" applyBorder="1" applyAlignment="1"/>
    <xf numFmtId="3" fontId="59" fillId="36" borderId="75" xfId="26" applyNumberFormat="1" applyFont="1" applyFill="1" applyBorder="1"/>
    <xf numFmtId="3" fontId="59" fillId="36" borderId="107" xfId="26" applyNumberFormat="1" applyFont="1" applyFill="1" applyBorder="1" applyAlignment="1"/>
    <xf numFmtId="0" fontId="55" fillId="41" borderId="67" xfId="0" applyFont="1" applyFill="1" applyBorder="1" applyAlignment="1">
      <alignment horizontal="center" vertical="center"/>
    </xf>
    <xf numFmtId="0" fontId="55" fillId="41" borderId="76" xfId="0" applyFont="1" applyFill="1" applyBorder="1" applyAlignment="1">
      <alignment horizontal="center" vertical="center"/>
    </xf>
    <xf numFmtId="3" fontId="59" fillId="42" borderId="84" xfId="26" applyNumberFormat="1" applyFont="1" applyFill="1" applyBorder="1"/>
    <xf numFmtId="3" fontId="59" fillId="42" borderId="75" xfId="26" applyNumberFormat="1" applyFont="1" applyFill="1" applyBorder="1"/>
    <xf numFmtId="0" fontId="55" fillId="41" borderId="122" xfId="0" applyFont="1" applyFill="1" applyBorder="1" applyAlignment="1">
      <alignment horizontal="center" vertical="center"/>
    </xf>
    <xf numFmtId="3" fontId="59" fillId="36" borderId="42" xfId="26" applyNumberFormat="1" applyFont="1" applyFill="1" applyBorder="1"/>
    <xf numFmtId="3" fontId="59" fillId="42" borderId="121" xfId="26" applyNumberFormat="1" applyFont="1" applyFill="1" applyBorder="1" applyAlignment="1"/>
    <xf numFmtId="3" fontId="59" fillId="36" borderId="43" xfId="26" applyNumberFormat="1" applyFont="1" applyFill="1" applyBorder="1"/>
    <xf numFmtId="3" fontId="59" fillId="42" borderId="119" xfId="26" applyNumberFormat="1" applyFont="1" applyFill="1" applyBorder="1" applyAlignment="1"/>
    <xf numFmtId="0" fontId="59" fillId="0" borderId="83" xfId="0" applyFont="1" applyFill="1" applyBorder="1" applyAlignment="1">
      <alignment horizontal="left"/>
    </xf>
    <xf numFmtId="0" fontId="59" fillId="0" borderId="22" xfId="0" applyFont="1" applyFill="1" applyBorder="1" applyAlignment="1">
      <alignment horizontal="left"/>
    </xf>
    <xf numFmtId="0" fontId="49" fillId="0" borderId="0" xfId="0" applyFont="1"/>
    <xf numFmtId="0" fontId="59" fillId="0" borderId="78" xfId="0" applyFont="1" applyFill="1" applyBorder="1" applyAlignment="1">
      <alignment horizontal="left"/>
    </xf>
    <xf numFmtId="3" fontId="59" fillId="0" borderId="57" xfId="0" applyNumberFormat="1" applyFont="1" applyFill="1" applyBorder="1" applyAlignment="1"/>
    <xf numFmtId="3" fontId="59" fillId="36" borderId="95" xfId="26" applyNumberFormat="1" applyFont="1" applyFill="1" applyBorder="1"/>
    <xf numFmtId="3" fontId="59" fillId="36" borderId="79" xfId="26" applyNumberFormat="1" applyFont="1" applyFill="1" applyBorder="1"/>
    <xf numFmtId="3" fontId="59" fillId="36" borderId="109" xfId="26" applyNumberFormat="1" applyFont="1" applyFill="1" applyBorder="1" applyAlignment="1"/>
    <xf numFmtId="3" fontId="59" fillId="42" borderId="36" xfId="26" applyNumberFormat="1" applyFont="1" applyFill="1" applyBorder="1"/>
    <xf numFmtId="3" fontId="59" fillId="42" borderId="79" xfId="26" applyNumberFormat="1" applyFont="1" applyFill="1" applyBorder="1"/>
    <xf numFmtId="3" fontId="59" fillId="42" borderId="125" xfId="26" applyNumberFormat="1" applyFont="1" applyFill="1" applyBorder="1" applyAlignment="1"/>
    <xf numFmtId="3" fontId="56" fillId="32" borderId="126" xfId="0" applyNumberFormat="1" applyFont="1" applyFill="1" applyBorder="1" applyAlignment="1"/>
    <xf numFmtId="3" fontId="56" fillId="32" borderId="77" xfId="0" applyNumberFormat="1" applyFont="1" applyFill="1" applyBorder="1" applyAlignment="1"/>
    <xf numFmtId="3" fontId="56" fillId="32" borderId="127" xfId="0" applyNumberFormat="1" applyFont="1" applyFill="1" applyBorder="1" applyAlignment="1"/>
    <xf numFmtId="3" fontId="56" fillId="32" borderId="47" xfId="0" applyNumberFormat="1" applyFont="1" applyFill="1" applyBorder="1" applyAlignment="1"/>
    <xf numFmtId="3" fontId="56" fillId="32" borderId="111" xfId="0" applyNumberFormat="1" applyFont="1" applyFill="1" applyBorder="1" applyAlignment="1"/>
    <xf numFmtId="3" fontId="56" fillId="32" borderId="48" xfId="0" applyNumberFormat="1" applyFont="1" applyFill="1" applyBorder="1" applyAlignment="1"/>
    <xf numFmtId="10" fontId="56" fillId="32" borderId="77" xfId="0" applyNumberFormat="1" applyFont="1" applyFill="1" applyBorder="1" applyAlignment="1">
      <alignment horizontal="center"/>
    </xf>
    <xf numFmtId="10" fontId="56" fillId="32" borderId="49" xfId="0" applyNumberFormat="1" applyFont="1" applyFill="1" applyBorder="1" applyAlignment="1">
      <alignment horizontal="center"/>
    </xf>
    <xf numFmtId="0" fontId="50" fillId="0" borderId="0" xfId="0" applyFont="1"/>
    <xf numFmtId="166" fontId="50" fillId="0" borderId="0" xfId="0" applyNumberFormat="1" applyFont="1"/>
    <xf numFmtId="3" fontId="50" fillId="39" borderId="126" xfId="0" applyNumberFormat="1" applyFont="1" applyFill="1" applyBorder="1" applyAlignment="1"/>
    <xf numFmtId="3" fontId="50" fillId="39" borderId="77" xfId="0" applyNumberFormat="1" applyFont="1" applyFill="1" applyBorder="1" applyAlignment="1"/>
    <xf numFmtId="3" fontId="50" fillId="39" borderId="127" xfId="0" applyNumberFormat="1" applyFont="1" applyFill="1" applyBorder="1" applyAlignment="1"/>
    <xf numFmtId="3" fontId="50" fillId="39" borderId="47" xfId="0" applyNumberFormat="1" applyFont="1" applyFill="1" applyBorder="1" applyAlignment="1"/>
    <xf numFmtId="3" fontId="50" fillId="39" borderId="111" xfId="0" applyNumberFormat="1" applyFont="1" applyFill="1" applyBorder="1" applyAlignment="1"/>
    <xf numFmtId="3" fontId="50" fillId="39" borderId="48" xfId="0" applyNumberFormat="1" applyFont="1" applyFill="1" applyBorder="1" applyAlignment="1"/>
    <xf numFmtId="10" fontId="50" fillId="39" borderId="77" xfId="0" applyNumberFormat="1" applyFont="1" applyFill="1" applyBorder="1" applyAlignment="1">
      <alignment horizontal="center"/>
    </xf>
    <xf numFmtId="10" fontId="50" fillId="39" borderId="49" xfId="0" applyNumberFormat="1" applyFont="1" applyFill="1" applyBorder="1" applyAlignment="1">
      <alignment horizontal="center"/>
    </xf>
    <xf numFmtId="0" fontId="67" fillId="0" borderId="0" xfId="0" applyFont="1"/>
    <xf numFmtId="3" fontId="67" fillId="40" borderId="118" xfId="0" applyNumberFormat="1" applyFont="1" applyFill="1" applyBorder="1" applyAlignment="1"/>
    <xf numFmtId="3" fontId="67" fillId="40" borderId="75" xfId="0" applyNumberFormat="1" applyFont="1" applyFill="1" applyBorder="1" applyAlignment="1"/>
    <xf numFmtId="3" fontId="67" fillId="40" borderId="119" xfId="0" applyNumberFormat="1" applyFont="1" applyFill="1" applyBorder="1" applyAlignment="1"/>
    <xf numFmtId="3" fontId="67" fillId="40" borderId="43" xfId="0" applyNumberFormat="1" applyFont="1" applyFill="1" applyBorder="1" applyAlignment="1"/>
    <xf numFmtId="3" fontId="67" fillId="40" borderId="107" xfId="0" applyNumberFormat="1" applyFont="1" applyFill="1" applyBorder="1" applyAlignment="1"/>
    <xf numFmtId="3" fontId="67" fillId="40" borderId="12" xfId="0" applyNumberFormat="1" applyFont="1" applyFill="1" applyBorder="1" applyAlignment="1"/>
    <xf numFmtId="10" fontId="67" fillId="40" borderId="75" xfId="0" applyNumberFormat="1" applyFont="1" applyFill="1" applyBorder="1" applyAlignment="1">
      <alignment horizontal="center"/>
    </xf>
    <xf numFmtId="10" fontId="67" fillId="40" borderId="81" xfId="0" applyNumberFormat="1" applyFont="1" applyFill="1" applyBorder="1" applyAlignment="1">
      <alignment horizontal="center"/>
    </xf>
    <xf numFmtId="0" fontId="56" fillId="0" borderId="0" xfId="0" applyFont="1"/>
    <xf numFmtId="171" fontId="56" fillId="0" borderId="0" xfId="26" applyNumberFormat="1" applyFont="1" applyFill="1" applyBorder="1" applyAlignment="1"/>
    <xf numFmtId="166" fontId="56" fillId="0" borderId="0" xfId="26" applyNumberFormat="1" applyFont="1" applyFill="1" applyBorder="1" applyAlignment="1">
      <alignment horizontal="center"/>
    </xf>
    <xf numFmtId="166" fontId="56" fillId="0" borderId="0" xfId="26" applyNumberFormat="1" applyFont="1" applyFill="1" applyBorder="1"/>
    <xf numFmtId="0" fontId="56" fillId="0" borderId="0" xfId="0" applyFont="1" applyFill="1" applyBorder="1"/>
    <xf numFmtId="171" fontId="56" fillId="32" borderId="128" xfId="26" applyNumberFormat="1" applyFont="1" applyFill="1" applyBorder="1" applyAlignment="1"/>
    <xf numFmtId="171" fontId="56" fillId="32" borderId="77" xfId="26" applyNumberFormat="1" applyFont="1" applyFill="1" applyBorder="1" applyAlignment="1"/>
    <xf numFmtId="171" fontId="56" fillId="32" borderId="127" xfId="26" applyNumberFormat="1" applyFont="1" applyFill="1" applyBorder="1" applyAlignment="1"/>
    <xf numFmtId="3" fontId="55" fillId="34" borderId="120" xfId="26" applyNumberFormat="1" applyFont="1" applyFill="1" applyBorder="1"/>
    <xf numFmtId="3" fontId="55" fillId="34" borderId="84" xfId="26" applyNumberFormat="1" applyFont="1" applyFill="1" applyBorder="1"/>
    <xf numFmtId="3" fontId="55" fillId="34" borderId="121" xfId="26" applyNumberFormat="1" applyFont="1" applyFill="1" applyBorder="1" applyAlignment="1"/>
    <xf numFmtId="3" fontId="55" fillId="34" borderId="118" xfId="26" applyNumberFormat="1" applyFont="1" applyFill="1" applyBorder="1"/>
    <xf numFmtId="3" fontId="55" fillId="34" borderId="75" xfId="26" applyNumberFormat="1" applyFont="1" applyFill="1" applyBorder="1"/>
    <xf numFmtId="3" fontId="55" fillId="34" borderId="119" xfId="26" applyNumberFormat="1" applyFont="1" applyFill="1" applyBorder="1" applyAlignment="1"/>
    <xf numFmtId="3" fontId="55" fillId="34" borderId="124" xfId="26" applyNumberFormat="1" applyFont="1" applyFill="1" applyBorder="1"/>
    <xf numFmtId="3" fontId="55" fillId="34" borderId="79" xfId="26" applyNumberFormat="1" applyFont="1" applyFill="1" applyBorder="1"/>
    <xf numFmtId="3" fontId="55" fillId="34" borderId="125" xfId="26" applyNumberFormat="1" applyFont="1" applyFill="1" applyBorder="1" applyAlignment="1"/>
    <xf numFmtId="10" fontId="47" fillId="0" borderId="60" xfId="0" applyNumberFormat="1" applyFont="1" applyFill="1" applyBorder="1" applyAlignment="1" applyProtection="1">
      <alignment vertical="center"/>
    </xf>
    <xf numFmtId="10" fontId="68" fillId="40" borderId="63" xfId="0" applyNumberFormat="1" applyFont="1" applyFill="1" applyBorder="1" applyAlignment="1" applyProtection="1">
      <alignment vertical="center"/>
    </xf>
    <xf numFmtId="10" fontId="47" fillId="31" borderId="60" xfId="0" applyNumberFormat="1" applyFont="1" applyFill="1" applyBorder="1" applyAlignment="1" applyProtection="1">
      <alignment vertical="center"/>
    </xf>
    <xf numFmtId="10" fontId="68" fillId="40" borderId="60" xfId="0" applyNumberFormat="1" applyFont="1" applyFill="1" applyBorder="1" applyAlignment="1" applyProtection="1">
      <alignment vertical="center"/>
    </xf>
    <xf numFmtId="10" fontId="56" fillId="39" borderId="60" xfId="0" applyNumberFormat="1" applyFont="1" applyFill="1" applyBorder="1" applyAlignment="1" applyProtection="1">
      <alignment vertical="center"/>
    </xf>
    <xf numFmtId="0" fontId="55" fillId="41" borderId="136" xfId="0" applyFont="1" applyFill="1" applyBorder="1" applyAlignment="1">
      <alignment horizontal="center" vertical="center"/>
    </xf>
    <xf numFmtId="3" fontId="59" fillId="42" borderId="137" xfId="26" applyNumberFormat="1" applyFont="1" applyFill="1" applyBorder="1" applyAlignment="1"/>
    <xf numFmtId="3" fontId="59" fillId="42" borderId="138" xfId="26" applyNumberFormat="1" applyFont="1" applyFill="1" applyBorder="1" applyAlignment="1"/>
    <xf numFmtId="3" fontId="67" fillId="40" borderId="138" xfId="0" applyNumberFormat="1" applyFont="1" applyFill="1" applyBorder="1" applyAlignment="1"/>
    <xf numFmtId="10" fontId="67" fillId="40" borderId="56" xfId="0" applyNumberFormat="1" applyFont="1" applyFill="1" applyBorder="1" applyAlignment="1">
      <alignment horizontal="center"/>
    </xf>
    <xf numFmtId="3" fontId="59" fillId="42" borderId="139" xfId="26" applyNumberFormat="1" applyFont="1" applyFill="1" applyBorder="1" applyAlignment="1"/>
    <xf numFmtId="3" fontId="50" fillId="39" borderId="140" xfId="0" applyNumberFormat="1" applyFont="1" applyFill="1" applyBorder="1" applyAlignment="1"/>
    <xf numFmtId="10" fontId="50" fillId="39" borderId="128" xfId="0" applyNumberFormat="1" applyFont="1" applyFill="1" applyBorder="1" applyAlignment="1">
      <alignment horizontal="center"/>
    </xf>
    <xf numFmtId="3" fontId="56" fillId="32" borderId="140" xfId="0" applyNumberFormat="1" applyFont="1" applyFill="1" applyBorder="1" applyAlignment="1"/>
    <xf numFmtId="10" fontId="56" fillId="32" borderId="128" xfId="0" applyNumberFormat="1" applyFont="1" applyFill="1" applyBorder="1" applyAlignment="1">
      <alignment horizontal="center"/>
    </xf>
    <xf numFmtId="10" fontId="50" fillId="32" borderId="143" xfId="0" applyNumberFormat="1" applyFont="1" applyFill="1" applyBorder="1" applyAlignment="1">
      <alignment horizontal="center" vertical="center"/>
    </xf>
    <xf numFmtId="10" fontId="47" fillId="0" borderId="64" xfId="0" applyNumberFormat="1" applyFont="1" applyBorder="1"/>
    <xf numFmtId="10" fontId="47" fillId="0" borderId="56" xfId="0" applyNumberFormat="1" applyFont="1" applyBorder="1"/>
    <xf numFmtId="10" fontId="57" fillId="40" borderId="56" xfId="0" applyNumberFormat="1" applyFont="1" applyFill="1" applyBorder="1"/>
    <xf numFmtId="10" fontId="50" fillId="39" borderId="56" xfId="0" applyNumberFormat="1" applyFont="1" applyFill="1" applyBorder="1"/>
    <xf numFmtId="10" fontId="50" fillId="39" borderId="66" xfId="0" applyNumberFormat="1" applyFont="1" applyFill="1" applyBorder="1"/>
    <xf numFmtId="10" fontId="47" fillId="0" borderId="65" xfId="0" applyNumberFormat="1" applyFont="1" applyBorder="1"/>
    <xf numFmtId="10" fontId="47" fillId="0" borderId="66" xfId="0" applyNumberFormat="1" applyFont="1" applyBorder="1"/>
    <xf numFmtId="3" fontId="0" fillId="0" borderId="0" xfId="0" applyNumberFormat="1"/>
    <xf numFmtId="0" fontId="51" fillId="30" borderId="27" xfId="42" applyFont="1" applyFill="1" applyBorder="1" applyAlignment="1" applyProtection="1">
      <alignment horizontal="left" indent="1"/>
      <protection locked="0"/>
    </xf>
    <xf numFmtId="3" fontId="0" fillId="0" borderId="26" xfId="0" applyNumberFormat="1" applyBorder="1"/>
    <xf numFmtId="0" fontId="0" fillId="0" borderId="26" xfId="0" applyBorder="1" applyAlignment="1">
      <alignment horizontal="left" indent="1"/>
    </xf>
    <xf numFmtId="3" fontId="0" fillId="0" borderId="10" xfId="0" applyNumberFormat="1" applyBorder="1"/>
    <xf numFmtId="0" fontId="0" fillId="0" borderId="10" xfId="0" applyBorder="1" applyAlignment="1">
      <alignment horizontal="left" indent="1"/>
    </xf>
    <xf numFmtId="3" fontId="0" fillId="0" borderId="133" xfId="0" applyNumberFormat="1" applyBorder="1"/>
    <xf numFmtId="0" fontId="0" fillId="0" borderId="133" xfId="0" applyBorder="1" applyAlignment="1">
      <alignment horizontal="left" indent="1"/>
    </xf>
    <xf numFmtId="0" fontId="40" fillId="0" borderId="0" xfId="40" applyFont="1" applyAlignment="1">
      <alignment horizontal="center"/>
    </xf>
    <xf numFmtId="0" fontId="36" fillId="0" borderId="28" xfId="40" applyFont="1" applyBorder="1" applyAlignment="1">
      <alignment horizontal="center"/>
    </xf>
    <xf numFmtId="0" fontId="40" fillId="0" borderId="31" xfId="40" applyFont="1" applyBorder="1"/>
    <xf numFmtId="0" fontId="43" fillId="0" borderId="31" xfId="40" applyBorder="1"/>
    <xf numFmtId="0" fontId="30" fillId="0" borderId="31" xfId="40" applyFont="1" applyBorder="1" applyAlignment="1">
      <alignment wrapText="1"/>
    </xf>
    <xf numFmtId="0" fontId="25" fillId="30" borderId="27" xfId="42" applyFont="1" applyFill="1" applyBorder="1" applyAlignment="1">
      <alignment horizontal="center" vertical="center"/>
    </xf>
    <xf numFmtId="3" fontId="25" fillId="30" borderId="27" xfId="42" applyNumberFormat="1" applyFont="1" applyFill="1" applyBorder="1" applyAlignment="1">
      <alignment horizontal="center" vertical="center"/>
    </xf>
    <xf numFmtId="0" fontId="67" fillId="43" borderId="27" xfId="42" applyFont="1" applyFill="1" applyBorder="1" applyAlignment="1">
      <alignment vertical="center"/>
    </xf>
    <xf numFmtId="3" fontId="67" fillId="43" borderId="27" xfId="42" applyNumberFormat="1" applyFont="1" applyFill="1" applyBorder="1" applyAlignment="1">
      <alignment vertical="center"/>
    </xf>
    <xf numFmtId="3" fontId="51" fillId="30" borderId="27" xfId="42" applyNumberFormat="1" applyFont="1" applyFill="1" applyBorder="1"/>
    <xf numFmtId="0" fontId="42" fillId="0" borderId="0" xfId="0" applyFont="1"/>
    <xf numFmtId="0" fontId="36" fillId="0" borderId="0" xfId="40" applyFont="1"/>
    <xf numFmtId="3" fontId="42" fillId="0" borderId="0" xfId="0" applyNumberFormat="1" applyFont="1"/>
    <xf numFmtId="0" fontId="30" fillId="0" borderId="0" xfId="40" applyFont="1" applyAlignment="1">
      <alignment wrapText="1"/>
    </xf>
    <xf numFmtId="0" fontId="41" fillId="0" borderId="0" xfId="0" applyFont="1"/>
    <xf numFmtId="3" fontId="41" fillId="0" borderId="0" xfId="0" applyNumberFormat="1" applyFont="1"/>
    <xf numFmtId="0" fontId="41" fillId="0" borderId="0" xfId="0" applyFont="1" applyAlignment="1">
      <alignment wrapText="1"/>
    </xf>
    <xf numFmtId="3" fontId="39" fillId="0" borderId="0" xfId="0" applyNumberFormat="1" applyFont="1"/>
    <xf numFmtId="0" fontId="40" fillId="30" borderId="27" xfId="0" applyFont="1" applyFill="1" applyBorder="1"/>
    <xf numFmtId="0" fontId="40" fillId="30" borderId="27" xfId="0" applyFont="1" applyFill="1" applyBorder="1" applyAlignment="1">
      <alignment horizontal="center"/>
    </xf>
    <xf numFmtId="3" fontId="43" fillId="0" borderId="34" xfId="0" applyNumberFormat="1" applyFont="1" applyBorder="1"/>
    <xf numFmtId="3" fontId="43" fillId="0" borderId="31" xfId="0" applyNumberFormat="1" applyFont="1" applyBorder="1"/>
    <xf numFmtId="0" fontId="70" fillId="29" borderId="27" xfId="0" applyFont="1" applyFill="1" applyBorder="1"/>
    <xf numFmtId="3" fontId="70" fillId="29" borderId="27" xfId="0" applyNumberFormat="1" applyFont="1" applyFill="1" applyBorder="1"/>
    <xf numFmtId="3" fontId="43" fillId="0" borderId="32" xfId="0" applyNumberFormat="1" applyFont="1" applyBorder="1"/>
    <xf numFmtId="0" fontId="43" fillId="0" borderId="33" xfId="0" applyFont="1" applyBorder="1"/>
    <xf numFmtId="3" fontId="43" fillId="0" borderId="33" xfId="0" applyNumberFormat="1" applyFont="1" applyBorder="1"/>
    <xf numFmtId="0" fontId="40" fillId="45" borderId="27" xfId="0" applyFont="1" applyFill="1" applyBorder="1"/>
    <xf numFmtId="3" fontId="40" fillId="45" borderId="27" xfId="0" applyNumberFormat="1" applyFont="1" applyFill="1" applyBorder="1"/>
    <xf numFmtId="3" fontId="43" fillId="0" borderId="0" xfId="0" applyNumberFormat="1" applyFont="1"/>
    <xf numFmtId="0" fontId="43" fillId="0" borderId="35" xfId="0" applyFont="1" applyBorder="1"/>
    <xf numFmtId="3" fontId="43" fillId="0" borderId="33" xfId="0" applyNumberFormat="1" applyFont="1" applyBorder="1" applyAlignment="1">
      <alignment horizontal="left"/>
    </xf>
    <xf numFmtId="3" fontId="0" fillId="0" borderId="33" xfId="0" applyNumberFormat="1" applyBorder="1"/>
    <xf numFmtId="3" fontId="40" fillId="43" borderId="27" xfId="0" applyNumberFormat="1" applyFont="1" applyFill="1" applyBorder="1"/>
    <xf numFmtId="0" fontId="30" fillId="30" borderId="27" xfId="0" applyFont="1" applyFill="1" applyBorder="1" applyAlignment="1">
      <alignment horizontal="center"/>
    </xf>
    <xf numFmtId="0" fontId="41" fillId="30" borderId="27" xfId="0" applyFont="1" applyFill="1" applyBorder="1" applyAlignment="1">
      <alignment horizontal="center"/>
    </xf>
    <xf numFmtId="0" fontId="44" fillId="0" borderId="14" xfId="0" applyFont="1" applyBorder="1"/>
    <xf numFmtId="3" fontId="44" fillId="0" borderId="14" xfId="0" applyNumberFormat="1" applyFont="1" applyBorder="1"/>
    <xf numFmtId="0" fontId="44" fillId="0" borderId="10" xfId="0" applyFont="1" applyBorder="1"/>
    <xf numFmtId="3" fontId="44" fillId="0" borderId="10" xfId="0" applyNumberFormat="1" applyFont="1" applyBorder="1"/>
    <xf numFmtId="0" fontId="45" fillId="0" borderId="10" xfId="0" applyFont="1" applyBorder="1" applyAlignment="1">
      <alignment wrapText="1"/>
    </xf>
    <xf numFmtId="3" fontId="44" fillId="0" borderId="10" xfId="0" applyNumberFormat="1" applyFont="1" applyBorder="1" applyAlignment="1">
      <alignment wrapText="1"/>
    </xf>
    <xf numFmtId="0" fontId="44" fillId="0" borderId="10" xfId="0" applyFont="1" applyBorder="1" applyAlignment="1">
      <alignment wrapText="1"/>
    </xf>
    <xf numFmtId="0" fontId="46" fillId="30" borderId="27" xfId="0" applyFont="1" applyFill="1" applyBorder="1"/>
    <xf numFmtId="3" fontId="46" fillId="30" borderId="27" xfId="0" applyNumberFormat="1" applyFont="1" applyFill="1" applyBorder="1"/>
    <xf numFmtId="3" fontId="68" fillId="40" borderId="34" xfId="0" applyNumberFormat="1" applyFont="1" applyFill="1" applyBorder="1" applyAlignment="1" applyProtection="1">
      <alignment vertical="center"/>
    </xf>
    <xf numFmtId="3" fontId="50" fillId="31" borderId="31" xfId="0" applyNumberFormat="1" applyFont="1" applyFill="1" applyBorder="1" applyAlignment="1" applyProtection="1">
      <alignment vertical="center"/>
    </xf>
    <xf numFmtId="3" fontId="50" fillId="34" borderId="31" xfId="0" applyNumberFormat="1" applyFont="1" applyFill="1" applyBorder="1" applyAlignment="1" applyProtection="1">
      <alignment vertical="center"/>
    </xf>
    <xf numFmtId="3" fontId="68" fillId="40" borderId="31" xfId="0" applyNumberFormat="1" applyFont="1" applyFill="1" applyBorder="1" applyAlignment="1" applyProtection="1">
      <alignment vertical="center"/>
    </xf>
    <xf numFmtId="3" fontId="56" fillId="39" borderId="31" xfId="0" applyNumberFormat="1" applyFont="1" applyFill="1" applyBorder="1" applyAlignment="1" applyProtection="1">
      <alignment vertical="center"/>
    </xf>
    <xf numFmtId="3" fontId="56" fillId="39" borderId="22" xfId="0" applyNumberFormat="1" applyFont="1" applyFill="1" applyBorder="1" applyAlignment="1" applyProtection="1">
      <alignment vertical="center"/>
    </xf>
    <xf numFmtId="3" fontId="56" fillId="39" borderId="75" xfId="0" applyNumberFormat="1" applyFont="1" applyFill="1" applyBorder="1" applyAlignment="1" applyProtection="1">
      <alignment vertical="center"/>
    </xf>
    <xf numFmtId="3" fontId="56" fillId="39" borderId="11" xfId="0" applyNumberFormat="1" applyFont="1" applyFill="1" applyBorder="1" applyAlignment="1" applyProtection="1">
      <alignment vertical="center"/>
    </xf>
    <xf numFmtId="0" fontId="47" fillId="0" borderId="0" xfId="0" applyFont="1" applyAlignment="1" applyProtection="1">
      <alignment horizontal="center"/>
    </xf>
    <xf numFmtId="0" fontId="50" fillId="33" borderId="44" xfId="0" applyFont="1" applyFill="1" applyBorder="1" applyAlignment="1" applyProtection="1">
      <alignment horizontal="center" vertical="center" wrapText="1"/>
    </xf>
    <xf numFmtId="0" fontId="50" fillId="41" borderId="76" xfId="0" applyFont="1" applyFill="1" applyBorder="1" applyAlignment="1" applyProtection="1">
      <alignment horizontal="center" vertical="center" wrapText="1"/>
    </xf>
    <xf numFmtId="0" fontId="50" fillId="41" borderId="73" xfId="0" applyFont="1" applyFill="1" applyBorder="1" applyAlignment="1" applyProtection="1">
      <alignment horizontal="center" vertical="center" wrapText="1"/>
    </xf>
    <xf numFmtId="0" fontId="50" fillId="41" borderId="123" xfId="0" applyFont="1" applyFill="1" applyBorder="1" applyAlignment="1" applyProtection="1">
      <alignment horizontal="center" vertical="center" wrapText="1"/>
    </xf>
    <xf numFmtId="16" fontId="68" fillId="40" borderId="83" xfId="0" applyNumberFormat="1" applyFont="1" applyFill="1" applyBorder="1" applyAlignment="1" applyProtection="1">
      <alignment horizontal="left" vertical="center"/>
    </xf>
    <xf numFmtId="0" fontId="68" fillId="40" borderId="45" xfId="0" applyFont="1" applyFill="1" applyBorder="1" applyAlignment="1" applyProtection="1">
      <alignment horizontal="left" vertical="center" wrapText="1"/>
    </xf>
    <xf numFmtId="0" fontId="47" fillId="0" borderId="0" xfId="0" applyFont="1" applyAlignment="1" applyProtection="1">
      <alignment vertical="center"/>
    </xf>
    <xf numFmtId="16" fontId="47" fillId="31" borderId="22" xfId="0" applyNumberFormat="1" applyFont="1" applyFill="1" applyBorder="1" applyAlignment="1" applyProtection="1">
      <alignment horizontal="left" vertical="center"/>
    </xf>
    <xf numFmtId="0" fontId="47" fillId="31" borderId="11" xfId="0" quotePrefix="1" applyFont="1" applyFill="1" applyBorder="1" applyAlignment="1" applyProtection="1">
      <alignment horizontal="left" vertical="center" wrapText="1" indent="4"/>
    </xf>
    <xf numFmtId="0" fontId="47" fillId="0" borderId="22" xfId="0" applyFont="1" applyBorder="1" applyAlignment="1" applyProtection="1">
      <alignment horizontal="left" vertical="center"/>
    </xf>
    <xf numFmtId="0" fontId="47" fillId="25" borderId="11" xfId="0" applyFont="1" applyFill="1" applyBorder="1" applyAlignment="1" applyProtection="1">
      <alignment horizontal="left" vertical="center" wrapText="1" indent="2"/>
    </xf>
    <xf numFmtId="0" fontId="68" fillId="40" borderId="22" xfId="0" applyFont="1" applyFill="1" applyBorder="1" applyAlignment="1" applyProtection="1">
      <alignment horizontal="left" vertical="center"/>
    </xf>
    <xf numFmtId="0" fontId="68" fillId="40" borderId="11" xfId="0" applyFont="1" applyFill="1" applyBorder="1" applyAlignment="1" applyProtection="1">
      <alignment horizontal="left" vertical="center" wrapText="1"/>
    </xf>
    <xf numFmtId="0" fontId="47" fillId="31" borderId="22" xfId="0" applyFont="1" applyFill="1" applyBorder="1" applyAlignment="1" applyProtection="1">
      <alignment horizontal="left" vertical="center"/>
    </xf>
    <xf numFmtId="0" fontId="56" fillId="39" borderId="22" xfId="0" applyFont="1" applyFill="1" applyBorder="1" applyAlignment="1" applyProtection="1">
      <alignment horizontal="left" vertical="center"/>
    </xf>
    <xf numFmtId="0" fontId="56" fillId="39" borderId="11" xfId="0" applyFont="1" applyFill="1" applyBorder="1" applyAlignment="1" applyProtection="1">
      <alignment horizontal="left" vertical="center" wrapText="1"/>
    </xf>
    <xf numFmtId="0" fontId="58" fillId="0" borderId="0" xfId="0" applyFont="1" applyAlignment="1" applyProtection="1">
      <alignment vertical="center"/>
    </xf>
    <xf numFmtId="0" fontId="57" fillId="25" borderId="11" xfId="0" applyFont="1" applyFill="1" applyBorder="1" applyAlignment="1" applyProtection="1">
      <alignment horizontal="left" vertical="center" wrapText="1"/>
    </xf>
    <xf numFmtId="3" fontId="50" fillId="34" borderId="31" xfId="26" applyNumberFormat="1" applyFont="1" applyFill="1" applyBorder="1" applyAlignment="1" applyProtection="1">
      <alignment vertical="center"/>
    </xf>
    <xf numFmtId="10" fontId="47" fillId="0" borderId="60" xfId="26" applyNumberFormat="1" applyFont="1" applyFill="1" applyBorder="1" applyAlignment="1" applyProtection="1">
      <alignment vertical="center"/>
    </xf>
    <xf numFmtId="0" fontId="47" fillId="25" borderId="11" xfId="0" applyFont="1" applyFill="1" applyBorder="1" applyAlignment="1" applyProtection="1">
      <alignment horizontal="left" vertical="center" wrapText="1" indent="4"/>
    </xf>
    <xf numFmtId="0" fontId="47" fillId="25" borderId="11" xfId="0" quotePrefix="1" applyFont="1" applyFill="1" applyBorder="1" applyAlignment="1" applyProtection="1">
      <alignment horizontal="left" vertical="center" wrapText="1" indent="9"/>
    </xf>
    <xf numFmtId="0" fontId="47" fillId="0" borderId="11" xfId="0" quotePrefix="1" applyFont="1" applyFill="1" applyBorder="1" applyAlignment="1" applyProtection="1">
      <alignment horizontal="left" vertical="center" wrapText="1" indent="9"/>
    </xf>
    <xf numFmtId="0" fontId="47" fillId="25" borderId="11" xfId="0" applyFont="1" applyFill="1" applyBorder="1" applyAlignment="1" applyProtection="1">
      <alignment horizontal="left" vertical="center" wrapText="1"/>
    </xf>
    <xf numFmtId="0" fontId="47" fillId="0" borderId="11" xfId="0" applyFont="1" applyFill="1" applyBorder="1" applyAlignment="1" applyProtection="1">
      <alignment vertical="center"/>
    </xf>
    <xf numFmtId="0" fontId="47" fillId="0" borderId="22" xfId="0" applyFont="1" applyFill="1" applyBorder="1" applyAlignment="1" applyProtection="1">
      <alignment horizontal="left" vertical="center"/>
    </xf>
    <xf numFmtId="0" fontId="47" fillId="25" borderId="11" xfId="0" applyFont="1" applyFill="1" applyBorder="1" applyAlignment="1" applyProtection="1">
      <alignment vertical="center"/>
    </xf>
    <xf numFmtId="0" fontId="47" fillId="31" borderId="11" xfId="0" quotePrefix="1" applyFont="1" applyFill="1" applyBorder="1" applyAlignment="1" applyProtection="1">
      <alignment horizontal="left" vertical="center" indent="4"/>
    </xf>
    <xf numFmtId="3" fontId="50" fillId="31" borderId="31" xfId="26" applyNumberFormat="1" applyFont="1" applyFill="1" applyBorder="1" applyAlignment="1" applyProtection="1">
      <alignment vertical="center"/>
    </xf>
    <xf numFmtId="10" fontId="47" fillId="31" borderId="60" xfId="26" applyNumberFormat="1" applyFont="1" applyFill="1" applyBorder="1" applyAlignment="1" applyProtection="1">
      <alignment vertical="center"/>
    </xf>
    <xf numFmtId="16" fontId="56" fillId="39" borderId="22" xfId="0" applyNumberFormat="1" applyFont="1" applyFill="1" applyBorder="1" applyAlignment="1" applyProtection="1">
      <alignment horizontal="left" vertical="center"/>
    </xf>
    <xf numFmtId="0" fontId="56" fillId="39" borderId="11" xfId="0" applyFont="1" applyFill="1" applyBorder="1" applyAlignment="1" applyProtection="1">
      <alignment vertical="center"/>
    </xf>
    <xf numFmtId="3" fontId="56" fillId="39" borderId="31" xfId="26" applyNumberFormat="1" applyFont="1" applyFill="1" applyBorder="1" applyAlignment="1" applyProtection="1">
      <alignment vertical="center"/>
    </xf>
    <xf numFmtId="3" fontId="56" fillId="39" borderId="22" xfId="26" applyNumberFormat="1" applyFont="1" applyFill="1" applyBorder="1" applyAlignment="1" applyProtection="1">
      <alignment vertical="center"/>
    </xf>
    <xf numFmtId="3" fontId="56" fillId="39" borderId="75" xfId="26" applyNumberFormat="1" applyFont="1" applyFill="1" applyBorder="1" applyAlignment="1" applyProtection="1">
      <alignment vertical="center"/>
    </xf>
    <xf numFmtId="3" fontId="56" fillId="39" borderId="11" xfId="26" applyNumberFormat="1" applyFont="1" applyFill="1" applyBorder="1" applyAlignment="1" applyProtection="1">
      <alignment vertical="center"/>
    </xf>
    <xf numFmtId="10" fontId="56" fillId="39" borderId="60" xfId="26" applyNumberFormat="1" applyFont="1" applyFill="1" applyBorder="1" applyAlignment="1" applyProtection="1">
      <alignment vertical="center"/>
    </xf>
    <xf numFmtId="0" fontId="56" fillId="39" borderId="78" xfId="0" applyFont="1" applyFill="1" applyBorder="1" applyAlignment="1" applyProtection="1">
      <alignment horizontal="left" vertical="center"/>
    </xf>
    <xf numFmtId="0" fontId="56" fillId="39" borderId="57" xfId="0" applyFont="1" applyFill="1" applyBorder="1" applyAlignment="1" applyProtection="1">
      <alignment vertical="center"/>
    </xf>
    <xf numFmtId="3" fontId="56" fillId="39" borderId="32" xfId="26" applyNumberFormat="1" applyFont="1" applyFill="1" applyBorder="1" applyAlignment="1" applyProtection="1">
      <alignment vertical="center"/>
    </xf>
    <xf numFmtId="10" fontId="56" fillId="39" borderId="58" xfId="26" applyNumberFormat="1" applyFont="1" applyFill="1" applyBorder="1" applyAlignment="1" applyProtection="1">
      <alignment vertical="center"/>
    </xf>
    <xf numFmtId="3" fontId="49" fillId="32" borderId="27" xfId="0" applyNumberFormat="1" applyFont="1" applyFill="1" applyBorder="1" applyAlignment="1" applyProtection="1">
      <alignment vertical="center"/>
    </xf>
    <xf numFmtId="3" fontId="49" fillId="32" borderId="71" xfId="0" applyNumberFormat="1" applyFont="1" applyFill="1" applyBorder="1" applyAlignment="1" applyProtection="1">
      <alignment vertical="center"/>
    </xf>
    <xf numFmtId="3" fontId="49" fillId="32" borderId="77" xfId="0" applyNumberFormat="1" applyFont="1" applyFill="1" applyBorder="1" applyAlignment="1" applyProtection="1">
      <alignment vertical="center"/>
    </xf>
    <xf numFmtId="3" fontId="49" fillId="32" borderId="50" xfId="0" applyNumberFormat="1" applyFont="1" applyFill="1" applyBorder="1" applyAlignment="1" applyProtection="1">
      <alignment vertical="center"/>
    </xf>
    <xf numFmtId="10" fontId="49" fillId="32" borderId="101" xfId="0" applyNumberFormat="1" applyFont="1" applyFill="1" applyBorder="1" applyAlignment="1" applyProtection="1">
      <alignment vertical="center"/>
    </xf>
    <xf numFmtId="0" fontId="47" fillId="0" borderId="0" xfId="0" applyFont="1" applyAlignment="1" applyProtection="1">
      <alignment horizontal="left"/>
    </xf>
    <xf numFmtId="0" fontId="47" fillId="0" borderId="0" xfId="0" applyFont="1" applyProtection="1"/>
    <xf numFmtId="0" fontId="50" fillId="0" borderId="0" xfId="0" applyFont="1" applyProtection="1"/>
    <xf numFmtId="10" fontId="47" fillId="0" borderId="0" xfId="0" applyNumberFormat="1" applyFont="1" applyProtection="1"/>
    <xf numFmtId="0" fontId="28" fillId="28" borderId="0" xfId="0" applyFont="1" applyFill="1" applyBorder="1" applyProtection="1"/>
    <xf numFmtId="49" fontId="50" fillId="32" borderId="35" xfId="0" applyNumberFormat="1" applyFont="1" applyFill="1" applyBorder="1" applyAlignment="1" applyProtection="1">
      <alignment horizontal="center" vertical="center"/>
    </xf>
    <xf numFmtId="49" fontId="50" fillId="32" borderId="41" xfId="0" applyNumberFormat="1" applyFont="1" applyFill="1" applyBorder="1" applyAlignment="1" applyProtection="1">
      <alignment horizontal="center" vertical="center"/>
    </xf>
    <xf numFmtId="166" fontId="50" fillId="32" borderId="33" xfId="26" applyNumberFormat="1" applyFont="1" applyFill="1" applyBorder="1" applyAlignment="1" applyProtection="1">
      <alignment horizontal="center" vertical="center" wrapText="1"/>
    </xf>
    <xf numFmtId="3" fontId="50" fillId="32" borderId="33" xfId="26" applyNumberFormat="1" applyFont="1" applyFill="1" applyBorder="1" applyAlignment="1" applyProtection="1">
      <alignment horizontal="center" vertical="center" wrapText="1"/>
    </xf>
    <xf numFmtId="0" fontId="50" fillId="32" borderId="33" xfId="0" applyFont="1" applyFill="1" applyBorder="1" applyAlignment="1" applyProtection="1">
      <alignment horizontal="center" vertical="center" wrapText="1"/>
    </xf>
    <xf numFmtId="166" fontId="50" fillId="32" borderId="87" xfId="26" applyNumberFormat="1" applyFont="1" applyFill="1" applyBorder="1" applyAlignment="1" applyProtection="1">
      <alignment horizontal="center" vertical="center" wrapText="1"/>
    </xf>
    <xf numFmtId="0" fontId="28" fillId="0" borderId="83" xfId="0" applyFont="1" applyFill="1" applyBorder="1" applyProtection="1"/>
    <xf numFmtId="0" fontId="28" fillId="0" borderId="46" xfId="0" applyFont="1" applyFill="1" applyBorder="1" applyProtection="1"/>
    <xf numFmtId="3" fontId="28" fillId="34" borderId="34" xfId="48" applyNumberFormat="1" applyFont="1" applyFill="1" applyBorder="1" applyProtection="1"/>
    <xf numFmtId="3" fontId="28" fillId="36" borderId="37" xfId="48" applyNumberFormat="1" applyFont="1" applyFill="1" applyBorder="1" applyProtection="1"/>
    <xf numFmtId="3" fontId="28" fillId="42" borderId="45" xfId="48" applyNumberFormat="1" applyFont="1" applyFill="1" applyBorder="1" applyProtection="1"/>
    <xf numFmtId="10" fontId="28" fillId="0" borderId="61" xfId="48" applyNumberFormat="1" applyFont="1" applyFill="1" applyBorder="1" applyAlignment="1" applyProtection="1">
      <alignment horizontal="right"/>
    </xf>
    <xf numFmtId="3" fontId="47" fillId="0" borderId="61" xfId="0" applyNumberFormat="1" applyFont="1" applyFill="1" applyBorder="1" applyAlignment="1" applyProtection="1">
      <alignment wrapText="1"/>
    </xf>
    <xf numFmtId="0" fontId="28" fillId="0" borderId="22" xfId="0" applyFont="1" applyFill="1" applyBorder="1" applyProtection="1"/>
    <xf numFmtId="0" fontId="28" fillId="0" borderId="12" xfId="0" applyFont="1" applyFill="1" applyBorder="1" applyProtection="1"/>
    <xf numFmtId="3" fontId="28" fillId="34" borderId="31" xfId="48" applyNumberFormat="1" applyFont="1" applyFill="1" applyBorder="1" applyProtection="1"/>
    <xf numFmtId="3" fontId="28" fillId="36" borderId="13" xfId="48" applyNumberFormat="1" applyFont="1" applyFill="1" applyBorder="1" applyProtection="1"/>
    <xf numFmtId="3" fontId="28" fillId="42" borderId="11" xfId="48" applyNumberFormat="1" applyFont="1" applyFill="1" applyBorder="1" applyProtection="1"/>
    <xf numFmtId="10" fontId="28" fillId="0" borderId="60" xfId="48" applyNumberFormat="1" applyFont="1" applyFill="1" applyBorder="1" applyAlignment="1" applyProtection="1">
      <alignment horizontal="right"/>
    </xf>
    <xf numFmtId="3" fontId="28" fillId="0" borderId="22" xfId="26" applyNumberFormat="1" applyFont="1" applyFill="1" applyBorder="1" applyProtection="1"/>
    <xf numFmtId="3" fontId="28" fillId="0" borderId="10" xfId="26" applyNumberFormat="1" applyFont="1" applyFill="1" applyBorder="1" applyProtection="1"/>
    <xf numFmtId="3" fontId="28" fillId="0" borderId="10" xfId="26" applyNumberFormat="1" applyFont="1" applyFill="1" applyBorder="1" applyAlignment="1" applyProtection="1"/>
    <xf numFmtId="3" fontId="28" fillId="0" borderId="11" xfId="0" applyNumberFormat="1" applyFont="1" applyFill="1" applyBorder="1" applyProtection="1"/>
    <xf numFmtId="3" fontId="28" fillId="0" borderId="10" xfId="0" applyNumberFormat="1" applyFont="1" applyFill="1" applyBorder="1" applyProtection="1"/>
    <xf numFmtId="3" fontId="28" fillId="0" borderId="11" xfId="26" applyNumberFormat="1" applyFont="1" applyFill="1" applyBorder="1" applyProtection="1"/>
    <xf numFmtId="3" fontId="47" fillId="0" borderId="60" xfId="0" applyNumberFormat="1" applyFont="1" applyFill="1" applyBorder="1" applyProtection="1"/>
    <xf numFmtId="3" fontId="47" fillId="0" borderId="60" xfId="0" applyNumberFormat="1" applyFont="1" applyFill="1" applyBorder="1" applyAlignment="1" applyProtection="1">
      <alignment vertical="center"/>
    </xf>
    <xf numFmtId="0" fontId="28" fillId="28" borderId="0" xfId="0" applyFont="1" applyFill="1" applyBorder="1" applyAlignment="1" applyProtection="1">
      <alignment vertical="center"/>
    </xf>
    <xf numFmtId="0" fontId="28" fillId="0" borderId="22" xfId="0" applyFont="1" applyFill="1" applyBorder="1" applyAlignment="1" applyProtection="1">
      <alignment vertical="center" wrapText="1"/>
    </xf>
    <xf numFmtId="3" fontId="28" fillId="34" borderId="31" xfId="48" applyNumberFormat="1" applyFont="1" applyFill="1" applyBorder="1" applyAlignment="1" applyProtection="1">
      <alignment vertical="center" wrapText="1"/>
    </xf>
    <xf numFmtId="3" fontId="28" fillId="36" borderId="13" xfId="48" applyNumberFormat="1" applyFont="1" applyFill="1" applyBorder="1" applyAlignment="1" applyProtection="1">
      <alignment vertical="center" wrapText="1"/>
    </xf>
    <xf numFmtId="3" fontId="28" fillId="42" borderId="11" xfId="48" applyNumberFormat="1" applyFont="1" applyFill="1" applyBorder="1" applyAlignment="1" applyProtection="1">
      <alignment vertical="center" wrapText="1"/>
    </xf>
    <xf numFmtId="10" fontId="28" fillId="0" borderId="60" xfId="48" applyNumberFormat="1" applyFont="1" applyFill="1" applyBorder="1" applyAlignment="1" applyProtection="1">
      <alignment horizontal="right" vertical="center" wrapText="1"/>
    </xf>
    <xf numFmtId="3" fontId="47" fillId="0" borderId="60" xfId="0" applyNumberFormat="1" applyFont="1" applyFill="1" applyBorder="1" applyAlignment="1" applyProtection="1">
      <alignment vertical="center" wrapText="1"/>
    </xf>
    <xf numFmtId="0" fontId="28" fillId="28" borderId="0" xfId="0" applyFont="1" applyFill="1" applyBorder="1" applyAlignment="1" applyProtection="1">
      <alignment vertical="center" wrapText="1"/>
    </xf>
    <xf numFmtId="0" fontId="69" fillId="44" borderId="22" xfId="0" applyFont="1" applyFill="1" applyBorder="1" applyProtection="1"/>
    <xf numFmtId="0" fontId="69" fillId="44" borderId="12" xfId="0" applyFont="1" applyFill="1" applyBorder="1" applyAlignment="1" applyProtection="1">
      <alignment horizontal="left" indent="1"/>
    </xf>
    <xf numFmtId="3" fontId="69" fillId="44" borderId="31" xfId="48" applyNumberFormat="1" applyFont="1" applyFill="1" applyBorder="1" applyProtection="1"/>
    <xf numFmtId="3" fontId="69" fillId="44" borderId="13" xfId="48" applyNumberFormat="1" applyFont="1" applyFill="1" applyBorder="1" applyProtection="1"/>
    <xf numFmtId="3" fontId="69" fillId="44" borderId="75" xfId="48" applyNumberFormat="1" applyFont="1" applyFill="1" applyBorder="1" applyProtection="1"/>
    <xf numFmtId="3" fontId="69" fillId="44" borderId="148" xfId="48" applyNumberFormat="1" applyFont="1" applyFill="1" applyBorder="1" applyProtection="1"/>
    <xf numFmtId="3" fontId="69" fillId="44" borderId="11" xfId="48" applyNumberFormat="1" applyFont="1" applyFill="1" applyBorder="1" applyProtection="1"/>
    <xf numFmtId="10" fontId="69" fillId="44" borderId="60" xfId="48" applyNumberFormat="1" applyFont="1" applyFill="1" applyBorder="1" applyAlignment="1" applyProtection="1">
      <alignment horizontal="right"/>
    </xf>
    <xf numFmtId="3" fontId="69" fillId="44" borderId="22" xfId="48" applyNumberFormat="1" applyFont="1" applyFill="1" applyBorder="1" applyProtection="1"/>
    <xf numFmtId="3" fontId="69" fillId="44" borderId="10" xfId="48" applyNumberFormat="1" applyFont="1" applyFill="1" applyBorder="1" applyProtection="1"/>
    <xf numFmtId="3" fontId="69" fillId="44" borderId="10" xfId="48" applyNumberFormat="1" applyFont="1" applyFill="1" applyBorder="1" applyAlignment="1" applyProtection="1"/>
    <xf numFmtId="3" fontId="69" fillId="44" borderId="11" xfId="0" applyNumberFormat="1" applyFont="1" applyFill="1" applyBorder="1" applyProtection="1"/>
    <xf numFmtId="3" fontId="69" fillId="44" borderId="10" xfId="0" applyNumberFormat="1" applyFont="1" applyFill="1" applyBorder="1" applyProtection="1"/>
    <xf numFmtId="3" fontId="68" fillId="44" borderId="60" xfId="0" applyNumberFormat="1" applyFont="1" applyFill="1" applyBorder="1" applyProtection="1"/>
    <xf numFmtId="0" fontId="28" fillId="0" borderId="12" xfId="0" applyFont="1" applyFill="1" applyBorder="1" applyAlignment="1" applyProtection="1">
      <alignment vertical="center" wrapText="1"/>
    </xf>
    <xf numFmtId="16" fontId="28" fillId="0" borderId="22" xfId="0" applyNumberFormat="1" applyFont="1" applyFill="1" applyBorder="1" applyProtection="1"/>
    <xf numFmtId="3" fontId="28" fillId="34" borderId="31" xfId="26" applyNumberFormat="1" applyFont="1" applyFill="1" applyBorder="1" applyProtection="1"/>
    <xf numFmtId="3" fontId="28" fillId="36" borderId="13" xfId="26" applyNumberFormat="1" applyFont="1" applyFill="1" applyBorder="1" applyProtection="1"/>
    <xf numFmtId="3" fontId="28" fillId="42" borderId="75" xfId="26" applyNumberFormat="1" applyFont="1" applyFill="1" applyBorder="1" applyProtection="1"/>
    <xf numFmtId="3" fontId="28" fillId="36" borderId="148" xfId="26" applyNumberFormat="1" applyFont="1" applyFill="1" applyBorder="1" applyProtection="1"/>
    <xf numFmtId="3" fontId="28" fillId="42" borderId="11" xfId="26" applyNumberFormat="1" applyFont="1" applyFill="1" applyBorder="1" applyProtection="1"/>
    <xf numFmtId="10" fontId="28" fillId="0" borderId="60" xfId="26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 applyProtection="1">
      <alignment wrapText="1"/>
    </xf>
    <xf numFmtId="3" fontId="50" fillId="32" borderId="27" xfId="26" applyNumberFormat="1" applyFont="1" applyFill="1" applyBorder="1" applyProtection="1"/>
    <xf numFmtId="3" fontId="50" fillId="32" borderId="96" xfId="26" applyNumberFormat="1" applyFont="1" applyFill="1" applyBorder="1" applyProtection="1"/>
    <xf numFmtId="3" fontId="50" fillId="32" borderId="77" xfId="26" applyNumberFormat="1" applyFont="1" applyFill="1" applyBorder="1" applyProtection="1"/>
    <xf numFmtId="3" fontId="50" fillId="32" borderId="151" xfId="26" applyNumberFormat="1" applyFont="1" applyFill="1" applyBorder="1" applyProtection="1"/>
    <xf numFmtId="3" fontId="50" fillId="32" borderId="50" xfId="26" applyNumberFormat="1" applyFont="1" applyFill="1" applyBorder="1" applyProtection="1"/>
    <xf numFmtId="10" fontId="50" fillId="32" borderId="101" xfId="26" applyNumberFormat="1" applyFont="1" applyFill="1" applyBorder="1" applyProtection="1"/>
    <xf numFmtId="3" fontId="50" fillId="32" borderId="71" xfId="26" applyNumberFormat="1" applyFont="1" applyFill="1" applyBorder="1" applyProtection="1"/>
    <xf numFmtId="3" fontId="50" fillId="32" borderId="20" xfId="26" applyNumberFormat="1" applyFont="1" applyFill="1" applyBorder="1" applyProtection="1"/>
    <xf numFmtId="3" fontId="50" fillId="32" borderId="20" xfId="26" applyNumberFormat="1" applyFont="1" applyFill="1" applyBorder="1" applyAlignment="1" applyProtection="1"/>
    <xf numFmtId="3" fontId="50" fillId="32" borderId="20" xfId="0" applyNumberFormat="1" applyFont="1" applyFill="1" applyBorder="1" applyProtection="1"/>
    <xf numFmtId="3" fontId="50" fillId="32" borderId="153" xfId="26" applyNumberFormat="1" applyFont="1" applyFill="1" applyBorder="1" applyProtection="1"/>
    <xf numFmtId="3" fontId="50" fillId="32" borderId="101" xfId="0" applyNumberFormat="1" applyFont="1" applyFill="1" applyBorder="1" applyProtection="1"/>
    <xf numFmtId="3" fontId="28" fillId="34" borderId="34" xfId="26" applyNumberFormat="1" applyFont="1" applyFill="1" applyBorder="1" applyProtection="1"/>
    <xf numFmtId="3" fontId="28" fillId="36" borderId="37" xfId="26" applyNumberFormat="1" applyFont="1" applyFill="1" applyBorder="1" applyProtection="1"/>
    <xf numFmtId="3" fontId="28" fillId="42" borderId="84" xfId="26" applyNumberFormat="1" applyFont="1" applyFill="1" applyBorder="1" applyProtection="1"/>
    <xf numFmtId="3" fontId="28" fillId="36" borderId="149" xfId="26" applyNumberFormat="1" applyFont="1" applyFill="1" applyBorder="1" applyProtection="1"/>
    <xf numFmtId="3" fontId="28" fillId="42" borderId="45" xfId="26" applyNumberFormat="1" applyFont="1" applyFill="1" applyBorder="1" applyProtection="1"/>
    <xf numFmtId="10" fontId="28" fillId="0" borderId="61" xfId="26" applyNumberFormat="1" applyFont="1" applyFill="1" applyBorder="1" applyAlignment="1" applyProtection="1">
      <alignment horizontal="right"/>
    </xf>
    <xf numFmtId="3" fontId="47" fillId="0" borderId="61" xfId="0" applyNumberFormat="1" applyFont="1" applyFill="1" applyBorder="1" applyProtection="1"/>
    <xf numFmtId="0" fontId="28" fillId="0" borderId="78" xfId="0" applyFont="1" applyFill="1" applyBorder="1" applyProtection="1"/>
    <xf numFmtId="0" fontId="28" fillId="0" borderId="36" xfId="0" applyFont="1" applyFill="1" applyBorder="1" applyProtection="1"/>
    <xf numFmtId="3" fontId="28" fillId="34" borderId="32" xfId="26" applyNumberFormat="1" applyFont="1" applyFill="1" applyBorder="1" applyProtection="1"/>
    <xf numFmtId="3" fontId="28" fillId="42" borderId="57" xfId="26" applyNumberFormat="1" applyFont="1" applyFill="1" applyBorder="1" applyProtection="1"/>
    <xf numFmtId="10" fontId="28" fillId="0" borderId="58" xfId="26" applyNumberFormat="1" applyFont="1" applyFill="1" applyBorder="1" applyAlignment="1" applyProtection="1">
      <alignment horizontal="right"/>
    </xf>
    <xf numFmtId="3" fontId="71" fillId="32" borderId="27" xfId="26" applyNumberFormat="1" applyFont="1" applyFill="1" applyBorder="1" applyProtection="1"/>
    <xf numFmtId="3" fontId="71" fillId="32" borderId="48" xfId="26" applyNumberFormat="1" applyFont="1" applyFill="1" applyBorder="1" applyProtection="1"/>
    <xf numFmtId="3" fontId="71" fillId="32" borderId="77" xfId="26" applyNumberFormat="1" applyFont="1" applyFill="1" applyBorder="1" applyProtection="1"/>
    <xf numFmtId="3" fontId="71" fillId="32" borderId="151" xfId="26" applyNumberFormat="1" applyFont="1" applyFill="1" applyBorder="1" applyProtection="1"/>
    <xf numFmtId="3" fontId="71" fillId="32" borderId="155" xfId="26" applyNumberFormat="1" applyFont="1" applyFill="1" applyBorder="1" applyProtection="1"/>
    <xf numFmtId="3" fontId="71" fillId="32" borderId="153" xfId="26" applyNumberFormat="1" applyFont="1" applyFill="1" applyBorder="1" applyProtection="1"/>
    <xf numFmtId="10" fontId="71" fillId="32" borderId="101" xfId="26" applyNumberFormat="1" applyFont="1" applyFill="1" applyBorder="1" applyProtection="1"/>
    <xf numFmtId="3" fontId="71" fillId="32" borderId="71" xfId="26" applyNumberFormat="1" applyFont="1" applyFill="1" applyBorder="1" applyProtection="1"/>
    <xf numFmtId="3" fontId="71" fillId="32" borderId="20" xfId="26" applyNumberFormat="1" applyFont="1" applyFill="1" applyBorder="1" applyProtection="1"/>
    <xf numFmtId="3" fontId="71" fillId="32" borderId="20" xfId="26" applyNumberFormat="1" applyFont="1" applyFill="1" applyBorder="1" applyAlignment="1" applyProtection="1"/>
    <xf numFmtId="3" fontId="71" fillId="32" borderId="20" xfId="0" applyNumberFormat="1" applyFont="1" applyFill="1" applyBorder="1" applyProtection="1"/>
    <xf numFmtId="3" fontId="71" fillId="32" borderId="101" xfId="0" applyNumberFormat="1" applyFont="1" applyFill="1" applyBorder="1" applyProtection="1"/>
    <xf numFmtId="0" fontId="72" fillId="28" borderId="0" xfId="0" applyFont="1" applyFill="1" applyBorder="1" applyProtection="1"/>
    <xf numFmtId="3" fontId="28" fillId="0" borderId="22" xfId="26" applyNumberFormat="1" applyFont="1" applyFill="1" applyBorder="1" applyAlignment="1" applyProtection="1">
      <alignment horizontal="center"/>
    </xf>
    <xf numFmtId="3" fontId="28" fillId="0" borderId="10" xfId="26" applyNumberFormat="1" applyFont="1" applyFill="1" applyBorder="1" applyAlignment="1" applyProtection="1">
      <alignment horizontal="center"/>
    </xf>
    <xf numFmtId="3" fontId="28" fillId="0" borderId="11" xfId="26" applyNumberFormat="1" applyFont="1" applyFill="1" applyBorder="1" applyAlignment="1" applyProtection="1">
      <alignment horizontal="center"/>
    </xf>
    <xf numFmtId="3" fontId="28" fillId="0" borderId="22" xfId="0" applyNumberFormat="1" applyFont="1" applyFill="1" applyBorder="1" applyProtection="1"/>
    <xf numFmtId="3" fontId="28" fillId="0" borderId="10" xfId="0" applyNumberFormat="1" applyFont="1" applyFill="1" applyBorder="1" applyAlignment="1" applyProtection="1"/>
    <xf numFmtId="0" fontId="28" fillId="0" borderId="12" xfId="0" applyFont="1" applyFill="1" applyBorder="1" applyAlignment="1" applyProtection="1">
      <alignment horizontal="left" indent="2"/>
    </xf>
    <xf numFmtId="3" fontId="28" fillId="34" borderId="31" xfId="26" applyNumberFormat="1" applyFont="1" applyFill="1" applyBorder="1" applyAlignment="1" applyProtection="1">
      <alignment vertical="center" wrapText="1"/>
    </xf>
    <xf numFmtId="3" fontId="28" fillId="36" borderId="13" xfId="26" applyNumberFormat="1" applyFont="1" applyFill="1" applyBorder="1" applyAlignment="1" applyProtection="1">
      <alignment vertical="center" wrapText="1"/>
    </xf>
    <xf numFmtId="3" fontId="28" fillId="42" borderId="11" xfId="26" applyNumberFormat="1" applyFont="1" applyFill="1" applyBorder="1" applyAlignment="1" applyProtection="1">
      <alignment vertical="center" wrapText="1"/>
    </xf>
    <xf numFmtId="10" fontId="28" fillId="0" borderId="60" xfId="26" applyNumberFormat="1" applyFont="1" applyFill="1" applyBorder="1" applyAlignment="1" applyProtection="1">
      <alignment horizontal="right" vertical="center" wrapText="1"/>
    </xf>
    <xf numFmtId="3" fontId="50" fillId="32" borderId="71" xfId="0" applyNumberFormat="1" applyFont="1" applyFill="1" applyBorder="1" applyProtection="1"/>
    <xf numFmtId="3" fontId="50" fillId="32" borderId="20" xfId="0" applyNumberFormat="1" applyFont="1" applyFill="1" applyBorder="1" applyAlignment="1" applyProtection="1"/>
    <xf numFmtId="3" fontId="50" fillId="32" borderId="153" xfId="0" applyNumberFormat="1" applyFont="1" applyFill="1" applyBorder="1" applyProtection="1"/>
    <xf numFmtId="3" fontId="71" fillId="32" borderId="49" xfId="26" applyNumberFormat="1" applyFont="1" applyFill="1" applyBorder="1" applyProtection="1"/>
    <xf numFmtId="3" fontId="71" fillId="32" borderId="130" xfId="26" applyNumberFormat="1" applyFont="1" applyFill="1" applyBorder="1" applyProtection="1"/>
    <xf numFmtId="3" fontId="71" fillId="32" borderId="71" xfId="0" applyNumberFormat="1" applyFont="1" applyFill="1" applyBorder="1" applyProtection="1"/>
    <xf numFmtId="3" fontId="71" fillId="32" borderId="20" xfId="0" applyNumberFormat="1" applyFont="1" applyFill="1" applyBorder="1" applyAlignment="1" applyProtection="1"/>
    <xf numFmtId="3" fontId="71" fillId="32" borderId="153" xfId="0" applyNumberFormat="1" applyFont="1" applyFill="1" applyBorder="1" applyProtection="1"/>
    <xf numFmtId="0" fontId="28" fillId="0" borderId="0" xfId="0" applyFont="1" applyProtection="1"/>
    <xf numFmtId="164" fontId="28" fillId="0" borderId="0" xfId="0" applyNumberFormat="1" applyFont="1" applyProtection="1"/>
    <xf numFmtId="10" fontId="28" fillId="0" borderId="0" xfId="0" applyNumberFormat="1" applyFont="1" applyBorder="1" applyAlignment="1" applyProtection="1">
      <alignment horizontal="right"/>
    </xf>
    <xf numFmtId="0" fontId="28" fillId="0" borderId="0" xfId="0" applyFont="1" applyBorder="1" applyProtection="1"/>
    <xf numFmtId="3" fontId="28" fillId="0" borderId="0" xfId="0" applyNumberFormat="1" applyFont="1" applyBorder="1" applyAlignment="1" applyProtection="1"/>
    <xf numFmtId="0" fontId="47" fillId="28" borderId="0" xfId="0" applyFont="1" applyFill="1" applyBorder="1" applyProtection="1"/>
    <xf numFmtId="171" fontId="56" fillId="32" borderId="21" xfId="48" applyNumberFormat="1" applyFont="1" applyFill="1" applyBorder="1" applyAlignment="1" applyProtection="1"/>
    <xf numFmtId="171" fontId="56" fillId="0" borderId="0" xfId="48" applyNumberFormat="1" applyFont="1" applyFill="1" applyBorder="1" applyAlignment="1" applyProtection="1"/>
    <xf numFmtId="171" fontId="56" fillId="0" borderId="0" xfId="48" applyNumberFormat="1" applyFont="1" applyFill="1" applyBorder="1" applyAlignment="1" applyProtection="1">
      <alignment horizontal="center"/>
    </xf>
    <xf numFmtId="10" fontId="56" fillId="0" borderId="0" xfId="0" applyNumberFormat="1" applyFont="1" applyBorder="1" applyProtection="1"/>
    <xf numFmtId="0" fontId="56" fillId="0" borderId="0" xfId="0" applyFont="1" applyBorder="1" applyProtection="1"/>
    <xf numFmtId="3" fontId="56" fillId="0" borderId="0" xfId="0" applyNumberFormat="1" applyFont="1" applyBorder="1" applyAlignment="1" applyProtection="1"/>
    <xf numFmtId="0" fontId="56" fillId="28" borderId="0" xfId="0" applyFont="1" applyFill="1" applyBorder="1" applyProtection="1"/>
    <xf numFmtId="10" fontId="28" fillId="0" borderId="0" xfId="0" applyNumberFormat="1" applyFont="1" applyBorder="1" applyProtection="1"/>
    <xf numFmtId="3" fontId="28" fillId="0" borderId="0" xfId="0" applyNumberFormat="1" applyFont="1" applyFill="1" applyBorder="1" applyProtection="1"/>
    <xf numFmtId="10" fontId="59" fillId="0" borderId="65" xfId="26" applyNumberFormat="1" applyFont="1" applyFill="1" applyBorder="1" applyAlignment="1">
      <alignment horizontal="center"/>
    </xf>
    <xf numFmtId="10" fontId="59" fillId="0" borderId="84" xfId="26" applyNumberFormat="1" applyFont="1" applyFill="1" applyBorder="1" applyAlignment="1">
      <alignment horizontal="center"/>
    </xf>
    <xf numFmtId="10" fontId="59" fillId="0" borderId="85" xfId="26" applyNumberFormat="1" applyFont="1" applyFill="1" applyBorder="1" applyAlignment="1">
      <alignment horizontal="center"/>
    </xf>
    <xf numFmtId="10" fontId="59" fillId="0" borderId="56" xfId="26" applyNumberFormat="1" applyFont="1" applyFill="1" applyBorder="1" applyAlignment="1">
      <alignment horizontal="center"/>
    </xf>
    <xf numFmtId="10" fontId="59" fillId="0" borderId="75" xfId="26" applyNumberFormat="1" applyFont="1" applyFill="1" applyBorder="1" applyAlignment="1">
      <alignment horizontal="center"/>
    </xf>
    <xf numFmtId="10" fontId="59" fillId="0" borderId="81" xfId="26" applyNumberFormat="1" applyFont="1" applyFill="1" applyBorder="1" applyAlignment="1">
      <alignment horizontal="center"/>
    </xf>
    <xf numFmtId="10" fontId="59" fillId="0" borderId="66" xfId="26" applyNumberFormat="1" applyFont="1" applyFill="1" applyBorder="1" applyAlignment="1">
      <alignment horizontal="center"/>
    </xf>
    <xf numFmtId="10" fontId="59" fillId="0" borderId="79" xfId="26" applyNumberFormat="1" applyFont="1" applyFill="1" applyBorder="1" applyAlignment="1">
      <alignment horizontal="center"/>
    </xf>
    <xf numFmtId="10" fontId="59" fillId="0" borderId="82" xfId="26" applyNumberFormat="1" applyFont="1" applyFill="1" applyBorder="1" applyAlignment="1">
      <alignment horizontal="center"/>
    </xf>
    <xf numFmtId="0" fontId="55" fillId="32" borderId="143" xfId="0" applyFont="1" applyFill="1" applyBorder="1" applyAlignment="1">
      <alignment horizontal="center" vertical="center"/>
    </xf>
    <xf numFmtId="0" fontId="55" fillId="32" borderId="76" xfId="0" applyFont="1" applyFill="1" applyBorder="1" applyAlignment="1">
      <alignment horizontal="center" vertical="center"/>
    </xf>
    <xf numFmtId="0" fontId="55" fillId="32" borderId="86" xfId="0" applyFont="1" applyFill="1" applyBorder="1" applyAlignment="1">
      <alignment horizontal="center" vertical="center"/>
    </xf>
    <xf numFmtId="3" fontId="56" fillId="32" borderId="71" xfId="0" applyNumberFormat="1" applyFont="1" applyFill="1" applyBorder="1" applyAlignment="1"/>
    <xf numFmtId="3" fontId="56" fillId="32" borderId="49" xfId="0" applyNumberFormat="1" applyFont="1" applyFill="1" applyBorder="1" applyAlignment="1"/>
    <xf numFmtId="3" fontId="56" fillId="32" borderId="112" xfId="0" applyNumberFormat="1" applyFont="1" applyFill="1" applyBorder="1" applyAlignment="1"/>
    <xf numFmtId="3" fontId="56" fillId="32" borderId="96" xfId="0" applyNumberFormat="1" applyFont="1" applyFill="1" applyBorder="1" applyAlignment="1"/>
    <xf numFmtId="10" fontId="56" fillId="32" borderId="128" xfId="0" applyNumberFormat="1" applyFont="1" applyFill="1" applyBorder="1"/>
    <xf numFmtId="10" fontId="56" fillId="32" borderId="77" xfId="0" applyNumberFormat="1" applyFont="1" applyFill="1" applyBorder="1"/>
    <xf numFmtId="10" fontId="56" fillId="32" borderId="49" xfId="0" applyNumberFormat="1" applyFont="1" applyFill="1" applyBorder="1"/>
    <xf numFmtId="0" fontId="73" fillId="0" borderId="0" xfId="0" applyFont="1"/>
    <xf numFmtId="3" fontId="49" fillId="34" borderId="31" xfId="27" applyNumberFormat="1" applyFont="1" applyFill="1" applyBorder="1"/>
    <xf numFmtId="3" fontId="48" fillId="36" borderId="22" xfId="27" applyNumberFormat="1" applyFont="1" applyFill="1" applyBorder="1"/>
    <xf numFmtId="3" fontId="48" fillId="36" borderId="10" xfId="27" applyNumberFormat="1" applyFont="1" applyFill="1" applyBorder="1"/>
    <xf numFmtId="3" fontId="48" fillId="36" borderId="75" xfId="27" applyNumberFormat="1" applyFont="1" applyFill="1" applyBorder="1"/>
    <xf numFmtId="3" fontId="49" fillId="39" borderId="31" xfId="27" applyNumberFormat="1" applyFont="1" applyFill="1" applyBorder="1"/>
    <xf numFmtId="3" fontId="49" fillId="39" borderId="22" xfId="27" applyNumberFormat="1" applyFont="1" applyFill="1" applyBorder="1"/>
    <xf numFmtId="3" fontId="49" fillId="39" borderId="10" xfId="27" applyNumberFormat="1" applyFont="1" applyFill="1" applyBorder="1"/>
    <xf numFmtId="3" fontId="49" fillId="39" borderId="75" xfId="27" applyNumberFormat="1" applyFont="1" applyFill="1" applyBorder="1"/>
    <xf numFmtId="3" fontId="62" fillId="40" borderId="31" xfId="27" applyNumberFormat="1" applyFont="1" applyFill="1" applyBorder="1"/>
    <xf numFmtId="3" fontId="62" fillId="40" borderId="22" xfId="27" applyNumberFormat="1" applyFont="1" applyFill="1" applyBorder="1"/>
    <xf numFmtId="3" fontId="62" fillId="40" borderId="10" xfId="27" applyNumberFormat="1" applyFont="1" applyFill="1" applyBorder="1"/>
    <xf numFmtId="3" fontId="62" fillId="40" borderId="75" xfId="27" applyNumberFormat="1" applyFont="1" applyFill="1" applyBorder="1"/>
    <xf numFmtId="3" fontId="49" fillId="39" borderId="32" xfId="27" applyNumberFormat="1" applyFont="1" applyFill="1" applyBorder="1"/>
    <xf numFmtId="3" fontId="49" fillId="39" borderId="78" xfId="27" applyNumberFormat="1" applyFont="1" applyFill="1" applyBorder="1"/>
    <xf numFmtId="3" fontId="49" fillId="39" borderId="15" xfId="27" applyNumberFormat="1" applyFont="1" applyFill="1" applyBorder="1"/>
    <xf numFmtId="3" fontId="49" fillId="39" borderId="79" xfId="27" applyNumberFormat="1" applyFont="1" applyFill="1" applyBorder="1"/>
    <xf numFmtId="3" fontId="49" fillId="32" borderId="27" xfId="26" applyNumberFormat="1" applyFont="1" applyFill="1" applyBorder="1"/>
    <xf numFmtId="3" fontId="49" fillId="32" borderId="71" xfId="26" applyNumberFormat="1" applyFont="1" applyFill="1" applyBorder="1"/>
    <xf numFmtId="3" fontId="49" fillId="32" borderId="20" xfId="26" applyNumberFormat="1" applyFont="1" applyFill="1" applyBorder="1"/>
    <xf numFmtId="3" fontId="49" fillId="32" borderId="77" xfId="26" applyNumberFormat="1" applyFont="1" applyFill="1" applyBorder="1"/>
    <xf numFmtId="3" fontId="49" fillId="34" borderId="34" xfId="27" applyNumberFormat="1" applyFont="1" applyFill="1" applyBorder="1"/>
    <xf numFmtId="3" fontId="48" fillId="36" borderId="83" xfId="27" applyNumberFormat="1" applyFont="1" applyFill="1" applyBorder="1"/>
    <xf numFmtId="3" fontId="48" fillId="36" borderId="14" xfId="27" applyNumberFormat="1" applyFont="1" applyFill="1" applyBorder="1"/>
    <xf numFmtId="3" fontId="48" fillId="36" borderId="84" xfId="27" applyNumberFormat="1" applyFont="1" applyFill="1" applyBorder="1"/>
    <xf numFmtId="3" fontId="49" fillId="34" borderId="32" xfId="27" applyNumberFormat="1" applyFont="1" applyFill="1" applyBorder="1"/>
    <xf numFmtId="3" fontId="48" fillId="36" borderId="78" xfId="27" applyNumberFormat="1" applyFont="1" applyFill="1" applyBorder="1"/>
    <xf numFmtId="3" fontId="48" fillId="36" borderId="15" xfId="27" applyNumberFormat="1" applyFont="1" applyFill="1" applyBorder="1"/>
    <xf numFmtId="3" fontId="48" fillId="36" borderId="79" xfId="27" applyNumberFormat="1" applyFont="1" applyFill="1" applyBorder="1"/>
    <xf numFmtId="3" fontId="49" fillId="32" borderId="27" xfId="27" applyNumberFormat="1" applyFont="1" applyFill="1" applyBorder="1"/>
    <xf numFmtId="3" fontId="49" fillId="32" borderId="71" xfId="27" applyNumberFormat="1" applyFont="1" applyFill="1" applyBorder="1"/>
    <xf numFmtId="3" fontId="49" fillId="32" borderId="20" xfId="27" applyNumberFormat="1" applyFont="1" applyFill="1" applyBorder="1"/>
    <xf numFmtId="3" fontId="49" fillId="32" borderId="77" xfId="27" applyNumberFormat="1" applyFont="1" applyFill="1" applyBorder="1"/>
    <xf numFmtId="3" fontId="48" fillId="36" borderId="55" xfId="27" applyNumberFormat="1" applyFont="1" applyFill="1" applyBorder="1"/>
    <xf numFmtId="3" fontId="48" fillId="36" borderId="26" xfId="27" applyNumberFormat="1" applyFont="1" applyFill="1" applyBorder="1"/>
    <xf numFmtId="3" fontId="48" fillId="36" borderId="76" xfId="27" applyNumberFormat="1" applyFont="1" applyFill="1" applyBorder="1"/>
    <xf numFmtId="3" fontId="60" fillId="32" borderId="27" xfId="26" applyNumberFormat="1" applyFont="1" applyFill="1" applyBorder="1"/>
    <xf numFmtId="3" fontId="60" fillId="32" borderId="71" xfId="26" applyNumberFormat="1" applyFont="1" applyFill="1" applyBorder="1"/>
    <xf numFmtId="3" fontId="60" fillId="32" borderId="20" xfId="26" applyNumberFormat="1" applyFont="1" applyFill="1" applyBorder="1"/>
    <xf numFmtId="3" fontId="60" fillId="32" borderId="77" xfId="26" applyNumberFormat="1" applyFont="1" applyFill="1" applyBorder="1"/>
    <xf numFmtId="3" fontId="49" fillId="36" borderId="22" xfId="27" applyNumberFormat="1" applyFont="1" applyFill="1" applyBorder="1"/>
    <xf numFmtId="3" fontId="49" fillId="36" borderId="10" xfId="27" applyNumberFormat="1" applyFont="1" applyFill="1" applyBorder="1"/>
    <xf numFmtId="3" fontId="49" fillId="34" borderId="31" xfId="26" applyNumberFormat="1" applyFont="1" applyFill="1" applyBorder="1"/>
    <xf numFmtId="3" fontId="49" fillId="36" borderId="22" xfId="26" applyNumberFormat="1" applyFont="1" applyFill="1" applyBorder="1"/>
    <xf numFmtId="3" fontId="49" fillId="36" borderId="10" xfId="26" applyNumberFormat="1" applyFont="1" applyFill="1" applyBorder="1"/>
    <xf numFmtId="3" fontId="6" fillId="34" borderId="27" xfId="0" applyNumberFormat="1" applyFont="1" applyFill="1" applyBorder="1" applyAlignment="1" applyProtection="1">
      <alignment horizontal="right" vertical="center" wrapText="1"/>
    </xf>
    <xf numFmtId="3" fontId="7" fillId="36" borderId="71" xfId="0" applyNumberFormat="1" applyFont="1" applyFill="1" applyBorder="1" applyAlignment="1" applyProtection="1">
      <alignment horizontal="right" vertical="center" wrapText="1"/>
    </xf>
    <xf numFmtId="3" fontId="7" fillId="36" borderId="20" xfId="0" applyNumberFormat="1" applyFont="1" applyFill="1" applyBorder="1" applyAlignment="1" applyProtection="1">
      <alignment horizontal="right" vertical="center" wrapText="1"/>
    </xf>
    <xf numFmtId="3" fontId="7" fillId="36" borderId="77" xfId="0" applyNumberFormat="1" applyFont="1" applyFill="1" applyBorder="1" applyAlignment="1" applyProtection="1">
      <alignment horizontal="right" vertical="center" wrapText="1"/>
    </xf>
    <xf numFmtId="168" fontId="27" fillId="33" borderId="54" xfId="0" applyNumberFormat="1" applyFont="1" applyFill="1" applyBorder="1" applyAlignment="1" applyProtection="1">
      <alignment horizontal="center" vertical="center" wrapText="1"/>
    </xf>
    <xf numFmtId="168" fontId="27" fillId="35" borderId="68" xfId="0" applyNumberFormat="1" applyFont="1" applyFill="1" applyBorder="1" applyAlignment="1" applyProtection="1">
      <alignment horizontal="center" vertical="center" wrapText="1"/>
    </xf>
    <xf numFmtId="168" fontId="27" fillId="35" borderId="16" xfId="0" applyNumberFormat="1" applyFont="1" applyFill="1" applyBorder="1" applyAlignment="1" applyProtection="1">
      <alignment horizontal="center" vertical="center" wrapText="1"/>
    </xf>
    <xf numFmtId="168" fontId="27" fillId="35" borderId="72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Protection="1"/>
    <xf numFmtId="167" fontId="27" fillId="33" borderId="44" xfId="0" applyNumberFormat="1" applyFont="1" applyFill="1" applyBorder="1" applyAlignment="1" applyProtection="1">
      <alignment horizontal="center" vertical="center" wrapText="1"/>
    </xf>
    <xf numFmtId="167" fontId="27" fillId="35" borderId="69" xfId="0" applyNumberFormat="1" applyFont="1" applyFill="1" applyBorder="1" applyAlignment="1" applyProtection="1">
      <alignment horizontal="center" vertical="center" wrapText="1"/>
    </xf>
    <xf numFmtId="167" fontId="27" fillId="35" borderId="23" xfId="0" applyNumberFormat="1" applyFont="1" applyFill="1" applyBorder="1" applyAlignment="1" applyProtection="1">
      <alignment horizontal="center" vertical="center" wrapText="1"/>
    </xf>
    <xf numFmtId="167" fontId="27" fillId="35" borderId="73" xfId="0" applyNumberFormat="1" applyFont="1" applyFill="1" applyBorder="1" applyAlignment="1" applyProtection="1">
      <alignment horizontal="center" vertical="center" wrapText="1"/>
    </xf>
    <xf numFmtId="167" fontId="49" fillId="33" borderId="44" xfId="0" applyNumberFormat="1" applyFont="1" applyFill="1" applyBorder="1" applyAlignment="1" applyProtection="1">
      <alignment horizontal="center" vertical="center" wrapText="1"/>
    </xf>
    <xf numFmtId="0" fontId="29" fillId="0" borderId="83" xfId="0" applyFont="1" applyFill="1" applyBorder="1" applyProtection="1"/>
    <xf numFmtId="0" fontId="29" fillId="0" borderId="46" xfId="0" applyFont="1" applyFill="1" applyBorder="1" applyAlignment="1" applyProtection="1"/>
    <xf numFmtId="3" fontId="27" fillId="34" borderId="34" xfId="27" applyNumberFormat="1" applyFont="1" applyFill="1" applyBorder="1" applyProtection="1"/>
    <xf numFmtId="3" fontId="29" fillId="36" borderId="83" xfId="27" applyNumberFormat="1" applyFont="1" applyFill="1" applyBorder="1" applyProtection="1"/>
    <xf numFmtId="3" fontId="29" fillId="36" borderId="14" xfId="27" applyNumberFormat="1" applyFont="1" applyFill="1" applyBorder="1" applyProtection="1"/>
    <xf numFmtId="3" fontId="29" fillId="36" borderId="84" xfId="27" applyNumberFormat="1" applyFont="1" applyFill="1" applyBorder="1" applyProtection="1"/>
    <xf numFmtId="10" fontId="7" fillId="38" borderId="91" xfId="0" applyNumberFormat="1" applyFont="1" applyFill="1" applyBorder="1" applyAlignment="1" applyProtection="1">
      <alignment vertical="center" wrapText="1"/>
    </xf>
    <xf numFmtId="0" fontId="49" fillId="39" borderId="37" xfId="0" applyFont="1" applyFill="1" applyBorder="1" applyProtection="1"/>
    <xf numFmtId="0" fontId="49" fillId="39" borderId="46" xfId="0" applyFont="1" applyFill="1" applyBorder="1" applyAlignment="1" applyProtection="1">
      <alignment horizontal="left" indent="2"/>
    </xf>
    <xf numFmtId="10" fontId="50" fillId="39" borderId="85" xfId="27" applyNumberFormat="1" applyFont="1" applyFill="1" applyBorder="1" applyProtection="1"/>
    <xf numFmtId="0" fontId="29" fillId="0" borderId="22" xfId="0" applyFont="1" applyFill="1" applyBorder="1" applyProtection="1"/>
    <xf numFmtId="0" fontId="29" fillId="0" borderId="12" xfId="0" applyFont="1" applyFill="1" applyBorder="1" applyAlignment="1" applyProtection="1"/>
    <xf numFmtId="3" fontId="27" fillId="34" borderId="31" xfId="27" applyNumberFormat="1" applyFont="1" applyFill="1" applyBorder="1" applyProtection="1"/>
    <xf numFmtId="3" fontId="29" fillId="36" borderId="22" xfId="27" applyNumberFormat="1" applyFont="1" applyFill="1" applyBorder="1" applyProtection="1"/>
    <xf numFmtId="3" fontId="29" fillId="36" borderId="10" xfId="27" applyNumberFormat="1" applyFont="1" applyFill="1" applyBorder="1" applyProtection="1"/>
    <xf numFmtId="3" fontId="29" fillId="36" borderId="75" xfId="27" applyNumberFormat="1" applyFont="1" applyFill="1" applyBorder="1" applyProtection="1"/>
    <xf numFmtId="0" fontId="49" fillId="39" borderId="13" xfId="0" applyFont="1" applyFill="1" applyBorder="1" applyProtection="1"/>
    <xf numFmtId="0" fontId="49" fillId="39" borderId="12" xfId="0" applyFont="1" applyFill="1" applyBorder="1" applyAlignment="1" applyProtection="1">
      <alignment horizontal="left" indent="2"/>
    </xf>
    <xf numFmtId="10" fontId="50" fillId="39" borderId="81" xfId="27" applyNumberFormat="1" applyFont="1" applyFill="1" applyBorder="1" applyProtection="1"/>
    <xf numFmtId="0" fontId="49" fillId="39" borderId="22" xfId="0" applyFont="1" applyFill="1" applyBorder="1" applyProtection="1"/>
    <xf numFmtId="3" fontId="49" fillId="39" borderId="31" xfId="27" applyNumberFormat="1" applyFont="1" applyFill="1" applyBorder="1" applyProtection="1"/>
    <xf numFmtId="3" fontId="49" fillId="39" borderId="22" xfId="27" applyNumberFormat="1" applyFont="1" applyFill="1" applyBorder="1" applyProtection="1"/>
    <xf numFmtId="3" fontId="49" fillId="39" borderId="10" xfId="27" applyNumberFormat="1" applyFont="1" applyFill="1" applyBorder="1" applyProtection="1"/>
    <xf numFmtId="3" fontId="49" fillId="39" borderId="75" xfId="27" applyNumberFormat="1" applyFont="1" applyFill="1" applyBorder="1" applyProtection="1"/>
    <xf numFmtId="10" fontId="50" fillId="39" borderId="92" xfId="27" applyNumberFormat="1" applyFont="1" applyFill="1" applyBorder="1" applyProtection="1"/>
    <xf numFmtId="0" fontId="29" fillId="0" borderId="13" xfId="0" applyFont="1" applyFill="1" applyBorder="1" applyProtection="1"/>
    <xf numFmtId="10" fontId="7" fillId="38" borderId="85" xfId="0" applyNumberFormat="1" applyFont="1" applyFill="1" applyBorder="1" applyAlignment="1" applyProtection="1">
      <alignment vertical="center" wrapText="1"/>
    </xf>
    <xf numFmtId="0" fontId="49" fillId="39" borderId="24" xfId="0" applyFont="1" applyFill="1" applyBorder="1" applyProtection="1"/>
    <xf numFmtId="0" fontId="49" fillId="39" borderId="36" xfId="0" applyFont="1" applyFill="1" applyBorder="1" applyAlignment="1" applyProtection="1">
      <alignment horizontal="left" indent="2"/>
    </xf>
    <xf numFmtId="10" fontId="50" fillId="39" borderId="82" xfId="27" applyNumberFormat="1" applyFont="1" applyFill="1" applyBorder="1" applyProtection="1"/>
    <xf numFmtId="3" fontId="27" fillId="32" borderId="32" xfId="26" applyNumberFormat="1" applyFont="1" applyFill="1" applyBorder="1" applyProtection="1"/>
    <xf numFmtId="3" fontId="27" fillId="32" borderId="78" xfId="26" applyNumberFormat="1" applyFont="1" applyFill="1" applyBorder="1" applyProtection="1"/>
    <xf numFmtId="3" fontId="27" fillId="32" borderId="15" xfId="26" applyNumberFormat="1" applyFont="1" applyFill="1" applyBorder="1" applyProtection="1"/>
    <xf numFmtId="3" fontId="27" fillId="32" borderId="79" xfId="26" applyNumberFormat="1" applyFont="1" applyFill="1" applyBorder="1" applyProtection="1"/>
    <xf numFmtId="10" fontId="50" fillId="32" borderId="93" xfId="26" applyNumberFormat="1" applyFont="1" applyFill="1" applyBorder="1" applyProtection="1"/>
    <xf numFmtId="10" fontId="50" fillId="32" borderId="49" xfId="26" applyNumberFormat="1" applyFont="1" applyFill="1" applyBorder="1" applyProtection="1"/>
    <xf numFmtId="0" fontId="65" fillId="0" borderId="0" xfId="0" applyFont="1" applyProtection="1"/>
    <xf numFmtId="3" fontId="33" fillId="32" borderId="27" xfId="26" applyNumberFormat="1" applyFont="1" applyFill="1" applyBorder="1" applyProtection="1"/>
    <xf numFmtId="3" fontId="33" fillId="32" borderId="71" xfId="26" applyNumberFormat="1" applyFont="1" applyFill="1" applyBorder="1" applyProtection="1"/>
    <xf numFmtId="3" fontId="33" fillId="32" borderId="20" xfId="26" applyNumberFormat="1" applyFont="1" applyFill="1" applyBorder="1" applyProtection="1"/>
    <xf numFmtId="3" fontId="33" fillId="32" borderId="77" xfId="26" applyNumberFormat="1" applyFont="1" applyFill="1" applyBorder="1" applyProtection="1"/>
    <xf numFmtId="10" fontId="6" fillId="32" borderId="88" xfId="26" applyNumberFormat="1" applyFont="1" applyFill="1" applyBorder="1" applyProtection="1"/>
    <xf numFmtId="10" fontId="6" fillId="32" borderId="49" xfId="26" applyNumberFormat="1" applyFont="1" applyFill="1" applyBorder="1" applyProtection="1"/>
    <xf numFmtId="0" fontId="66" fillId="0" borderId="0" xfId="0" applyFont="1" applyProtection="1"/>
    <xf numFmtId="0" fontId="64" fillId="0" borderId="0" xfId="0" applyFont="1" applyProtection="1"/>
    <xf numFmtId="10" fontId="49" fillId="39" borderId="156" xfId="27" applyNumberFormat="1" applyFont="1" applyFill="1" applyBorder="1"/>
    <xf numFmtId="10" fontId="49" fillId="39" borderId="18" xfId="27" applyNumberFormat="1" applyFont="1" applyFill="1" applyBorder="1"/>
    <xf numFmtId="10" fontId="48" fillId="38" borderId="18" xfId="27" applyNumberFormat="1" applyFont="1" applyFill="1" applyBorder="1"/>
    <xf numFmtId="10" fontId="49" fillId="38" borderId="18" xfId="27" applyNumberFormat="1" applyFont="1" applyFill="1" applyBorder="1"/>
    <xf numFmtId="10" fontId="49" fillId="38" borderId="18" xfId="26" applyNumberFormat="1" applyFont="1" applyFill="1" applyBorder="1"/>
    <xf numFmtId="10" fontId="48" fillId="38" borderId="157" xfId="27" applyNumberFormat="1" applyFont="1" applyFill="1" applyBorder="1"/>
    <xf numFmtId="10" fontId="49" fillId="32" borderId="21" xfId="26" applyNumberFormat="1" applyFont="1" applyFill="1" applyBorder="1"/>
    <xf numFmtId="10" fontId="48" fillId="38" borderId="19" xfId="27" applyNumberFormat="1" applyFont="1" applyFill="1" applyBorder="1"/>
    <xf numFmtId="10" fontId="49" fillId="32" borderId="21" xfId="27" applyNumberFormat="1" applyFont="1" applyFill="1" applyBorder="1"/>
    <xf numFmtId="10" fontId="60" fillId="32" borderId="21" xfId="26" applyNumberFormat="1" applyFont="1" applyFill="1" applyBorder="1"/>
    <xf numFmtId="0" fontId="28" fillId="0" borderId="97" xfId="0" applyFont="1" applyFill="1" applyBorder="1" applyProtection="1"/>
    <xf numFmtId="0" fontId="28" fillId="0" borderId="154" xfId="0" applyFont="1" applyFill="1" applyBorder="1" applyProtection="1"/>
    <xf numFmtId="3" fontId="28" fillId="34" borderId="35" xfId="26" applyNumberFormat="1" applyFont="1" applyFill="1" applyBorder="1" applyProtection="1"/>
    <xf numFmtId="3" fontId="28" fillId="36" borderId="158" xfId="26" applyNumberFormat="1" applyFont="1" applyFill="1" applyBorder="1" applyProtection="1"/>
    <xf numFmtId="3" fontId="28" fillId="42" borderId="74" xfId="26" applyNumberFormat="1" applyFont="1" applyFill="1" applyBorder="1" applyProtection="1"/>
    <xf numFmtId="3" fontId="28" fillId="36" borderId="152" xfId="26" applyNumberFormat="1" applyFont="1" applyFill="1" applyBorder="1" applyProtection="1"/>
    <xf numFmtId="3" fontId="28" fillId="42" borderId="154" xfId="26" applyNumberFormat="1" applyFont="1" applyFill="1" applyBorder="1" applyProtection="1"/>
    <xf numFmtId="10" fontId="28" fillId="0" borderId="63" xfId="26" applyNumberFormat="1" applyFont="1" applyFill="1" applyBorder="1" applyAlignment="1" applyProtection="1">
      <alignment horizontal="right"/>
    </xf>
    <xf numFmtId="3" fontId="28" fillId="0" borderId="97" xfId="26" applyNumberFormat="1" applyFont="1" applyFill="1" applyBorder="1" applyAlignment="1" applyProtection="1">
      <alignment horizontal="center"/>
    </xf>
    <xf numFmtId="3" fontId="28" fillId="0" borderId="133" xfId="26" applyNumberFormat="1" applyFont="1" applyFill="1" applyBorder="1" applyAlignment="1" applyProtection="1">
      <alignment horizontal="center"/>
    </xf>
    <xf numFmtId="3" fontId="28" fillId="0" borderId="133" xfId="26" applyNumberFormat="1" applyFont="1" applyFill="1" applyBorder="1" applyAlignment="1" applyProtection="1"/>
    <xf numFmtId="3" fontId="28" fillId="0" borderId="154" xfId="0" applyNumberFormat="1" applyFont="1" applyFill="1" applyBorder="1" applyProtection="1"/>
    <xf numFmtId="3" fontId="28" fillId="0" borderId="133" xfId="0" applyNumberFormat="1" applyFont="1" applyFill="1" applyBorder="1" applyProtection="1"/>
    <xf numFmtId="3" fontId="28" fillId="0" borderId="154" xfId="26" applyNumberFormat="1" applyFont="1" applyFill="1" applyBorder="1" applyAlignment="1" applyProtection="1">
      <alignment horizontal="center"/>
    </xf>
    <xf numFmtId="3" fontId="47" fillId="0" borderId="63" xfId="0" applyNumberFormat="1" applyFont="1" applyFill="1" applyBorder="1" applyProtection="1"/>
    <xf numFmtId="168" fontId="49" fillId="33" borderId="54" xfId="0" applyNumberFormat="1" applyFont="1" applyFill="1" applyBorder="1" applyAlignment="1" applyProtection="1">
      <alignment horizontal="center" vertical="center" wrapText="1"/>
    </xf>
    <xf numFmtId="0" fontId="57" fillId="40" borderId="22" xfId="0" applyFont="1" applyFill="1" applyBorder="1" applyProtection="1"/>
    <xf numFmtId="0" fontId="57" fillId="40" borderId="12" xfId="0" applyFont="1" applyFill="1" applyBorder="1" applyAlignment="1" applyProtection="1">
      <alignment horizontal="left" indent="3"/>
    </xf>
    <xf numFmtId="3" fontId="57" fillId="40" borderId="31" xfId="48" applyNumberFormat="1" applyFont="1" applyFill="1" applyBorder="1" applyProtection="1"/>
    <xf numFmtId="3" fontId="57" fillId="40" borderId="13" xfId="48" applyNumberFormat="1" applyFont="1" applyFill="1" applyBorder="1" applyProtection="1"/>
    <xf numFmtId="3" fontId="57" fillId="40" borderId="75" xfId="48" applyNumberFormat="1" applyFont="1" applyFill="1" applyBorder="1" applyProtection="1"/>
    <xf numFmtId="3" fontId="57" fillId="40" borderId="148" xfId="48" applyNumberFormat="1" applyFont="1" applyFill="1" applyBorder="1" applyProtection="1"/>
    <xf numFmtId="3" fontId="57" fillId="40" borderId="11" xfId="48" applyNumberFormat="1" applyFont="1" applyFill="1" applyBorder="1" applyProtection="1"/>
    <xf numFmtId="10" fontId="57" fillId="40" borderId="60" xfId="48" applyNumberFormat="1" applyFont="1" applyFill="1" applyBorder="1" applyAlignment="1" applyProtection="1">
      <alignment horizontal="right"/>
    </xf>
    <xf numFmtId="3" fontId="57" fillId="40" borderId="22" xfId="48" applyNumberFormat="1" applyFont="1" applyFill="1" applyBorder="1" applyProtection="1"/>
    <xf numFmtId="3" fontId="57" fillId="40" borderId="10" xfId="48" applyNumberFormat="1" applyFont="1" applyFill="1" applyBorder="1" applyProtection="1"/>
    <xf numFmtId="3" fontId="57" fillId="40" borderId="10" xfId="48" applyNumberFormat="1" applyFont="1" applyFill="1" applyBorder="1" applyAlignment="1" applyProtection="1"/>
    <xf numFmtId="3" fontId="57" fillId="40" borderId="11" xfId="0" applyNumberFormat="1" applyFont="1" applyFill="1" applyBorder="1" applyProtection="1"/>
    <xf numFmtId="3" fontId="57" fillId="40" borderId="10" xfId="0" applyNumberFormat="1" applyFont="1" applyFill="1" applyBorder="1" applyProtection="1"/>
    <xf numFmtId="3" fontId="57" fillId="40" borderId="60" xfId="0" applyNumberFormat="1" applyFont="1" applyFill="1" applyBorder="1" applyProtection="1"/>
    <xf numFmtId="0" fontId="57" fillId="28" borderId="0" xfId="0" applyFont="1" applyFill="1" applyBorder="1" applyProtection="1"/>
    <xf numFmtId="3" fontId="57" fillId="40" borderId="22" xfId="26" applyNumberFormat="1" applyFont="1" applyFill="1" applyBorder="1" applyProtection="1"/>
    <xf numFmtId="3" fontId="57" fillId="40" borderId="10" xfId="26" applyNumberFormat="1" applyFont="1" applyFill="1" applyBorder="1" applyProtection="1"/>
    <xf numFmtId="3" fontId="57" fillId="40" borderId="10" xfId="26" applyNumberFormat="1" applyFont="1" applyFill="1" applyBorder="1" applyAlignment="1" applyProtection="1"/>
    <xf numFmtId="3" fontId="57" fillId="40" borderId="11" xfId="26" applyNumberFormat="1" applyFont="1" applyFill="1" applyBorder="1" applyProtection="1"/>
    <xf numFmtId="10" fontId="57" fillId="40" borderId="60" xfId="48" applyNumberFormat="1" applyFont="1" applyFill="1" applyBorder="1" applyProtection="1"/>
    <xf numFmtId="3" fontId="57" fillId="0" borderId="0" xfId="48" applyNumberFormat="1" applyFont="1" applyFill="1" applyBorder="1" applyProtection="1"/>
    <xf numFmtId="3" fontId="57" fillId="40" borderId="22" xfId="0" applyNumberFormat="1" applyFont="1" applyFill="1" applyBorder="1" applyProtection="1"/>
    <xf numFmtId="3" fontId="57" fillId="40" borderId="10" xfId="0" applyNumberFormat="1" applyFont="1" applyFill="1" applyBorder="1" applyAlignment="1" applyProtection="1"/>
    <xf numFmtId="0" fontId="50" fillId="39" borderId="22" xfId="0" applyFont="1" applyFill="1" applyBorder="1" applyProtection="1"/>
    <xf numFmtId="0" fontId="50" fillId="39" borderId="12" xfId="0" applyFont="1" applyFill="1" applyBorder="1" applyAlignment="1" applyProtection="1">
      <alignment horizontal="left" indent="5"/>
    </xf>
    <xf numFmtId="3" fontId="50" fillId="39" borderId="31" xfId="48" applyNumberFormat="1" applyFont="1" applyFill="1" applyBorder="1" applyProtection="1"/>
    <xf numFmtId="3" fontId="50" fillId="39" borderId="13" xfId="48" applyNumberFormat="1" applyFont="1" applyFill="1" applyBorder="1" applyProtection="1"/>
    <xf numFmtId="3" fontId="50" fillId="39" borderId="75" xfId="48" applyNumberFormat="1" applyFont="1" applyFill="1" applyBorder="1" applyProtection="1"/>
    <xf numFmtId="3" fontId="50" fillId="39" borderId="148" xfId="48" applyNumberFormat="1" applyFont="1" applyFill="1" applyBorder="1" applyProtection="1"/>
    <xf numFmtId="3" fontId="50" fillId="39" borderId="11" xfId="48" applyNumberFormat="1" applyFont="1" applyFill="1" applyBorder="1" applyProtection="1"/>
    <xf numFmtId="10" fontId="50" fillId="39" borderId="60" xfId="48" applyNumberFormat="1" applyFont="1" applyFill="1" applyBorder="1" applyAlignment="1" applyProtection="1">
      <alignment horizontal="right"/>
    </xf>
    <xf numFmtId="3" fontId="50" fillId="39" borderId="22" xfId="48" applyNumberFormat="1" applyFont="1" applyFill="1" applyBorder="1" applyProtection="1"/>
    <xf numFmtId="3" fontId="50" fillId="39" borderId="10" xfId="48" applyNumberFormat="1" applyFont="1" applyFill="1" applyBorder="1" applyProtection="1"/>
    <xf numFmtId="3" fontId="50" fillId="39" borderId="10" xfId="48" applyNumberFormat="1" applyFont="1" applyFill="1" applyBorder="1" applyAlignment="1" applyProtection="1"/>
    <xf numFmtId="3" fontId="50" fillId="39" borderId="11" xfId="0" applyNumberFormat="1" applyFont="1" applyFill="1" applyBorder="1" applyProtection="1"/>
    <xf numFmtId="3" fontId="50" fillId="39" borderId="10" xfId="0" applyNumberFormat="1" applyFont="1" applyFill="1" applyBorder="1" applyProtection="1"/>
    <xf numFmtId="3" fontId="50" fillId="39" borderId="60" xfId="0" applyNumberFormat="1" applyFont="1" applyFill="1" applyBorder="1" applyProtection="1"/>
    <xf numFmtId="3" fontId="50" fillId="39" borderId="22" xfId="26" applyNumberFormat="1" applyFont="1" applyFill="1" applyBorder="1" applyProtection="1"/>
    <xf numFmtId="3" fontId="50" fillId="39" borderId="10" xfId="26" applyNumberFormat="1" applyFont="1" applyFill="1" applyBorder="1" applyProtection="1"/>
    <xf numFmtId="3" fontId="50" fillId="39" borderId="10" xfId="26" applyNumberFormat="1" applyFont="1" applyFill="1" applyBorder="1" applyAlignment="1" applyProtection="1"/>
    <xf numFmtId="3" fontId="50" fillId="39" borderId="11" xfId="26" applyNumberFormat="1" applyFont="1" applyFill="1" applyBorder="1" applyProtection="1"/>
    <xf numFmtId="0" fontId="50" fillId="39" borderId="78" xfId="0" applyFont="1" applyFill="1" applyBorder="1" applyProtection="1"/>
    <xf numFmtId="0" fontId="50" fillId="39" borderId="36" xfId="0" applyFont="1" applyFill="1" applyBorder="1" applyAlignment="1" applyProtection="1">
      <alignment horizontal="left" indent="5"/>
    </xf>
    <xf numFmtId="3" fontId="50" fillId="39" borderId="32" xfId="48" applyNumberFormat="1" applyFont="1" applyFill="1" applyBorder="1" applyProtection="1"/>
    <xf numFmtId="3" fontId="50" fillId="39" borderId="24" xfId="48" applyNumberFormat="1" applyFont="1" applyFill="1" applyBorder="1" applyProtection="1"/>
    <xf numFmtId="3" fontId="50" fillId="39" borderId="79" xfId="48" applyNumberFormat="1" applyFont="1" applyFill="1" applyBorder="1" applyProtection="1"/>
    <xf numFmtId="3" fontId="50" fillId="39" borderId="150" xfId="48" applyNumberFormat="1" applyFont="1" applyFill="1" applyBorder="1" applyProtection="1"/>
    <xf numFmtId="3" fontId="50" fillId="39" borderId="57" xfId="48" applyNumberFormat="1" applyFont="1" applyFill="1" applyBorder="1" applyProtection="1"/>
    <xf numFmtId="10" fontId="50" fillId="39" borderId="58" xfId="48" applyNumberFormat="1" applyFont="1" applyFill="1" applyBorder="1" applyAlignment="1" applyProtection="1">
      <alignment horizontal="right"/>
    </xf>
    <xf numFmtId="3" fontId="50" fillId="39" borderId="78" xfId="26" applyNumberFormat="1" applyFont="1" applyFill="1" applyBorder="1" applyProtection="1"/>
    <xf numFmtId="3" fontId="50" fillId="39" borderId="15" xfId="26" applyNumberFormat="1" applyFont="1" applyFill="1" applyBorder="1" applyProtection="1"/>
    <xf numFmtId="3" fontId="50" fillId="39" borderId="15" xfId="26" applyNumberFormat="1" applyFont="1" applyFill="1" applyBorder="1" applyAlignment="1" applyProtection="1"/>
    <xf numFmtId="3" fontId="50" fillId="39" borderId="57" xfId="0" applyNumberFormat="1" applyFont="1" applyFill="1" applyBorder="1" applyProtection="1"/>
    <xf numFmtId="3" fontId="50" fillId="39" borderId="15" xfId="0" applyNumberFormat="1" applyFont="1" applyFill="1" applyBorder="1" applyProtection="1"/>
    <xf numFmtId="3" fontId="50" fillId="39" borderId="57" xfId="26" applyNumberFormat="1" applyFont="1" applyFill="1" applyBorder="1" applyProtection="1"/>
    <xf numFmtId="3" fontId="50" fillId="39" borderId="58" xfId="0" applyNumberFormat="1" applyFont="1" applyFill="1" applyBorder="1" applyProtection="1"/>
    <xf numFmtId="10" fontId="50" fillId="39" borderId="60" xfId="48" applyNumberFormat="1" applyFont="1" applyFill="1" applyBorder="1" applyProtection="1"/>
    <xf numFmtId="3" fontId="50" fillId="39" borderId="22" xfId="0" applyNumberFormat="1" applyFont="1" applyFill="1" applyBorder="1" applyProtection="1"/>
    <xf numFmtId="3" fontId="50" fillId="39" borderId="10" xfId="0" applyNumberFormat="1" applyFont="1" applyFill="1" applyBorder="1" applyAlignment="1" applyProtection="1"/>
    <xf numFmtId="10" fontId="50" fillId="39" borderId="58" xfId="48" applyNumberFormat="1" applyFont="1" applyFill="1" applyBorder="1" applyProtection="1"/>
    <xf numFmtId="3" fontId="50" fillId="39" borderId="78" xfId="0" applyNumberFormat="1" applyFont="1" applyFill="1" applyBorder="1" applyProtection="1"/>
    <xf numFmtId="3" fontId="50" fillId="39" borderId="15" xfId="0" applyNumberFormat="1" applyFont="1" applyFill="1" applyBorder="1" applyAlignment="1" applyProtection="1"/>
    <xf numFmtId="170" fontId="50" fillId="35" borderId="55" xfId="0" applyNumberFormat="1" applyFont="1" applyFill="1" applyBorder="1" applyAlignment="1" applyProtection="1">
      <alignment horizontal="center" vertical="center" wrapText="1"/>
    </xf>
    <xf numFmtId="170" fontId="50" fillId="41" borderId="76" xfId="0" applyNumberFormat="1" applyFont="1" applyFill="1" applyBorder="1" applyAlignment="1" applyProtection="1">
      <alignment horizontal="center" vertical="center" wrapText="1"/>
    </xf>
    <xf numFmtId="170" fontId="50" fillId="41" borderId="123" xfId="0" applyNumberFormat="1" applyFont="1" applyFill="1" applyBorder="1" applyAlignment="1" applyProtection="1">
      <alignment horizontal="center" vertical="center" wrapText="1"/>
    </xf>
    <xf numFmtId="168" fontId="50" fillId="33" borderId="54" xfId="0" applyNumberFormat="1" applyFont="1" applyFill="1" applyBorder="1" applyAlignment="1" applyProtection="1">
      <alignment horizontal="center" vertical="center" wrapText="1"/>
    </xf>
    <xf numFmtId="0" fontId="74" fillId="0" borderId="39" xfId="0" applyFont="1" applyFill="1" applyBorder="1" applyAlignment="1" applyProtection="1">
      <alignment horizontal="left" indent="12"/>
    </xf>
    <xf numFmtId="3" fontId="74" fillId="0" borderId="39" xfId="26" applyNumberFormat="1" applyFont="1" applyFill="1" applyBorder="1" applyProtection="1"/>
    <xf numFmtId="10" fontId="74" fillId="0" borderId="39" xfId="26" applyNumberFormat="1" applyFont="1" applyFill="1" applyBorder="1" applyProtection="1"/>
    <xf numFmtId="3" fontId="74" fillId="0" borderId="0" xfId="26" applyNumberFormat="1" applyFont="1" applyFill="1" applyBorder="1" applyProtection="1"/>
    <xf numFmtId="3" fontId="74" fillId="0" borderId="0" xfId="26" applyNumberFormat="1" applyFont="1" applyFill="1" applyBorder="1" applyAlignment="1" applyProtection="1"/>
    <xf numFmtId="3" fontId="74" fillId="0" borderId="0" xfId="0" applyNumberFormat="1" applyFont="1" applyFill="1" applyBorder="1" applyProtection="1"/>
    <xf numFmtId="0" fontId="75" fillId="0" borderId="0" xfId="0" applyFont="1" applyFill="1" applyBorder="1" applyProtection="1"/>
    <xf numFmtId="0" fontId="28" fillId="0" borderId="12" xfId="0" quotePrefix="1" applyFont="1" applyFill="1" applyBorder="1" applyAlignment="1" applyProtection="1">
      <alignment horizontal="left" indent="14"/>
    </xf>
    <xf numFmtId="0" fontId="28" fillId="0" borderId="12" xfId="0" applyFont="1" applyFill="1" applyBorder="1" applyAlignment="1" applyProtection="1">
      <alignment horizontal="left" vertical="center" wrapText="1" indent="2"/>
    </xf>
    <xf numFmtId="3" fontId="49" fillId="39" borderId="34" xfId="27" applyNumberFormat="1" applyFont="1" applyFill="1" applyBorder="1" applyProtection="1"/>
    <xf numFmtId="3" fontId="49" fillId="39" borderId="83" xfId="27" applyNumberFormat="1" applyFont="1" applyFill="1" applyBorder="1" applyProtection="1"/>
    <xf numFmtId="3" fontId="49" fillId="39" borderId="14" xfId="27" applyNumberFormat="1" applyFont="1" applyFill="1" applyBorder="1" applyProtection="1"/>
    <xf numFmtId="3" fontId="49" fillId="39" borderId="84" xfId="27" applyNumberFormat="1" applyFont="1" applyFill="1" applyBorder="1" applyProtection="1"/>
    <xf numFmtId="3" fontId="49" fillId="34" borderId="31" xfId="27" applyNumberFormat="1" applyFont="1" applyFill="1" applyBorder="1" applyProtection="1"/>
    <xf numFmtId="3" fontId="49" fillId="39" borderId="32" xfId="27" applyNumberFormat="1" applyFont="1" applyFill="1" applyBorder="1" applyProtection="1"/>
    <xf numFmtId="3" fontId="49" fillId="39" borderId="78" xfId="27" applyNumberFormat="1" applyFont="1" applyFill="1" applyBorder="1" applyProtection="1"/>
    <xf numFmtId="3" fontId="49" fillId="39" borderId="15" xfId="27" applyNumberFormat="1" applyFont="1" applyFill="1" applyBorder="1" applyProtection="1"/>
    <xf numFmtId="3" fontId="49" fillId="39" borderId="79" xfId="27" applyNumberFormat="1" applyFont="1" applyFill="1" applyBorder="1" applyProtection="1"/>
    <xf numFmtId="3" fontId="49" fillId="32" borderId="27" xfId="26" applyNumberFormat="1" applyFont="1" applyFill="1" applyBorder="1" applyProtection="1"/>
    <xf numFmtId="3" fontId="27" fillId="32" borderId="71" xfId="26" applyNumberFormat="1" applyFont="1" applyFill="1" applyBorder="1" applyProtection="1"/>
    <xf numFmtId="3" fontId="27" fillId="32" borderId="20" xfId="26" applyNumberFormat="1" applyFont="1" applyFill="1" applyBorder="1" applyProtection="1"/>
    <xf numFmtId="3" fontId="27" fillId="32" borderId="77" xfId="26" applyNumberFormat="1" applyFont="1" applyFill="1" applyBorder="1" applyProtection="1"/>
    <xf numFmtId="3" fontId="50" fillId="34" borderId="27" xfId="0" applyNumberFormat="1" applyFont="1" applyFill="1" applyBorder="1" applyAlignment="1" applyProtection="1">
      <alignment horizontal="right" vertical="center" wrapText="1"/>
    </xf>
    <xf numFmtId="3" fontId="6" fillId="36" borderId="71" xfId="0" applyNumberFormat="1" applyFont="1" applyFill="1" applyBorder="1" applyAlignment="1" applyProtection="1">
      <alignment horizontal="right" vertical="center" wrapText="1"/>
    </xf>
    <xf numFmtId="3" fontId="6" fillId="36" borderId="20" xfId="0" applyNumberFormat="1" applyFont="1" applyFill="1" applyBorder="1" applyAlignment="1" applyProtection="1">
      <alignment horizontal="right" vertical="center" wrapText="1"/>
    </xf>
    <xf numFmtId="3" fontId="6" fillId="36" borderId="77" xfId="0" applyNumberFormat="1" applyFont="1" applyFill="1" applyBorder="1" applyAlignment="1" applyProtection="1">
      <alignment horizontal="right" vertical="center" wrapText="1"/>
    </xf>
    <xf numFmtId="3" fontId="50" fillId="34" borderId="54" xfId="0" applyNumberFormat="1" applyFont="1" applyFill="1" applyBorder="1" applyAlignment="1" applyProtection="1">
      <alignment horizontal="right" vertical="center" wrapText="1"/>
    </xf>
    <xf numFmtId="3" fontId="6" fillId="36" borderId="68" xfId="0" applyNumberFormat="1" applyFont="1" applyFill="1" applyBorder="1" applyAlignment="1" applyProtection="1">
      <alignment horizontal="right" vertical="center" wrapText="1"/>
    </xf>
    <xf numFmtId="3" fontId="6" fillId="36" borderId="16" xfId="0" applyNumberFormat="1" applyFont="1" applyFill="1" applyBorder="1" applyAlignment="1" applyProtection="1">
      <alignment horizontal="right" vertical="center" wrapText="1"/>
    </xf>
    <xf numFmtId="3" fontId="6" fillId="36" borderId="72" xfId="0" applyNumberFormat="1" applyFont="1" applyFill="1" applyBorder="1" applyAlignment="1" applyProtection="1">
      <alignment horizontal="right" vertical="center" wrapText="1"/>
    </xf>
    <xf numFmtId="3" fontId="63" fillId="32" borderId="27" xfId="26" applyNumberFormat="1" applyFont="1" applyFill="1" applyBorder="1" applyProtection="1"/>
    <xf numFmtId="3" fontId="47" fillId="36" borderId="37" xfId="27" applyNumberFormat="1" applyFont="1" applyFill="1" applyBorder="1" applyProtection="1"/>
    <xf numFmtId="3" fontId="47" fillId="42" borderId="45" xfId="27" applyNumberFormat="1" applyFont="1" applyFill="1" applyBorder="1" applyProtection="1"/>
    <xf numFmtId="10" fontId="47" fillId="0" borderId="63" xfId="27" applyNumberFormat="1" applyFont="1" applyFill="1" applyBorder="1" applyAlignment="1" applyProtection="1">
      <alignment horizontal="right"/>
    </xf>
    <xf numFmtId="3" fontId="47" fillId="36" borderId="13" xfId="27" applyNumberFormat="1" applyFont="1" applyFill="1" applyBorder="1" applyProtection="1"/>
    <xf numFmtId="3" fontId="47" fillId="42" borderId="11" xfId="27" applyNumberFormat="1" applyFont="1" applyFill="1" applyBorder="1" applyProtection="1"/>
    <xf numFmtId="10" fontId="47" fillId="0" borderId="60" xfId="27" applyNumberFormat="1" applyFont="1" applyFill="1" applyBorder="1" applyAlignment="1" applyProtection="1">
      <alignment horizontal="right"/>
    </xf>
    <xf numFmtId="3" fontId="57" fillId="40" borderId="13" xfId="27" applyNumberFormat="1" applyFont="1" applyFill="1" applyBorder="1" applyProtection="1"/>
    <xf numFmtId="3" fontId="57" fillId="40" borderId="11" xfId="27" applyNumberFormat="1" applyFont="1" applyFill="1" applyBorder="1" applyProtection="1"/>
    <xf numFmtId="10" fontId="57" fillId="40" borderId="60" xfId="27" applyNumberFormat="1" applyFont="1" applyFill="1" applyBorder="1" applyProtection="1"/>
    <xf numFmtId="3" fontId="50" fillId="39" borderId="13" xfId="27" applyNumberFormat="1" applyFont="1" applyFill="1" applyBorder="1" applyProtection="1"/>
    <xf numFmtId="3" fontId="50" fillId="39" borderId="11" xfId="27" applyNumberFormat="1" applyFont="1" applyFill="1" applyBorder="1" applyProtection="1"/>
    <xf numFmtId="10" fontId="50" fillId="39" borderId="60" xfId="27" applyNumberFormat="1" applyFont="1" applyFill="1" applyBorder="1" applyProtection="1"/>
    <xf numFmtId="3" fontId="68" fillId="44" borderId="13" xfId="27" applyNumberFormat="1" applyFont="1" applyFill="1" applyBorder="1" applyProtection="1"/>
    <xf numFmtId="3" fontId="68" fillId="44" borderId="11" xfId="27" applyNumberFormat="1" applyFont="1" applyFill="1" applyBorder="1" applyProtection="1"/>
    <xf numFmtId="10" fontId="68" fillId="44" borderId="60" xfId="27" applyNumberFormat="1" applyFont="1" applyFill="1" applyBorder="1" applyProtection="1"/>
    <xf numFmtId="10" fontId="57" fillId="40" borderId="60" xfId="27" applyNumberFormat="1" applyFont="1" applyFill="1" applyBorder="1" applyAlignment="1" applyProtection="1">
      <alignment horizontal="right"/>
    </xf>
    <xf numFmtId="3" fontId="47" fillId="36" borderId="13" xfId="26" applyNumberFormat="1" applyFont="1" applyFill="1" applyBorder="1" applyProtection="1"/>
    <xf numFmtId="3" fontId="47" fillId="42" borderId="11" xfId="26" applyNumberFormat="1" applyFont="1" applyFill="1" applyBorder="1" applyProtection="1"/>
    <xf numFmtId="10" fontId="47" fillId="0" borderId="60" xfId="26" applyNumberFormat="1" applyFont="1" applyFill="1" applyBorder="1" applyAlignment="1" applyProtection="1">
      <alignment horizontal="right"/>
    </xf>
    <xf numFmtId="3" fontId="47" fillId="36" borderId="13" xfId="26" applyNumberFormat="1" applyFont="1" applyFill="1" applyBorder="1" applyAlignment="1" applyProtection="1">
      <alignment vertical="center" wrapText="1"/>
    </xf>
    <xf numFmtId="3" fontId="47" fillId="42" borderId="11" xfId="26" applyNumberFormat="1" applyFont="1" applyFill="1" applyBorder="1" applyAlignment="1" applyProtection="1">
      <alignment vertical="center" wrapText="1"/>
    </xf>
    <xf numFmtId="10" fontId="47" fillId="0" borderId="60" xfId="26" applyNumberFormat="1" applyFont="1" applyFill="1" applyBorder="1" applyAlignment="1" applyProtection="1">
      <alignment horizontal="right" vertical="center" wrapText="1"/>
    </xf>
    <xf numFmtId="10" fontId="50" fillId="39" borderId="60" xfId="27" applyNumberFormat="1" applyFont="1" applyFill="1" applyBorder="1" applyAlignment="1" applyProtection="1">
      <alignment horizontal="right"/>
    </xf>
    <xf numFmtId="3" fontId="50" fillId="39" borderId="24" xfId="27" applyNumberFormat="1" applyFont="1" applyFill="1" applyBorder="1" applyProtection="1"/>
    <xf numFmtId="3" fontId="50" fillId="39" borderId="57" xfId="27" applyNumberFormat="1" applyFont="1" applyFill="1" applyBorder="1" applyProtection="1"/>
    <xf numFmtId="10" fontId="50" fillId="39" borderId="58" xfId="27" applyNumberFormat="1" applyFont="1" applyFill="1" applyBorder="1" applyAlignment="1" applyProtection="1">
      <alignment horizontal="right"/>
    </xf>
    <xf numFmtId="3" fontId="47" fillId="36" borderId="37" xfId="26" applyNumberFormat="1" applyFont="1" applyFill="1" applyBorder="1" applyProtection="1"/>
    <xf numFmtId="3" fontId="47" fillId="42" borderId="45" xfId="26" applyNumberFormat="1" applyFont="1" applyFill="1" applyBorder="1" applyProtection="1"/>
    <xf numFmtId="10" fontId="47" fillId="0" borderId="61" xfId="26" applyNumberFormat="1" applyFont="1" applyFill="1" applyBorder="1" applyAlignment="1" applyProtection="1">
      <alignment horizontal="right"/>
    </xf>
    <xf numFmtId="3" fontId="47" fillId="36" borderId="24" xfId="26" applyNumberFormat="1" applyFont="1" applyFill="1" applyBorder="1" applyProtection="1"/>
    <xf numFmtId="3" fontId="47" fillId="42" borderId="57" xfId="26" applyNumberFormat="1" applyFont="1" applyFill="1" applyBorder="1" applyProtection="1"/>
    <xf numFmtId="10" fontId="47" fillId="0" borderId="58" xfId="26" applyNumberFormat="1" applyFont="1" applyFill="1" applyBorder="1" applyAlignment="1" applyProtection="1">
      <alignment horizontal="right"/>
    </xf>
    <xf numFmtId="3" fontId="56" fillId="32" borderId="96" xfId="26" applyNumberFormat="1" applyFont="1" applyFill="1" applyBorder="1" applyProtection="1"/>
    <xf numFmtId="3" fontId="56" fillId="32" borderId="50" xfId="26" applyNumberFormat="1" applyFont="1" applyFill="1" applyBorder="1" applyProtection="1"/>
    <xf numFmtId="10" fontId="56" fillId="32" borderId="101" xfId="26" applyNumberFormat="1" applyFont="1" applyFill="1" applyBorder="1" applyProtection="1"/>
    <xf numFmtId="3" fontId="56" fillId="0" borderId="48" xfId="26" applyNumberFormat="1" applyFont="1" applyFill="1" applyBorder="1" applyProtection="1"/>
    <xf numFmtId="10" fontId="56" fillId="0" borderId="48" xfId="26" applyNumberFormat="1" applyFont="1" applyFill="1" applyBorder="1" applyProtection="1"/>
    <xf numFmtId="10" fontId="50" fillId="39" borderId="58" xfId="27" applyNumberFormat="1" applyFont="1" applyFill="1" applyBorder="1" applyProtection="1"/>
    <xf numFmtId="171" fontId="47" fillId="0" borderId="0" xfId="27" applyNumberFormat="1" applyFont="1" applyFill="1" applyBorder="1" applyAlignment="1" applyProtection="1">
      <alignment horizontal="center"/>
    </xf>
    <xf numFmtId="0" fontId="47" fillId="0" borderId="83" xfId="0" applyFont="1" applyFill="1" applyBorder="1" applyProtection="1"/>
    <xf numFmtId="0" fontId="47" fillId="0" borderId="46" xfId="0" applyFont="1" applyFill="1" applyBorder="1" applyProtection="1"/>
    <xf numFmtId="3" fontId="50" fillId="34" borderId="35" xfId="27" applyNumberFormat="1" applyFont="1" applyFill="1" applyBorder="1" applyProtection="1"/>
    <xf numFmtId="3" fontId="47" fillId="36" borderId="152" xfId="27" applyNumberFormat="1" applyFont="1" applyFill="1" applyBorder="1" applyProtection="1"/>
    <xf numFmtId="3" fontId="47" fillId="42" borderId="74" xfId="27" applyNumberFormat="1" applyFont="1" applyFill="1" applyBorder="1" applyProtection="1"/>
    <xf numFmtId="0" fontId="47" fillId="0" borderId="22" xfId="0" applyFont="1" applyFill="1" applyBorder="1" applyProtection="1"/>
    <xf numFmtId="0" fontId="47" fillId="0" borderId="12" xfId="0" applyFont="1" applyFill="1" applyBorder="1" applyProtection="1"/>
    <xf numFmtId="3" fontId="50" fillId="34" borderId="31" xfId="27" applyNumberFormat="1" applyFont="1" applyFill="1" applyBorder="1" applyProtection="1"/>
    <xf numFmtId="3" fontId="47" fillId="36" borderId="148" xfId="27" applyNumberFormat="1" applyFont="1" applyFill="1" applyBorder="1" applyProtection="1"/>
    <xf numFmtId="3" fontId="47" fillId="42" borderId="75" xfId="27" applyNumberFormat="1" applyFont="1" applyFill="1" applyBorder="1" applyProtection="1"/>
    <xf numFmtId="3" fontId="57" fillId="40" borderId="31" xfId="27" applyNumberFormat="1" applyFont="1" applyFill="1" applyBorder="1" applyProtection="1"/>
    <xf numFmtId="3" fontId="57" fillId="40" borderId="148" xfId="27" applyNumberFormat="1" applyFont="1" applyFill="1" applyBorder="1" applyProtection="1"/>
    <xf numFmtId="3" fontId="57" fillId="40" borderId="75" xfId="27" applyNumberFormat="1" applyFont="1" applyFill="1" applyBorder="1" applyProtection="1"/>
    <xf numFmtId="0" fontId="57" fillId="0" borderId="0" xfId="0" applyFont="1" applyProtection="1"/>
    <xf numFmtId="3" fontId="50" fillId="39" borderId="31" xfId="27" applyNumberFormat="1" applyFont="1" applyFill="1" applyBorder="1" applyProtection="1"/>
    <xf numFmtId="3" fontId="50" fillId="39" borderId="148" xfId="27" applyNumberFormat="1" applyFont="1" applyFill="1" applyBorder="1" applyProtection="1"/>
    <xf numFmtId="3" fontId="50" fillId="39" borderId="75" xfId="27" applyNumberFormat="1" applyFont="1" applyFill="1" applyBorder="1" applyProtection="1"/>
    <xf numFmtId="0" fontId="47" fillId="0" borderId="12" xfId="0" applyFont="1" applyFill="1" applyBorder="1" applyAlignment="1" applyProtection="1">
      <alignment horizontal="left" indent="2"/>
    </xf>
    <xf numFmtId="0" fontId="68" fillId="44" borderId="22" xfId="0" applyFont="1" applyFill="1" applyBorder="1" applyProtection="1"/>
    <xf numFmtId="0" fontId="68" fillId="44" borderId="12" xfId="0" applyFont="1" applyFill="1" applyBorder="1" applyAlignment="1" applyProtection="1">
      <alignment horizontal="left" indent="1"/>
    </xf>
    <xf numFmtId="3" fontId="68" fillId="44" borderId="31" xfId="27" applyNumberFormat="1" applyFont="1" applyFill="1" applyBorder="1" applyProtection="1"/>
    <xf numFmtId="3" fontId="68" fillId="44" borderId="148" xfId="27" applyNumberFormat="1" applyFont="1" applyFill="1" applyBorder="1" applyProtection="1"/>
    <xf numFmtId="3" fontId="68" fillId="44" borderId="75" xfId="27" applyNumberFormat="1" applyFont="1" applyFill="1" applyBorder="1" applyProtection="1"/>
    <xf numFmtId="3" fontId="50" fillId="34" borderId="31" xfId="26" applyNumberFormat="1" applyFont="1" applyFill="1" applyBorder="1" applyProtection="1"/>
    <xf numFmtId="3" fontId="47" fillId="36" borderId="148" xfId="26" applyNumberFormat="1" applyFont="1" applyFill="1" applyBorder="1" applyProtection="1"/>
    <xf numFmtId="3" fontId="47" fillId="42" borderId="75" xfId="26" applyNumberFormat="1" applyFont="1" applyFill="1" applyBorder="1" applyProtection="1"/>
    <xf numFmtId="0" fontId="47" fillId="0" borderId="22" xfId="0" applyFont="1" applyFill="1" applyBorder="1" applyAlignment="1" applyProtection="1">
      <alignment vertical="center" wrapText="1"/>
    </xf>
    <xf numFmtId="0" fontId="47" fillId="0" borderId="12" xfId="0" applyFont="1" applyFill="1" applyBorder="1" applyAlignment="1" applyProtection="1">
      <alignment vertical="center" wrapText="1"/>
    </xf>
    <xf numFmtId="3" fontId="50" fillId="34" borderId="31" xfId="26" applyNumberFormat="1" applyFont="1" applyFill="1" applyBorder="1" applyAlignment="1" applyProtection="1">
      <alignment vertical="center" wrapText="1"/>
    </xf>
    <xf numFmtId="3" fontId="47" fillId="36" borderId="148" xfId="26" applyNumberFormat="1" applyFont="1" applyFill="1" applyBorder="1" applyAlignment="1" applyProtection="1">
      <alignment vertical="center" wrapText="1"/>
    </xf>
    <xf numFmtId="3" fontId="47" fillId="42" borderId="75" xfId="26" applyNumberFormat="1" applyFont="1" applyFill="1" applyBorder="1" applyAlignment="1" applyProtection="1">
      <alignment vertical="center" wrapText="1"/>
    </xf>
    <xf numFmtId="0" fontId="47" fillId="0" borderId="0" xfId="0" applyFont="1" applyAlignment="1" applyProtection="1">
      <alignment vertical="center" wrapText="1"/>
    </xf>
    <xf numFmtId="0" fontId="47" fillId="0" borderId="0" xfId="0" applyFont="1" applyBorder="1" applyProtection="1"/>
    <xf numFmtId="16" fontId="47" fillId="0" borderId="22" xfId="0" applyNumberFormat="1" applyFont="1" applyFill="1" applyBorder="1" applyProtection="1"/>
    <xf numFmtId="3" fontId="50" fillId="39" borderId="32" xfId="27" applyNumberFormat="1" applyFont="1" applyFill="1" applyBorder="1" applyProtection="1"/>
    <xf numFmtId="3" fontId="50" fillId="39" borderId="150" xfId="27" applyNumberFormat="1" applyFont="1" applyFill="1" applyBorder="1" applyProtection="1"/>
    <xf numFmtId="3" fontId="50" fillId="39" borderId="79" xfId="27" applyNumberFormat="1" applyFont="1" applyFill="1" applyBorder="1" applyProtection="1"/>
    <xf numFmtId="3" fontId="50" fillId="34" borderId="34" xfId="26" applyNumberFormat="1" applyFont="1" applyFill="1" applyBorder="1" applyProtection="1"/>
    <xf numFmtId="3" fontId="47" fillId="36" borderId="149" xfId="26" applyNumberFormat="1" applyFont="1" applyFill="1" applyBorder="1" applyProtection="1"/>
    <xf numFmtId="3" fontId="47" fillId="42" borderId="84" xfId="26" applyNumberFormat="1" applyFont="1" applyFill="1" applyBorder="1" applyProtection="1"/>
    <xf numFmtId="0" fontId="47" fillId="0" borderId="78" xfId="0" applyFont="1" applyFill="1" applyBorder="1" applyProtection="1"/>
    <xf numFmtId="0" fontId="47" fillId="0" borderId="36" xfId="0" applyFont="1" applyFill="1" applyBorder="1" applyProtection="1"/>
    <xf numFmtId="3" fontId="50" fillId="34" borderId="32" xfId="26" applyNumberFormat="1" applyFont="1" applyFill="1" applyBorder="1" applyProtection="1"/>
    <xf numFmtId="3" fontId="47" fillId="36" borderId="150" xfId="26" applyNumberFormat="1" applyFont="1" applyFill="1" applyBorder="1" applyProtection="1"/>
    <xf numFmtId="3" fontId="47" fillId="42" borderId="79" xfId="26" applyNumberFormat="1" applyFont="1" applyFill="1" applyBorder="1" applyProtection="1"/>
    <xf numFmtId="3" fontId="56" fillId="32" borderId="27" xfId="26" applyNumberFormat="1" applyFont="1" applyFill="1" applyBorder="1" applyProtection="1"/>
    <xf numFmtId="3" fontId="56" fillId="32" borderId="151" xfId="26" applyNumberFormat="1" applyFont="1" applyFill="1" applyBorder="1" applyProtection="1"/>
    <xf numFmtId="3" fontId="56" fillId="32" borderId="77" xfId="26" applyNumberFormat="1" applyFont="1" applyFill="1" applyBorder="1" applyProtection="1"/>
    <xf numFmtId="0" fontId="58" fillId="0" borderId="0" xfId="0" applyFont="1" applyProtection="1"/>
    <xf numFmtId="0" fontId="56" fillId="0" borderId="48" xfId="0" applyFont="1" applyFill="1" applyBorder="1" applyAlignment="1" applyProtection="1">
      <alignment horizontal="left" indent="12"/>
    </xf>
    <xf numFmtId="0" fontId="58" fillId="0" borderId="0" xfId="0" applyFont="1" applyFill="1" applyProtection="1"/>
    <xf numFmtId="0" fontId="47" fillId="0" borderId="0" xfId="0" applyFont="1" applyFill="1" applyBorder="1" applyProtection="1"/>
    <xf numFmtId="171" fontId="50" fillId="32" borderId="21" xfId="48" applyNumberFormat="1" applyFont="1" applyFill="1" applyBorder="1" applyAlignment="1" applyProtection="1"/>
    <xf numFmtId="171" fontId="47" fillId="0" borderId="29" xfId="27" applyNumberFormat="1" applyFont="1" applyFill="1" applyBorder="1" applyAlignment="1" applyProtection="1"/>
    <xf numFmtId="171" fontId="47" fillId="0" borderId="0" xfId="27" applyNumberFormat="1" applyFont="1" applyFill="1" applyBorder="1" applyAlignment="1" applyProtection="1"/>
    <xf numFmtId="3" fontId="28" fillId="42" borderId="84" xfId="48" applyNumberFormat="1" applyFont="1" applyFill="1" applyBorder="1" applyProtection="1"/>
    <xf numFmtId="3" fontId="28" fillId="36" borderId="149" xfId="48" applyNumberFormat="1" applyFont="1" applyFill="1" applyBorder="1" applyProtection="1"/>
    <xf numFmtId="3" fontId="28" fillId="0" borderId="83" xfId="26" applyNumberFormat="1" applyFont="1" applyFill="1" applyBorder="1" applyProtection="1"/>
    <xf numFmtId="3" fontId="28" fillId="0" borderId="14" xfId="26" applyNumberFormat="1" applyFont="1" applyFill="1" applyBorder="1" applyProtection="1"/>
    <xf numFmtId="3" fontId="28" fillId="0" borderId="14" xfId="26" applyNumberFormat="1" applyFont="1" applyFill="1" applyBorder="1" applyAlignment="1" applyProtection="1"/>
    <xf numFmtId="3" fontId="28" fillId="0" borderId="45" xfId="0" applyNumberFormat="1" applyFont="1" applyFill="1" applyBorder="1" applyAlignment="1" applyProtection="1">
      <alignment wrapText="1"/>
    </xf>
    <xf numFmtId="3" fontId="28" fillId="0" borderId="14" xfId="0" applyNumberFormat="1" applyFont="1" applyFill="1" applyBorder="1" applyAlignment="1" applyProtection="1"/>
    <xf numFmtId="3" fontId="28" fillId="0" borderId="14" xfId="26" applyNumberFormat="1" applyFont="1" applyFill="1" applyBorder="1" applyAlignment="1" applyProtection="1">
      <alignment wrapText="1"/>
    </xf>
    <xf numFmtId="3" fontId="28" fillId="0" borderId="45" xfId="26" applyNumberFormat="1" applyFont="1" applyFill="1" applyBorder="1" applyProtection="1"/>
    <xf numFmtId="3" fontId="28" fillId="42" borderId="75" xfId="48" applyNumberFormat="1" applyFont="1" applyFill="1" applyBorder="1" applyProtection="1"/>
    <xf numFmtId="3" fontId="28" fillId="36" borderId="148" xfId="48" applyNumberFormat="1" applyFont="1" applyFill="1" applyBorder="1" applyProtection="1"/>
    <xf numFmtId="3" fontId="28" fillId="0" borderId="22" xfId="26" applyNumberFormat="1" applyFont="1" applyFill="1" applyBorder="1" applyAlignment="1" applyProtection="1">
      <alignment vertical="center"/>
    </xf>
    <xf numFmtId="3" fontId="28" fillId="0" borderId="10" xfId="26" applyNumberFormat="1" applyFont="1" applyFill="1" applyBorder="1" applyAlignment="1" applyProtection="1">
      <alignment vertical="center"/>
    </xf>
    <xf numFmtId="3" fontId="28" fillId="0" borderId="11" xfId="0" applyNumberFormat="1" applyFont="1" applyFill="1" applyBorder="1" applyAlignment="1" applyProtection="1">
      <alignment vertical="center"/>
    </xf>
    <xf numFmtId="3" fontId="28" fillId="0" borderId="10" xfId="0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42" borderId="75" xfId="48" applyNumberFormat="1" applyFont="1" applyFill="1" applyBorder="1" applyAlignment="1" applyProtection="1">
      <alignment vertical="center" wrapText="1"/>
    </xf>
    <xf numFmtId="3" fontId="28" fillId="36" borderId="148" xfId="48" applyNumberFormat="1" applyFont="1" applyFill="1" applyBorder="1" applyAlignment="1" applyProtection="1">
      <alignment vertical="center" wrapText="1"/>
    </xf>
    <xf numFmtId="3" fontId="28" fillId="0" borderId="22" xfId="26" applyNumberFormat="1" applyFont="1" applyFill="1" applyBorder="1" applyAlignment="1" applyProtection="1">
      <alignment vertical="center" wrapText="1"/>
    </xf>
    <xf numFmtId="3" fontId="28" fillId="0" borderId="10" xfId="26" applyNumberFormat="1" applyFont="1" applyFill="1" applyBorder="1" applyAlignment="1" applyProtection="1">
      <alignment vertical="center" wrapText="1"/>
    </xf>
    <xf numFmtId="3" fontId="28" fillId="0" borderId="11" xfId="0" applyNumberFormat="1" applyFont="1" applyFill="1" applyBorder="1" applyAlignment="1" applyProtection="1">
      <alignment vertical="center" wrapText="1"/>
    </xf>
    <xf numFmtId="3" fontId="28" fillId="0" borderId="10" xfId="0" applyNumberFormat="1" applyFont="1" applyFill="1" applyBorder="1" applyAlignment="1" applyProtection="1">
      <alignment vertical="center" wrapText="1"/>
    </xf>
    <xf numFmtId="3" fontId="28" fillId="0" borderId="11" xfId="26" applyNumberFormat="1" applyFont="1" applyFill="1" applyBorder="1" applyAlignment="1" applyProtection="1">
      <alignment vertical="center" wrapText="1"/>
    </xf>
    <xf numFmtId="3" fontId="28" fillId="0" borderId="45" xfId="0" applyNumberFormat="1" applyFont="1" applyFill="1" applyBorder="1" applyProtection="1"/>
    <xf numFmtId="3" fontId="28" fillId="0" borderId="14" xfId="0" applyNumberFormat="1" applyFont="1" applyFill="1" applyBorder="1" applyProtection="1"/>
    <xf numFmtId="3" fontId="28" fillId="42" borderId="79" xfId="26" applyNumberFormat="1" applyFont="1" applyFill="1" applyBorder="1" applyProtection="1"/>
    <xf numFmtId="3" fontId="28" fillId="0" borderId="10" xfId="26" applyNumberFormat="1" applyFont="1" applyFill="1" applyBorder="1" applyAlignment="1" applyProtection="1">
      <alignment horizontal="right"/>
    </xf>
    <xf numFmtId="3" fontId="28" fillId="42" borderId="75" xfId="26" applyNumberFormat="1" applyFont="1" applyFill="1" applyBorder="1" applyAlignment="1" applyProtection="1">
      <alignment vertical="center" wrapText="1"/>
    </xf>
    <xf numFmtId="3" fontId="28" fillId="36" borderId="148" xfId="26" applyNumberFormat="1" applyFont="1" applyFill="1" applyBorder="1" applyAlignment="1" applyProtection="1">
      <alignment vertical="center" wrapText="1"/>
    </xf>
    <xf numFmtId="3" fontId="28" fillId="0" borderId="22" xfId="0" applyNumberFormat="1" applyFont="1" applyFill="1" applyBorder="1" applyAlignment="1" applyProtection="1">
      <alignment vertical="center" wrapText="1"/>
    </xf>
    <xf numFmtId="3" fontId="28" fillId="0" borderId="83" xfId="0" applyNumberFormat="1" applyFont="1" applyFill="1" applyBorder="1" applyProtection="1"/>
    <xf numFmtId="168" fontId="50" fillId="33" borderId="54" xfId="0" applyNumberFormat="1" applyFont="1" applyFill="1" applyBorder="1" applyAlignment="1" applyProtection="1">
      <alignment horizontal="center" wrapText="1"/>
    </xf>
    <xf numFmtId="3" fontId="50" fillId="33" borderId="44" xfId="0" applyNumberFormat="1" applyFont="1" applyFill="1" applyBorder="1" applyAlignment="1" applyProtection="1">
      <alignment horizontal="center"/>
    </xf>
    <xf numFmtId="3" fontId="50" fillId="35" borderId="86" xfId="0" applyNumberFormat="1" applyFont="1" applyFill="1" applyBorder="1" applyAlignment="1" applyProtection="1">
      <alignment horizontal="center"/>
    </xf>
    <xf numFmtId="3" fontId="50" fillId="41" borderId="135" xfId="0" applyNumberFormat="1" applyFont="1" applyFill="1" applyBorder="1" applyAlignment="1" applyProtection="1">
      <alignment horizontal="center"/>
    </xf>
    <xf numFmtId="3" fontId="50" fillId="41" borderId="87" xfId="0" applyNumberFormat="1" applyFont="1" applyFill="1" applyBorder="1" applyAlignment="1" applyProtection="1">
      <alignment horizontal="center"/>
    </xf>
    <xf numFmtId="0" fontId="47" fillId="0" borderId="83" xfId="0" applyFont="1" applyFill="1" applyBorder="1" applyAlignment="1" applyProtection="1"/>
    <xf numFmtId="0" fontId="47" fillId="0" borderId="45" xfId="0" applyFont="1" applyFill="1" applyBorder="1" applyProtection="1"/>
    <xf numFmtId="3" fontId="50" fillId="34" borderId="35" xfId="26" applyNumberFormat="1" applyFont="1" applyFill="1" applyBorder="1" applyAlignment="1" applyProtection="1">
      <alignment horizontal="right"/>
    </xf>
    <xf numFmtId="3" fontId="47" fillId="36" borderId="37" xfId="26" applyNumberFormat="1" applyFont="1" applyFill="1" applyBorder="1" applyAlignment="1" applyProtection="1">
      <alignment horizontal="right"/>
    </xf>
    <xf numFmtId="3" fontId="47" fillId="42" borderId="84" xfId="26" applyNumberFormat="1" applyFont="1" applyFill="1" applyBorder="1" applyAlignment="1" applyProtection="1">
      <alignment horizontal="right"/>
    </xf>
    <xf numFmtId="3" fontId="47" fillId="42" borderId="45" xfId="26" applyNumberFormat="1" applyFont="1" applyFill="1" applyBorder="1" applyAlignment="1" applyProtection="1">
      <alignment horizontal="right"/>
    </xf>
    <xf numFmtId="0" fontId="47" fillId="0" borderId="22" xfId="0" applyFont="1" applyFill="1" applyBorder="1" applyAlignment="1" applyProtection="1"/>
    <xf numFmtId="3" fontId="47" fillId="0" borderId="11" xfId="0" applyNumberFormat="1" applyFont="1" applyFill="1" applyBorder="1" applyProtection="1"/>
    <xf numFmtId="3" fontId="50" fillId="34" borderId="31" xfId="26" applyNumberFormat="1" applyFont="1" applyFill="1" applyBorder="1" applyAlignment="1" applyProtection="1">
      <alignment horizontal="right"/>
    </xf>
    <xf numFmtId="3" fontId="47" fillId="36" borderId="13" xfId="26" applyNumberFormat="1" applyFont="1" applyFill="1" applyBorder="1" applyAlignment="1" applyProtection="1">
      <alignment horizontal="right"/>
    </xf>
    <xf numFmtId="3" fontId="47" fillId="42" borderId="75" xfId="26" applyNumberFormat="1" applyFont="1" applyFill="1" applyBorder="1" applyAlignment="1" applyProtection="1">
      <alignment horizontal="right"/>
    </xf>
    <xf numFmtId="3" fontId="47" fillId="42" borderId="11" xfId="26" applyNumberFormat="1" applyFont="1" applyFill="1" applyBorder="1" applyAlignment="1" applyProtection="1">
      <alignment horizontal="right"/>
    </xf>
    <xf numFmtId="0" fontId="50" fillId="39" borderId="22" xfId="0" applyFont="1" applyFill="1" applyBorder="1" applyAlignment="1" applyProtection="1"/>
    <xf numFmtId="3" fontId="50" fillId="39" borderId="11" xfId="0" applyNumberFormat="1" applyFont="1" applyFill="1" applyBorder="1" applyAlignment="1" applyProtection="1">
      <alignment horizontal="left" indent="2"/>
    </xf>
    <xf numFmtId="3" fontId="50" fillId="39" borderId="31" xfId="26" applyNumberFormat="1" applyFont="1" applyFill="1" applyBorder="1" applyAlignment="1" applyProtection="1">
      <alignment horizontal="right"/>
    </xf>
    <xf numFmtId="3" fontId="50" fillId="39" borderId="13" xfId="26" applyNumberFormat="1" applyFont="1" applyFill="1" applyBorder="1" applyAlignment="1" applyProtection="1">
      <alignment horizontal="right"/>
    </xf>
    <xf numFmtId="3" fontId="50" fillId="39" borderId="75" xfId="26" applyNumberFormat="1" applyFont="1" applyFill="1" applyBorder="1" applyAlignment="1" applyProtection="1">
      <alignment horizontal="right"/>
    </xf>
    <xf numFmtId="3" fontId="50" fillId="39" borderId="11" xfId="26" applyNumberFormat="1" applyFont="1" applyFill="1" applyBorder="1" applyAlignment="1" applyProtection="1">
      <alignment horizontal="right"/>
    </xf>
    <xf numFmtId="10" fontId="50" fillId="39" borderId="60" xfId="26" applyNumberFormat="1" applyFont="1" applyFill="1" applyBorder="1" applyAlignment="1" applyProtection="1">
      <alignment horizontal="right"/>
    </xf>
    <xf numFmtId="49" fontId="47" fillId="0" borderId="11" xfId="0" applyNumberFormat="1" applyFont="1" applyFill="1" applyBorder="1" applyProtection="1"/>
    <xf numFmtId="3" fontId="47" fillId="0" borderId="11" xfId="0" applyNumberFormat="1" applyFont="1" applyFill="1" applyBorder="1" applyAlignment="1" applyProtection="1">
      <alignment horizontal="left"/>
    </xf>
    <xf numFmtId="0" fontId="47" fillId="0" borderId="22" xfId="0" applyFont="1" applyFill="1" applyBorder="1" applyAlignment="1" applyProtection="1">
      <alignment vertical="center"/>
    </xf>
    <xf numFmtId="3" fontId="47" fillId="0" borderId="11" xfId="0" applyNumberFormat="1" applyFont="1" applyFill="1" applyBorder="1" applyAlignment="1" applyProtection="1">
      <alignment vertical="center"/>
    </xf>
    <xf numFmtId="3" fontId="50" fillId="34" borderId="31" xfId="26" applyNumberFormat="1" applyFont="1" applyFill="1" applyBorder="1" applyAlignment="1" applyProtection="1">
      <alignment horizontal="right" vertical="center"/>
    </xf>
    <xf numFmtId="3" fontId="47" fillId="36" borderId="13" xfId="26" applyNumberFormat="1" applyFont="1" applyFill="1" applyBorder="1" applyAlignment="1" applyProtection="1">
      <alignment horizontal="right" vertical="center"/>
    </xf>
    <xf numFmtId="3" fontId="47" fillId="42" borderId="75" xfId="26" applyNumberFormat="1" applyFont="1" applyFill="1" applyBorder="1" applyAlignment="1" applyProtection="1">
      <alignment horizontal="right" vertical="center"/>
    </xf>
    <xf numFmtId="3" fontId="47" fillId="42" borderId="11" xfId="26" applyNumberFormat="1" applyFont="1" applyFill="1" applyBorder="1" applyAlignment="1" applyProtection="1">
      <alignment horizontal="right" vertical="center"/>
    </xf>
    <xf numFmtId="10" fontId="47" fillId="0" borderId="60" xfId="26" applyNumberFormat="1" applyFont="1" applyFill="1" applyBorder="1" applyAlignment="1" applyProtection="1">
      <alignment horizontal="right" vertical="center"/>
    </xf>
    <xf numFmtId="0" fontId="47" fillId="0" borderId="11" xfId="43" applyFont="1" applyFill="1" applyBorder="1" applyAlignment="1" applyProtection="1">
      <alignment vertical="center" wrapText="1"/>
    </xf>
    <xf numFmtId="0" fontId="50" fillId="39" borderId="78" xfId="0" applyFont="1" applyFill="1" applyBorder="1" applyAlignment="1" applyProtection="1"/>
    <xf numFmtId="3" fontId="50" fillId="39" borderId="57" xfId="0" applyNumberFormat="1" applyFont="1" applyFill="1" applyBorder="1" applyAlignment="1" applyProtection="1">
      <alignment horizontal="left" indent="2"/>
    </xf>
    <xf numFmtId="3" fontId="50" fillId="39" borderId="32" xfId="26" applyNumberFormat="1" applyFont="1" applyFill="1" applyBorder="1" applyAlignment="1" applyProtection="1">
      <alignment horizontal="right"/>
    </xf>
    <xf numFmtId="3" fontId="50" fillId="39" borderId="24" xfId="26" applyNumberFormat="1" applyFont="1" applyFill="1" applyBorder="1" applyAlignment="1" applyProtection="1">
      <alignment horizontal="right"/>
    </xf>
    <xf numFmtId="3" fontId="50" fillId="39" borderId="79" xfId="26" applyNumberFormat="1" applyFont="1" applyFill="1" applyBorder="1" applyAlignment="1" applyProtection="1">
      <alignment horizontal="right"/>
    </xf>
    <xf numFmtId="3" fontId="50" fillId="39" borderId="57" xfId="26" applyNumberFormat="1" applyFont="1" applyFill="1" applyBorder="1" applyAlignment="1" applyProtection="1">
      <alignment horizontal="right"/>
    </xf>
    <xf numFmtId="10" fontId="50" fillId="39" borderId="58" xfId="26" applyNumberFormat="1" applyFont="1" applyFill="1" applyBorder="1" applyAlignment="1" applyProtection="1">
      <alignment horizontal="right"/>
    </xf>
    <xf numFmtId="0" fontId="49" fillId="32" borderId="71" xfId="0" applyFont="1" applyFill="1" applyBorder="1" applyAlignment="1" applyProtection="1"/>
    <xf numFmtId="0" fontId="49" fillId="32" borderId="50" xfId="0" applyFont="1" applyFill="1" applyBorder="1" applyAlignment="1" applyProtection="1">
      <alignment horizontal="center"/>
    </xf>
    <xf numFmtId="3" fontId="49" fillId="34" borderId="27" xfId="26" applyNumberFormat="1" applyFont="1" applyFill="1" applyBorder="1" applyAlignment="1" applyProtection="1">
      <alignment horizontal="right"/>
    </xf>
    <xf numFmtId="3" fontId="49" fillId="36" borderId="96" xfId="26" applyNumberFormat="1" applyFont="1" applyFill="1" applyBorder="1" applyAlignment="1" applyProtection="1">
      <alignment horizontal="right"/>
    </xf>
    <xf numFmtId="3" fontId="49" fillId="42" borderId="77" xfId="26" applyNumberFormat="1" applyFont="1" applyFill="1" applyBorder="1" applyAlignment="1" applyProtection="1">
      <alignment horizontal="right"/>
    </xf>
    <xf numFmtId="3" fontId="49" fillId="42" borderId="50" xfId="26" applyNumberFormat="1" applyFont="1" applyFill="1" applyBorder="1" applyAlignment="1" applyProtection="1">
      <alignment horizontal="right"/>
    </xf>
    <xf numFmtId="10" fontId="49" fillId="32" borderId="101" xfId="26" applyNumberFormat="1" applyFont="1" applyFill="1" applyBorder="1" applyAlignment="1" applyProtection="1">
      <alignment horizontal="right"/>
    </xf>
    <xf numFmtId="0" fontId="48" fillId="0" borderId="0" xfId="0" applyFont="1" applyProtection="1"/>
    <xf numFmtId="0" fontId="47" fillId="0" borderId="0" xfId="0" applyFont="1" applyAlignment="1" applyProtection="1"/>
    <xf numFmtId="3" fontId="47" fillId="0" borderId="0" xfId="0" applyNumberFormat="1" applyFont="1" applyAlignment="1" applyProtection="1">
      <alignment horizontal="right"/>
    </xf>
    <xf numFmtId="168" fontId="50" fillId="33" borderId="54" xfId="41" applyNumberFormat="1" applyFont="1" applyFill="1" applyBorder="1" applyAlignment="1" applyProtection="1">
      <alignment horizontal="center"/>
    </xf>
    <xf numFmtId="3" fontId="50" fillId="33" borderId="44" xfId="41" applyNumberFormat="1" applyFont="1" applyFill="1" applyBorder="1" applyAlignment="1" applyProtection="1">
      <alignment horizontal="center"/>
    </xf>
    <xf numFmtId="3" fontId="50" fillId="35" borderId="55" xfId="41" applyNumberFormat="1" applyFont="1" applyFill="1" applyBorder="1" applyAlignment="1" applyProtection="1">
      <alignment horizontal="center"/>
    </xf>
    <xf numFmtId="3" fontId="50" fillId="41" borderId="123" xfId="41" applyNumberFormat="1" applyFont="1" applyFill="1" applyBorder="1" applyAlignment="1" applyProtection="1">
      <alignment horizontal="center"/>
    </xf>
    <xf numFmtId="3" fontId="50" fillId="35" borderId="102" xfId="41" applyNumberFormat="1" applyFont="1" applyFill="1" applyBorder="1" applyAlignment="1" applyProtection="1">
      <alignment horizontal="center"/>
    </xf>
    <xf numFmtId="3" fontId="50" fillId="41" borderId="76" xfId="41" applyNumberFormat="1" applyFont="1" applyFill="1" applyBorder="1" applyAlignment="1" applyProtection="1">
      <alignment horizontal="center"/>
    </xf>
    <xf numFmtId="3" fontId="50" fillId="35" borderId="134" xfId="41" applyNumberFormat="1" applyFont="1" applyFill="1" applyBorder="1" applyAlignment="1" applyProtection="1">
      <alignment horizontal="center"/>
    </xf>
    <xf numFmtId="49" fontId="47" fillId="0" borderId="22" xfId="41" applyNumberFormat="1" applyFont="1" applyFill="1" applyBorder="1" applyAlignment="1" applyProtection="1">
      <alignment horizontal="left"/>
    </xf>
    <xf numFmtId="0" fontId="47" fillId="0" borderId="11" xfId="41" applyFont="1" applyFill="1" applyBorder="1" applyProtection="1"/>
    <xf numFmtId="3" fontId="50" fillId="34" borderId="31" xfId="41" applyNumberFormat="1" applyFont="1" applyFill="1" applyBorder="1" applyAlignment="1" applyProtection="1">
      <alignment horizontal="right"/>
    </xf>
    <xf numFmtId="3" fontId="47" fillId="36" borderId="13" xfId="41" applyNumberFormat="1" applyFont="1" applyFill="1" applyBorder="1" applyAlignment="1" applyProtection="1">
      <alignment horizontal="right"/>
    </xf>
    <xf numFmtId="3" fontId="47" fillId="42" borderId="11" xfId="41" applyNumberFormat="1" applyFont="1" applyFill="1" applyBorder="1" applyAlignment="1" applyProtection="1">
      <alignment horizontal="right"/>
    </xf>
    <xf numFmtId="3" fontId="47" fillId="36" borderId="148" xfId="41" applyNumberFormat="1" applyFont="1" applyFill="1" applyBorder="1" applyAlignment="1" applyProtection="1">
      <alignment horizontal="right"/>
    </xf>
    <xf numFmtId="3" fontId="47" fillId="42" borderId="75" xfId="41" applyNumberFormat="1" applyFont="1" applyFill="1" applyBorder="1" applyAlignment="1" applyProtection="1">
      <alignment horizontal="right"/>
    </xf>
    <xf numFmtId="10" fontId="47" fillId="0" borderId="63" xfId="26" applyNumberFormat="1" applyFont="1" applyFill="1" applyBorder="1" applyAlignment="1" applyProtection="1">
      <alignment horizontal="right"/>
    </xf>
    <xf numFmtId="49" fontId="56" fillId="39" borderId="83" xfId="41" applyNumberFormat="1" applyFont="1" applyFill="1" applyBorder="1" applyAlignment="1" applyProtection="1">
      <alignment horizontal="left"/>
    </xf>
    <xf numFmtId="0" fontId="56" fillId="39" borderId="45" xfId="41" applyFont="1" applyFill="1" applyBorder="1" applyAlignment="1" applyProtection="1"/>
    <xf numFmtId="3" fontId="56" fillId="39" borderId="34" xfId="41" applyNumberFormat="1" applyFont="1" applyFill="1" applyBorder="1" applyAlignment="1" applyProtection="1">
      <alignment horizontal="right"/>
    </xf>
    <xf numFmtId="3" fontId="56" fillId="39" borderId="37" xfId="41" applyNumberFormat="1" applyFont="1" applyFill="1" applyBorder="1" applyAlignment="1" applyProtection="1">
      <alignment horizontal="right"/>
    </xf>
    <xf numFmtId="3" fontId="56" fillId="39" borderId="45" xfId="41" applyNumberFormat="1" applyFont="1" applyFill="1" applyBorder="1" applyAlignment="1" applyProtection="1">
      <alignment horizontal="right"/>
    </xf>
    <xf numFmtId="3" fontId="56" fillId="39" borderId="149" xfId="41" applyNumberFormat="1" applyFont="1" applyFill="1" applyBorder="1" applyAlignment="1" applyProtection="1">
      <alignment horizontal="right"/>
    </xf>
    <xf numFmtId="3" fontId="56" fillId="39" borderId="84" xfId="41" applyNumberFormat="1" applyFont="1" applyFill="1" applyBorder="1" applyAlignment="1" applyProtection="1">
      <alignment horizontal="right"/>
    </xf>
    <xf numFmtId="10" fontId="56" fillId="39" borderId="61" xfId="0" applyNumberFormat="1" applyFont="1" applyFill="1" applyBorder="1" applyAlignment="1" applyProtection="1">
      <alignment horizontal="right"/>
    </xf>
    <xf numFmtId="49" fontId="56" fillId="39" borderId="22" xfId="41" applyNumberFormat="1" applyFont="1" applyFill="1" applyBorder="1" applyAlignment="1" applyProtection="1">
      <alignment horizontal="left"/>
    </xf>
    <xf numFmtId="0" fontId="56" fillId="39" borderId="11" xfId="41" applyFont="1" applyFill="1" applyBorder="1" applyAlignment="1" applyProtection="1"/>
    <xf numFmtId="3" fontId="56" fillId="39" borderId="31" xfId="26" applyNumberFormat="1" applyFont="1" applyFill="1" applyBorder="1" applyAlignment="1" applyProtection="1">
      <alignment horizontal="right"/>
    </xf>
    <xf numFmtId="3" fontId="56" fillId="39" borderId="13" xfId="26" applyNumberFormat="1" applyFont="1" applyFill="1" applyBorder="1" applyAlignment="1" applyProtection="1">
      <alignment horizontal="right"/>
    </xf>
    <xf numFmtId="3" fontId="56" fillId="39" borderId="11" xfId="26" applyNumberFormat="1" applyFont="1" applyFill="1" applyBorder="1" applyAlignment="1" applyProtection="1">
      <alignment horizontal="right"/>
    </xf>
    <xf numFmtId="3" fontId="56" fillId="39" borderId="148" xfId="26" applyNumberFormat="1" applyFont="1" applyFill="1" applyBorder="1" applyAlignment="1" applyProtection="1">
      <alignment horizontal="right"/>
    </xf>
    <xf numFmtId="3" fontId="56" fillId="39" borderId="75" xfId="26" applyNumberFormat="1" applyFont="1" applyFill="1" applyBorder="1" applyAlignment="1" applyProtection="1">
      <alignment horizontal="right"/>
    </xf>
    <xf numFmtId="10" fontId="56" fillId="39" borderId="60" xfId="26" applyNumberFormat="1" applyFont="1" applyFill="1" applyBorder="1" applyAlignment="1" applyProtection="1">
      <alignment horizontal="right"/>
    </xf>
    <xf numFmtId="0" fontId="47" fillId="0" borderId="11" xfId="0" applyFont="1" applyFill="1" applyBorder="1" applyProtection="1"/>
    <xf numFmtId="3" fontId="47" fillId="36" borderId="148" xfId="26" applyNumberFormat="1" applyFont="1" applyFill="1" applyBorder="1" applyAlignment="1" applyProtection="1">
      <alignment horizontal="right"/>
    </xf>
    <xf numFmtId="49" fontId="57" fillId="40" borderId="22" xfId="41" applyNumberFormat="1" applyFont="1" applyFill="1" applyBorder="1" applyAlignment="1" applyProtection="1">
      <alignment horizontal="left"/>
    </xf>
    <xf numFmtId="0" fontId="57" fillId="40" borderId="11" xfId="41" applyFont="1" applyFill="1" applyBorder="1" applyProtection="1"/>
    <xf numFmtId="3" fontId="57" fillId="40" borderId="31" xfId="41" applyNumberFormat="1" applyFont="1" applyFill="1" applyBorder="1" applyAlignment="1" applyProtection="1">
      <alignment horizontal="right"/>
    </xf>
    <xf numFmtId="3" fontId="57" fillId="40" borderId="13" xfId="41" applyNumberFormat="1" applyFont="1" applyFill="1" applyBorder="1" applyAlignment="1" applyProtection="1">
      <alignment horizontal="right"/>
    </xf>
    <xf numFmtId="3" fontId="57" fillId="40" borderId="11" xfId="41" applyNumberFormat="1" applyFont="1" applyFill="1" applyBorder="1" applyAlignment="1" applyProtection="1">
      <alignment horizontal="right"/>
    </xf>
    <xf numFmtId="3" fontId="57" fillId="40" borderId="148" xfId="41" applyNumberFormat="1" applyFont="1" applyFill="1" applyBorder="1" applyAlignment="1" applyProtection="1">
      <alignment horizontal="right"/>
    </xf>
    <xf numFmtId="3" fontId="57" fillId="40" borderId="75" xfId="41" applyNumberFormat="1" applyFont="1" applyFill="1" applyBorder="1" applyAlignment="1" applyProtection="1">
      <alignment horizontal="right"/>
    </xf>
    <xf numFmtId="10" fontId="57" fillId="40" borderId="60" xfId="26" applyNumberFormat="1" applyFont="1" applyFill="1" applyBorder="1" applyAlignment="1" applyProtection="1">
      <alignment horizontal="right"/>
    </xf>
    <xf numFmtId="0" fontId="47" fillId="0" borderId="11" xfId="41" applyFont="1" applyFill="1" applyBorder="1" applyAlignment="1" applyProtection="1">
      <alignment horizontal="left" indent="1"/>
    </xf>
    <xf numFmtId="49" fontId="56" fillId="39" borderId="78" xfId="41" applyNumberFormat="1" applyFont="1" applyFill="1" applyBorder="1" applyAlignment="1" applyProtection="1">
      <alignment horizontal="left"/>
    </xf>
    <xf numFmtId="0" fontId="56" fillId="39" borderId="57" xfId="41" applyFont="1" applyFill="1" applyBorder="1" applyAlignment="1" applyProtection="1"/>
    <xf numFmtId="3" fontId="56" fillId="39" borderId="32" xfId="26" applyNumberFormat="1" applyFont="1" applyFill="1" applyBorder="1" applyAlignment="1" applyProtection="1">
      <alignment horizontal="right"/>
    </xf>
    <xf numFmtId="3" fontId="56" fillId="39" borderId="24" xfId="26" applyNumberFormat="1" applyFont="1" applyFill="1" applyBorder="1" applyAlignment="1" applyProtection="1">
      <alignment horizontal="right"/>
    </xf>
    <xf numFmtId="3" fontId="56" fillId="39" borderId="57" xfId="26" applyNumberFormat="1" applyFont="1" applyFill="1" applyBorder="1" applyAlignment="1" applyProtection="1">
      <alignment horizontal="right"/>
    </xf>
    <xf numFmtId="3" fontId="56" fillId="39" borderId="150" xfId="26" applyNumberFormat="1" applyFont="1" applyFill="1" applyBorder="1" applyAlignment="1" applyProtection="1">
      <alignment horizontal="right"/>
    </xf>
    <xf numFmtId="3" fontId="56" fillId="39" borderId="79" xfId="26" applyNumberFormat="1" applyFont="1" applyFill="1" applyBorder="1" applyAlignment="1" applyProtection="1">
      <alignment horizontal="right"/>
    </xf>
    <xf numFmtId="10" fontId="56" fillId="39" borderId="58" xfId="26" applyNumberFormat="1" applyFont="1" applyFill="1" applyBorder="1" applyAlignment="1" applyProtection="1">
      <alignment horizontal="right"/>
    </xf>
    <xf numFmtId="49" fontId="49" fillId="32" borderId="71" xfId="41" applyNumberFormat="1" applyFont="1" applyFill="1" applyBorder="1" applyAlignment="1" applyProtection="1">
      <alignment horizontal="left"/>
    </xf>
    <xf numFmtId="0" fontId="49" fillId="32" borderId="50" xfId="41" applyFont="1" applyFill="1" applyBorder="1" applyAlignment="1" applyProtection="1">
      <alignment horizontal="center"/>
    </xf>
    <xf numFmtId="3" fontId="49" fillId="32" borderId="27" xfId="26" applyNumberFormat="1" applyFont="1" applyFill="1" applyBorder="1" applyAlignment="1" applyProtection="1">
      <alignment horizontal="right"/>
    </xf>
    <xf numFmtId="3" fontId="49" fillId="32" borderId="96" xfId="26" applyNumberFormat="1" applyFont="1" applyFill="1" applyBorder="1" applyAlignment="1" applyProtection="1">
      <alignment horizontal="right"/>
    </xf>
    <xf numFmtId="3" fontId="49" fillId="32" borderId="50" xfId="26" applyNumberFormat="1" applyFont="1" applyFill="1" applyBorder="1" applyAlignment="1" applyProtection="1">
      <alignment horizontal="right"/>
    </xf>
    <xf numFmtId="3" fontId="49" fillId="32" borderId="151" xfId="26" applyNumberFormat="1" applyFont="1" applyFill="1" applyBorder="1" applyAlignment="1" applyProtection="1">
      <alignment horizontal="right"/>
    </xf>
    <xf numFmtId="3" fontId="49" fillId="32" borderId="77" xfId="26" applyNumberFormat="1" applyFont="1" applyFill="1" applyBorder="1" applyAlignment="1" applyProtection="1">
      <alignment horizontal="right"/>
    </xf>
    <xf numFmtId="49" fontId="47" fillId="0" borderId="0" xfId="0" applyNumberFormat="1" applyFont="1" applyAlignment="1" applyProtection="1">
      <alignment horizontal="left"/>
    </xf>
    <xf numFmtId="0" fontId="47" fillId="0" borderId="0" xfId="0" applyFont="1" applyFill="1" applyProtection="1"/>
    <xf numFmtId="0" fontId="47" fillId="0" borderId="0" xfId="0" applyFont="1" applyFill="1" applyAlignment="1" applyProtection="1">
      <alignment vertical="center"/>
    </xf>
    <xf numFmtId="0" fontId="47" fillId="0" borderId="83" xfId="41" applyFont="1" applyFill="1" applyBorder="1" applyAlignment="1" applyProtection="1"/>
    <xf numFmtId="0" fontId="47" fillId="0" borderId="45" xfId="41" applyFont="1" applyFill="1" applyBorder="1" applyProtection="1"/>
    <xf numFmtId="3" fontId="50" fillId="34" borderId="34" xfId="41" applyNumberFormat="1" applyFont="1" applyFill="1" applyBorder="1" applyAlignment="1" applyProtection="1">
      <alignment vertical="center"/>
    </xf>
    <xf numFmtId="3" fontId="47" fillId="36" borderId="97" xfId="41" applyNumberFormat="1" applyFont="1" applyFill="1" applyBorder="1" applyAlignment="1" applyProtection="1">
      <alignment vertical="center"/>
    </xf>
    <xf numFmtId="3" fontId="47" fillId="42" borderId="74" xfId="41" applyNumberFormat="1" applyFont="1" applyFill="1" applyBorder="1" applyAlignment="1" applyProtection="1">
      <alignment vertical="center"/>
    </xf>
    <xf numFmtId="3" fontId="47" fillId="42" borderId="154" xfId="41" applyNumberFormat="1" applyFont="1" applyFill="1" applyBorder="1" applyAlignment="1" applyProtection="1">
      <alignment vertical="center"/>
    </xf>
    <xf numFmtId="10" fontId="47" fillId="0" borderId="61" xfId="26" applyNumberFormat="1" applyFont="1" applyFill="1" applyBorder="1" applyAlignment="1" applyProtection="1">
      <alignment vertical="center"/>
    </xf>
    <xf numFmtId="0" fontId="50" fillId="40" borderId="22" xfId="41" applyFont="1" applyFill="1" applyBorder="1" applyAlignment="1" applyProtection="1"/>
    <xf numFmtId="0" fontId="50" fillId="40" borderId="11" xfId="41" applyFont="1" applyFill="1" applyBorder="1" applyAlignment="1" applyProtection="1"/>
    <xf numFmtId="3" fontId="50" fillId="40" borderId="31" xfId="26" applyNumberFormat="1" applyFont="1" applyFill="1" applyBorder="1" applyAlignment="1" applyProtection="1">
      <alignment horizontal="right"/>
    </xf>
    <xf numFmtId="3" fontId="50" fillId="40" borderId="22" xfId="26" applyNumberFormat="1" applyFont="1" applyFill="1" applyBorder="1" applyAlignment="1" applyProtection="1">
      <alignment horizontal="right"/>
    </xf>
    <xf numFmtId="3" fontId="50" fillId="40" borderId="75" xfId="26" applyNumberFormat="1" applyFont="1" applyFill="1" applyBorder="1" applyAlignment="1" applyProtection="1">
      <alignment horizontal="right"/>
    </xf>
    <xf numFmtId="3" fontId="50" fillId="40" borderId="11" xfId="26" applyNumberFormat="1" applyFont="1" applyFill="1" applyBorder="1" applyAlignment="1" applyProtection="1">
      <alignment horizontal="right"/>
    </xf>
    <xf numFmtId="10" fontId="50" fillId="40" borderId="60" xfId="26" applyNumberFormat="1" applyFont="1" applyFill="1" applyBorder="1" applyAlignment="1" applyProtection="1"/>
    <xf numFmtId="0" fontId="47" fillId="0" borderId="22" xfId="41" applyFont="1" applyFill="1" applyBorder="1" applyAlignment="1" applyProtection="1"/>
    <xf numFmtId="3" fontId="50" fillId="34" borderId="31" xfId="41" applyNumberFormat="1" applyFont="1" applyFill="1" applyBorder="1" applyAlignment="1" applyProtection="1">
      <alignment vertical="center"/>
    </xf>
    <xf numFmtId="3" fontId="47" fillId="36" borderId="22" xfId="41" applyNumberFormat="1" applyFont="1" applyFill="1" applyBorder="1" applyAlignment="1" applyProtection="1">
      <alignment vertical="center"/>
    </xf>
    <xf numFmtId="3" fontId="47" fillId="42" borderId="75" xfId="41" applyNumberFormat="1" applyFont="1" applyFill="1" applyBorder="1" applyAlignment="1" applyProtection="1">
      <alignment vertical="center"/>
    </xf>
    <xf numFmtId="3" fontId="47" fillId="42" borderId="11" xfId="41" applyNumberFormat="1" applyFont="1" applyFill="1" applyBorder="1" applyAlignment="1" applyProtection="1">
      <alignment vertical="center"/>
    </xf>
    <xf numFmtId="0" fontId="47" fillId="0" borderId="22" xfId="41" applyFont="1" applyFill="1" applyBorder="1" applyAlignment="1" applyProtection="1">
      <alignment vertical="center" wrapText="1"/>
    </xf>
    <xf numFmtId="0" fontId="47" fillId="0" borderId="11" xfId="41" applyFont="1" applyFill="1" applyBorder="1" applyAlignment="1" applyProtection="1">
      <alignment vertical="center" wrapText="1"/>
    </xf>
    <xf numFmtId="0" fontId="47" fillId="0" borderId="0" xfId="0" applyFont="1" applyFill="1" applyAlignment="1" applyProtection="1">
      <alignment vertical="center" wrapText="1"/>
    </xf>
    <xf numFmtId="0" fontId="49" fillId="39" borderId="22" xfId="41" applyFont="1" applyFill="1" applyBorder="1" applyAlignment="1" applyProtection="1"/>
    <xf numFmtId="0" fontId="49" fillId="39" borderId="11" xfId="41" applyFont="1" applyFill="1" applyBorder="1" applyAlignment="1" applyProtection="1">
      <alignment horizontal="left" indent="2"/>
    </xf>
    <xf numFmtId="3" fontId="49" fillId="39" borderId="31" xfId="26" applyNumberFormat="1" applyFont="1" applyFill="1" applyBorder="1" applyAlignment="1" applyProtection="1">
      <alignment horizontal="right"/>
    </xf>
    <xf numFmtId="3" fontId="49" fillId="39" borderId="22" xfId="26" applyNumberFormat="1" applyFont="1" applyFill="1" applyBorder="1" applyAlignment="1" applyProtection="1">
      <alignment horizontal="right"/>
    </xf>
    <xf numFmtId="3" fontId="49" fillId="39" borderId="75" xfId="26" applyNumberFormat="1" applyFont="1" applyFill="1" applyBorder="1" applyAlignment="1" applyProtection="1">
      <alignment horizontal="right"/>
    </xf>
    <xf numFmtId="3" fontId="49" fillId="39" borderId="11" xfId="26" applyNumberFormat="1" applyFont="1" applyFill="1" applyBorder="1" applyAlignment="1" applyProtection="1">
      <alignment horizontal="right"/>
    </xf>
    <xf numFmtId="10" fontId="49" fillId="39" borderId="60" xfId="26" applyNumberFormat="1" applyFont="1" applyFill="1" applyBorder="1" applyAlignment="1" applyProtection="1"/>
    <xf numFmtId="0" fontId="49" fillId="39" borderId="78" xfId="41" applyFont="1" applyFill="1" applyBorder="1" applyAlignment="1" applyProtection="1"/>
    <xf numFmtId="0" fontId="49" fillId="39" borderId="57" xfId="41" applyFont="1" applyFill="1" applyBorder="1" applyAlignment="1" applyProtection="1">
      <alignment horizontal="left" indent="2"/>
    </xf>
    <xf numFmtId="3" fontId="49" fillId="39" borderId="32" xfId="26" applyNumberFormat="1" applyFont="1" applyFill="1" applyBorder="1" applyAlignment="1" applyProtection="1">
      <alignment horizontal="right"/>
    </xf>
    <xf numFmtId="3" fontId="49" fillId="39" borderId="78" xfId="26" applyNumberFormat="1" applyFont="1" applyFill="1" applyBorder="1" applyAlignment="1" applyProtection="1">
      <alignment horizontal="right"/>
    </xf>
    <xf numFmtId="3" fontId="49" fillId="39" borderId="79" xfId="26" applyNumberFormat="1" applyFont="1" applyFill="1" applyBorder="1" applyAlignment="1" applyProtection="1">
      <alignment horizontal="right"/>
    </xf>
    <xf numFmtId="3" fontId="49" fillId="39" borderId="57" xfId="26" applyNumberFormat="1" applyFont="1" applyFill="1" applyBorder="1" applyAlignment="1" applyProtection="1">
      <alignment horizontal="right"/>
    </xf>
    <xf numFmtId="10" fontId="49" fillId="39" borderId="58" xfId="26" applyNumberFormat="1" applyFont="1" applyFill="1" applyBorder="1" applyAlignment="1" applyProtection="1"/>
    <xf numFmtId="3" fontId="63" fillId="32" borderId="71" xfId="26" applyNumberFormat="1" applyFont="1" applyFill="1" applyBorder="1" applyProtection="1"/>
    <xf numFmtId="3" fontId="63" fillId="32" borderId="77" xfId="26" applyNumberFormat="1" applyFont="1" applyFill="1" applyBorder="1" applyProtection="1"/>
    <xf numFmtId="3" fontId="63" fillId="32" borderId="50" xfId="26" applyNumberFormat="1" applyFont="1" applyFill="1" applyBorder="1" applyProtection="1"/>
    <xf numFmtId="10" fontId="63" fillId="32" borderId="101" xfId="26" applyNumberFormat="1" applyFont="1" applyFill="1" applyBorder="1" applyAlignment="1" applyProtection="1"/>
    <xf numFmtId="170" fontId="50" fillId="0" borderId="0" xfId="0" applyNumberFormat="1" applyFont="1" applyProtection="1"/>
    <xf numFmtId="170" fontId="47" fillId="0" borderId="0" xfId="0" applyNumberFormat="1" applyFont="1" applyProtection="1"/>
    <xf numFmtId="166" fontId="47" fillId="0" borderId="0" xfId="26" applyNumberFormat="1" applyFont="1" applyProtection="1"/>
    <xf numFmtId="166" fontId="47" fillId="0" borderId="0" xfId="0" applyNumberFormat="1" applyFont="1" applyProtection="1"/>
    <xf numFmtId="3" fontId="68" fillId="40" borderId="83" xfId="0" applyNumberFormat="1" applyFont="1" applyFill="1" applyBorder="1" applyAlignment="1" applyProtection="1">
      <alignment vertical="center"/>
    </xf>
    <xf numFmtId="3" fontId="68" fillId="40" borderId="84" xfId="0" applyNumberFormat="1" applyFont="1" applyFill="1" applyBorder="1" applyAlignment="1" applyProtection="1">
      <alignment vertical="center"/>
    </xf>
    <xf numFmtId="3" fontId="68" fillId="40" borderId="45" xfId="0" applyNumberFormat="1" applyFont="1" applyFill="1" applyBorder="1" applyAlignment="1" applyProtection="1">
      <alignment vertical="center"/>
    </xf>
    <xf numFmtId="3" fontId="47" fillId="31" borderId="22" xfId="0" applyNumberFormat="1" applyFont="1" applyFill="1" applyBorder="1" applyAlignment="1" applyProtection="1">
      <alignment vertical="center"/>
    </xf>
    <xf numFmtId="3" fontId="47" fillId="31" borderId="75" xfId="0" applyNumberFormat="1" applyFont="1" applyFill="1" applyBorder="1" applyAlignment="1" applyProtection="1">
      <alignment vertical="center"/>
    </xf>
    <xf numFmtId="3" fontId="47" fillId="31" borderId="11" xfId="0" applyNumberFormat="1" applyFont="1" applyFill="1" applyBorder="1" applyAlignment="1" applyProtection="1">
      <alignment vertical="center"/>
    </xf>
    <xf numFmtId="3" fontId="47" fillId="36" borderId="22" xfId="0" applyNumberFormat="1" applyFont="1" applyFill="1" applyBorder="1" applyAlignment="1" applyProtection="1">
      <alignment vertical="center"/>
    </xf>
    <xf numFmtId="3" fontId="47" fillId="42" borderId="75" xfId="0" applyNumberFormat="1" applyFont="1" applyFill="1" applyBorder="1" applyAlignment="1" applyProtection="1">
      <alignment vertical="center"/>
    </xf>
    <xf numFmtId="3" fontId="47" fillId="42" borderId="11" xfId="0" applyNumberFormat="1" applyFont="1" applyFill="1" applyBorder="1" applyAlignment="1" applyProtection="1">
      <alignment vertical="center"/>
    </xf>
    <xf numFmtId="3" fontId="68" fillId="40" borderId="22" xfId="0" applyNumberFormat="1" applyFont="1" applyFill="1" applyBorder="1" applyAlignment="1" applyProtection="1">
      <alignment vertical="center"/>
    </xf>
    <xf numFmtId="3" fontId="68" fillId="40" borderId="75" xfId="0" applyNumberFormat="1" applyFont="1" applyFill="1" applyBorder="1" applyAlignment="1" applyProtection="1">
      <alignment vertical="center"/>
    </xf>
    <xf numFmtId="3" fontId="68" fillId="40" borderId="11" xfId="0" applyNumberFormat="1" applyFont="1" applyFill="1" applyBorder="1" applyAlignment="1" applyProtection="1">
      <alignment vertical="center"/>
    </xf>
    <xf numFmtId="3" fontId="47" fillId="36" borderId="22" xfId="26" applyNumberFormat="1" applyFont="1" applyFill="1" applyBorder="1" applyAlignment="1" applyProtection="1">
      <alignment vertical="center"/>
    </xf>
    <xf numFmtId="3" fontId="47" fillId="42" borderId="75" xfId="26" applyNumberFormat="1" applyFont="1" applyFill="1" applyBorder="1" applyAlignment="1" applyProtection="1">
      <alignment vertical="center"/>
    </xf>
    <xf numFmtId="3" fontId="47" fillId="42" borderId="11" xfId="26" applyNumberFormat="1" applyFont="1" applyFill="1" applyBorder="1" applyAlignment="1" applyProtection="1">
      <alignment vertical="center"/>
    </xf>
    <xf numFmtId="3" fontId="47" fillId="31" borderId="22" xfId="26" applyNumberFormat="1" applyFont="1" applyFill="1" applyBorder="1" applyAlignment="1" applyProtection="1">
      <alignment vertical="center"/>
    </xf>
    <xf numFmtId="3" fontId="47" fillId="31" borderId="75" xfId="26" applyNumberFormat="1" applyFont="1" applyFill="1" applyBorder="1" applyAlignment="1" applyProtection="1">
      <alignment vertical="center"/>
    </xf>
    <xf numFmtId="3" fontId="47" fillId="31" borderId="11" xfId="26" applyNumberFormat="1" applyFont="1" applyFill="1" applyBorder="1" applyAlignment="1" applyProtection="1">
      <alignment vertical="center"/>
    </xf>
    <xf numFmtId="3" fontId="56" fillId="39" borderId="78" xfId="26" applyNumberFormat="1" applyFont="1" applyFill="1" applyBorder="1" applyAlignment="1" applyProtection="1">
      <alignment vertical="center"/>
    </xf>
    <xf numFmtId="3" fontId="56" fillId="39" borderId="79" xfId="26" applyNumberFormat="1" applyFont="1" applyFill="1" applyBorder="1" applyAlignment="1" applyProtection="1">
      <alignment vertical="center"/>
    </xf>
    <xf numFmtId="3" fontId="56" fillId="39" borderId="57" xfId="26" applyNumberFormat="1" applyFont="1" applyFill="1" applyBorder="1" applyAlignment="1" applyProtection="1">
      <alignment vertical="center"/>
    </xf>
    <xf numFmtId="0" fontId="76" fillId="35" borderId="102" xfId="0" applyFont="1" applyFill="1" applyBorder="1" applyAlignment="1" applyProtection="1">
      <alignment horizontal="center" vertical="center" wrapText="1"/>
    </xf>
    <xf numFmtId="0" fontId="76" fillId="35" borderId="69" xfId="0" applyFont="1" applyFill="1" applyBorder="1" applyAlignment="1" applyProtection="1">
      <alignment horizontal="center" vertical="center" wrapText="1"/>
    </xf>
    <xf numFmtId="0" fontId="76" fillId="35" borderId="55" xfId="0" applyFont="1" applyFill="1" applyBorder="1" applyAlignment="1" applyProtection="1">
      <alignment horizontal="center" vertical="center" wrapText="1"/>
    </xf>
    <xf numFmtId="0" fontId="77" fillId="35" borderId="69" xfId="0" applyFont="1" applyFill="1" applyBorder="1" applyAlignment="1">
      <alignment horizontal="center"/>
    </xf>
    <xf numFmtId="0" fontId="77" fillId="35" borderId="23" xfId="0" applyFont="1" applyFill="1" applyBorder="1" applyAlignment="1">
      <alignment horizontal="center"/>
    </xf>
    <xf numFmtId="0" fontId="77" fillId="35" borderId="73" xfId="0" applyFont="1" applyFill="1" applyBorder="1" applyAlignment="1">
      <alignment horizontal="center"/>
    </xf>
    <xf numFmtId="3" fontId="28" fillId="0" borderId="0" xfId="0" applyNumberFormat="1" applyFont="1" applyFill="1" applyBorder="1" applyAlignment="1" applyProtection="1">
      <alignment horizontal="center"/>
    </xf>
    <xf numFmtId="3" fontId="28" fillId="0" borderId="0" xfId="0" applyNumberFormat="1" applyFont="1" applyFill="1" applyBorder="1" applyAlignment="1" applyProtection="1"/>
    <xf numFmtId="3" fontId="28" fillId="0" borderId="0" xfId="48" applyNumberFormat="1" applyFont="1" applyFill="1" applyBorder="1" applyProtection="1"/>
    <xf numFmtId="3" fontId="28" fillId="0" borderId="0" xfId="48" applyNumberFormat="1" applyFont="1" applyFill="1" applyBorder="1" applyAlignment="1" applyProtection="1">
      <alignment vertical="center"/>
    </xf>
    <xf numFmtId="3" fontId="47" fillId="0" borderId="0" xfId="48" applyNumberFormat="1" applyFont="1" applyFill="1" applyBorder="1" applyProtection="1"/>
    <xf numFmtId="3" fontId="28" fillId="0" borderId="0" xfId="48" applyNumberFormat="1" applyFont="1" applyFill="1" applyBorder="1" applyAlignment="1" applyProtection="1">
      <alignment vertical="center" wrapText="1"/>
    </xf>
    <xf numFmtId="3" fontId="28" fillId="0" borderId="0" xfId="26" applyNumberFormat="1" applyFont="1" applyFill="1" applyBorder="1" applyProtection="1"/>
    <xf numFmtId="3" fontId="47" fillId="0" borderId="0" xfId="26" applyNumberFormat="1" applyFont="1" applyFill="1" applyBorder="1" applyProtection="1"/>
    <xf numFmtId="3" fontId="72" fillId="0" borderId="0" xfId="26" applyNumberFormat="1" applyFont="1" applyFill="1" applyBorder="1" applyProtection="1"/>
    <xf numFmtId="3" fontId="75" fillId="0" borderId="0" xfId="26" applyNumberFormat="1" applyFont="1" applyFill="1" applyBorder="1" applyProtection="1"/>
    <xf numFmtId="3" fontId="56" fillId="0" borderId="0" xfId="26" applyNumberFormat="1" applyFont="1" applyFill="1" applyBorder="1" applyProtection="1"/>
    <xf numFmtId="0" fontId="0" fillId="0" borderId="0" xfId="0"/>
    <xf numFmtId="0" fontId="0" fillId="0" borderId="0" xfId="0"/>
    <xf numFmtId="0" fontId="39" fillId="32" borderId="27" xfId="0" applyFont="1" applyFill="1" applyBorder="1" applyAlignment="1">
      <alignment horizontal="center" vertical="center" wrapText="1"/>
    </xf>
    <xf numFmtId="3" fontId="39" fillId="32" borderId="20" xfId="0" applyNumberFormat="1" applyFont="1" applyFill="1" applyBorder="1" applyAlignment="1">
      <alignment horizontal="right" vertical="center" wrapText="1"/>
    </xf>
    <xf numFmtId="3" fontId="39" fillId="32" borderId="21" xfId="0" applyNumberFormat="1" applyFont="1" applyFill="1" applyBorder="1" applyAlignment="1">
      <alignment horizontal="right" vertical="center" wrapText="1"/>
    </xf>
    <xf numFmtId="3" fontId="4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43" fillId="0" borderId="133" xfId="0" applyNumberFormat="1" applyFont="1" applyBorder="1" applyAlignment="1">
      <alignment horizontal="right" vertical="center" wrapText="1"/>
    </xf>
    <xf numFmtId="3" fontId="40" fillId="40" borderId="10" xfId="0" applyNumberFormat="1" applyFont="1" applyFill="1" applyBorder="1" applyAlignment="1">
      <alignment horizontal="right" vertical="center" wrapText="1"/>
    </xf>
    <xf numFmtId="3" fontId="40" fillId="40" borderId="15" xfId="0" applyNumberFormat="1" applyFont="1" applyFill="1" applyBorder="1" applyAlignment="1">
      <alignment horizontal="right" vertical="center" wrapText="1"/>
    </xf>
    <xf numFmtId="3" fontId="78" fillId="0" borderId="19" xfId="0" applyNumberFormat="1" applyFont="1" applyBorder="1" applyAlignment="1">
      <alignment horizontal="right" vertical="center" wrapText="1"/>
    </xf>
    <xf numFmtId="3" fontId="78" fillId="0" borderId="18" xfId="0" applyNumberFormat="1" applyFont="1" applyBorder="1" applyAlignment="1">
      <alignment horizontal="right" vertical="center" wrapText="1"/>
    </xf>
    <xf numFmtId="3" fontId="79" fillId="40" borderId="18" xfId="0" applyNumberFormat="1" applyFont="1" applyFill="1" applyBorder="1" applyAlignment="1">
      <alignment horizontal="right" vertical="center" wrapText="1"/>
    </xf>
    <xf numFmtId="3" fontId="79" fillId="39" borderId="18" xfId="0" applyNumberFormat="1" applyFont="1" applyFill="1" applyBorder="1" applyAlignment="1">
      <alignment horizontal="right" vertical="center" wrapText="1"/>
    </xf>
    <xf numFmtId="3" fontId="79" fillId="39" borderId="157" xfId="0" applyNumberFormat="1" applyFont="1" applyFill="1" applyBorder="1" applyAlignment="1">
      <alignment horizontal="right" vertical="center" wrapText="1"/>
    </xf>
    <xf numFmtId="3" fontId="41" fillId="32" borderId="21" xfId="0" applyNumberFormat="1" applyFont="1" applyFill="1" applyBorder="1" applyAlignment="1">
      <alignment horizontal="right" vertical="center" wrapText="1"/>
    </xf>
    <xf numFmtId="3" fontId="40" fillId="39" borderId="10" xfId="0" applyNumberFormat="1" applyFont="1" applyFill="1" applyBorder="1" applyAlignment="1">
      <alignment horizontal="right" vertical="center" wrapText="1"/>
    </xf>
    <xf numFmtId="3" fontId="40" fillId="39" borderId="15" xfId="0" applyNumberFormat="1" applyFont="1" applyFill="1" applyBorder="1" applyAlignment="1">
      <alignment horizontal="right" vertical="center" wrapText="1"/>
    </xf>
    <xf numFmtId="0" fontId="78" fillId="0" borderId="97" xfId="0" applyFont="1" applyBorder="1" applyAlignment="1">
      <alignment horizontal="left" vertical="center" wrapText="1"/>
    </xf>
    <xf numFmtId="3" fontId="78" fillId="0" borderId="156" xfId="0" applyNumberFormat="1" applyFont="1" applyBorder="1" applyAlignment="1">
      <alignment horizontal="right" vertical="center" wrapText="1"/>
    </xf>
    <xf numFmtId="0" fontId="78" fillId="0" borderId="22" xfId="0" applyFont="1" applyBorder="1" applyAlignment="1">
      <alignment horizontal="left" vertical="center" wrapText="1"/>
    </xf>
    <xf numFmtId="0" fontId="79" fillId="40" borderId="22" xfId="0" applyFont="1" applyFill="1" applyBorder="1" applyAlignment="1">
      <alignment horizontal="left" vertical="center" wrapText="1"/>
    </xf>
    <xf numFmtId="0" fontId="79" fillId="39" borderId="22" xfId="0" applyFont="1" applyFill="1" applyBorder="1" applyAlignment="1">
      <alignment horizontal="left" vertical="center" wrapText="1"/>
    </xf>
    <xf numFmtId="0" fontId="79" fillId="39" borderId="78" xfId="0" applyFont="1" applyFill="1" applyBorder="1" applyAlignment="1">
      <alignment horizontal="left" vertical="center" wrapText="1"/>
    </xf>
    <xf numFmtId="0" fontId="41" fillId="32" borderId="71" xfId="0" applyFont="1" applyFill="1" applyBorder="1" applyAlignment="1">
      <alignment horizontal="left" vertical="center" wrapText="1"/>
    </xf>
    <xf numFmtId="0" fontId="78" fillId="0" borderId="83" xfId="0" applyFont="1" applyBorder="1" applyAlignment="1">
      <alignment horizontal="left" vertical="center" wrapText="1"/>
    </xf>
    <xf numFmtId="0" fontId="39" fillId="32" borderId="71" xfId="0" applyFont="1" applyFill="1" applyBorder="1" applyAlignment="1">
      <alignment horizontal="left" vertical="center" wrapText="1"/>
    </xf>
    <xf numFmtId="0" fontId="43" fillId="0" borderId="97" xfId="0" applyFont="1" applyBorder="1" applyAlignment="1">
      <alignment horizontal="left" vertical="center" wrapText="1"/>
    </xf>
    <xf numFmtId="3" fontId="43" fillId="0" borderId="156" xfId="0" applyNumberFormat="1" applyFont="1" applyBorder="1" applyAlignment="1">
      <alignment horizontal="right" vertical="center" wrapText="1"/>
    </xf>
    <xf numFmtId="0" fontId="43" fillId="0" borderId="22" xfId="0" applyFont="1" applyBorder="1" applyAlignment="1">
      <alignment horizontal="lef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0" fontId="40" fillId="40" borderId="22" xfId="0" applyFont="1" applyFill="1" applyBorder="1" applyAlignment="1">
      <alignment horizontal="left" vertical="center" wrapText="1"/>
    </xf>
    <xf numFmtId="3" fontId="40" fillId="40" borderId="18" xfId="0" applyNumberFormat="1" applyFont="1" applyFill="1" applyBorder="1" applyAlignment="1">
      <alignment horizontal="right" vertical="center" wrapText="1"/>
    </xf>
    <xf numFmtId="0" fontId="40" fillId="40" borderId="78" xfId="0" applyFont="1" applyFill="1" applyBorder="1" applyAlignment="1">
      <alignment horizontal="left" vertical="center" wrapText="1"/>
    </xf>
    <xf numFmtId="3" fontId="40" fillId="40" borderId="157" xfId="0" applyNumberFormat="1" applyFont="1" applyFill="1" applyBorder="1" applyAlignment="1">
      <alignment horizontal="right" vertical="center" wrapText="1"/>
    </xf>
    <xf numFmtId="0" fontId="40" fillId="39" borderId="22" xfId="0" applyFont="1" applyFill="1" applyBorder="1" applyAlignment="1">
      <alignment horizontal="left" vertical="center" wrapText="1"/>
    </xf>
    <xf numFmtId="3" fontId="40" fillId="39" borderId="18" xfId="0" applyNumberFormat="1" applyFont="1" applyFill="1" applyBorder="1" applyAlignment="1">
      <alignment horizontal="right" vertical="center" wrapText="1"/>
    </xf>
    <xf numFmtId="0" fontId="40" fillId="39" borderId="78" xfId="0" applyFont="1" applyFill="1" applyBorder="1" applyAlignment="1">
      <alignment horizontal="left" vertical="center" wrapText="1"/>
    </xf>
    <xf numFmtId="3" fontId="40" fillId="39" borderId="157" xfId="0" applyNumberFormat="1" applyFont="1" applyFill="1" applyBorder="1" applyAlignment="1">
      <alignment horizontal="right" vertical="center" wrapText="1"/>
    </xf>
    <xf numFmtId="0" fontId="40" fillId="0" borderId="22" xfId="0" applyFont="1" applyBorder="1" applyAlignment="1">
      <alignment horizontal="left"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3" fontId="40" fillId="0" borderId="18" xfId="0" applyNumberFormat="1" applyFont="1" applyBorder="1" applyAlignment="1">
      <alignment horizontal="right" vertical="center" wrapText="1"/>
    </xf>
    <xf numFmtId="0" fontId="40" fillId="0" borderId="78" xfId="0" applyFont="1" applyBorder="1" applyAlignment="1">
      <alignment horizontal="left" vertical="center" wrapText="1"/>
    </xf>
    <xf numFmtId="3" fontId="40" fillId="0" borderId="15" xfId="0" applyNumberFormat="1" applyFont="1" applyBorder="1" applyAlignment="1">
      <alignment horizontal="right" vertical="center" wrapText="1"/>
    </xf>
    <xf numFmtId="3" fontId="40" fillId="0" borderId="157" xfId="0" applyNumberFormat="1" applyFont="1" applyBorder="1" applyAlignment="1">
      <alignment horizontal="right" vertical="center" wrapText="1"/>
    </xf>
    <xf numFmtId="0" fontId="43" fillId="0" borderId="83" xfId="0" applyFont="1" applyBorder="1" applyAlignment="1">
      <alignment horizontal="left" vertical="center" wrapText="1"/>
    </xf>
    <xf numFmtId="3" fontId="43" fillId="0" borderId="14" xfId="0" applyNumberFormat="1" applyFont="1" applyBorder="1" applyAlignment="1">
      <alignment horizontal="right" vertical="center" wrapText="1"/>
    </xf>
    <xf numFmtId="3" fontId="43" fillId="0" borderId="19" xfId="0" applyNumberFormat="1" applyFont="1" applyBorder="1" applyAlignment="1">
      <alignment horizontal="right" vertical="center" wrapText="1"/>
    </xf>
    <xf numFmtId="0" fontId="43" fillId="0" borderId="78" xfId="0" applyFont="1" applyBorder="1" applyAlignment="1">
      <alignment horizontal="left" vertical="center" wrapText="1"/>
    </xf>
    <xf numFmtId="3" fontId="43" fillId="0" borderId="15" xfId="0" applyNumberFormat="1" applyFont="1" applyBorder="1" applyAlignment="1">
      <alignment horizontal="right" vertical="center" wrapText="1"/>
    </xf>
    <xf numFmtId="3" fontId="43" fillId="0" borderId="157" xfId="0" applyNumberFormat="1" applyFont="1" applyBorder="1" applyAlignment="1">
      <alignment horizontal="right" vertical="center" wrapText="1"/>
    </xf>
    <xf numFmtId="0" fontId="41" fillId="40" borderId="22" xfId="0" applyFont="1" applyFill="1" applyBorder="1" applyAlignment="1">
      <alignment horizontal="left" vertical="center" wrapText="1"/>
    </xf>
    <xf numFmtId="3" fontId="41" fillId="40" borderId="10" xfId="0" applyNumberFormat="1" applyFont="1" applyFill="1" applyBorder="1" applyAlignment="1">
      <alignment horizontal="right" vertical="center" wrapText="1"/>
    </xf>
    <xf numFmtId="3" fontId="41" fillId="40" borderId="18" xfId="0" applyNumberFormat="1" applyFont="1" applyFill="1" applyBorder="1" applyAlignment="1">
      <alignment horizontal="right" vertical="center" wrapText="1"/>
    </xf>
    <xf numFmtId="0" fontId="41" fillId="40" borderId="78" xfId="0" applyFont="1" applyFill="1" applyBorder="1" applyAlignment="1">
      <alignment horizontal="left" vertical="center" wrapText="1"/>
    </xf>
    <xf numFmtId="3" fontId="41" fillId="40" borderId="15" xfId="0" applyNumberFormat="1" applyFont="1" applyFill="1" applyBorder="1" applyAlignment="1">
      <alignment horizontal="right" vertical="center" wrapText="1"/>
    </xf>
    <xf numFmtId="3" fontId="41" fillId="40" borderId="157" xfId="0" applyNumberFormat="1" applyFont="1" applyFill="1" applyBorder="1" applyAlignment="1">
      <alignment horizontal="right" vertical="center" wrapText="1"/>
    </xf>
    <xf numFmtId="3" fontId="78" fillId="0" borderId="133" xfId="0" applyNumberFormat="1" applyFont="1" applyBorder="1" applyAlignment="1">
      <alignment horizontal="right" vertical="center" wrapText="1"/>
    </xf>
    <xf numFmtId="0" fontId="79" fillId="0" borderId="22" xfId="0" applyFont="1" applyBorder="1" applyAlignment="1">
      <alignment horizontal="left" vertical="center" wrapText="1"/>
    </xf>
    <xf numFmtId="3" fontId="79" fillId="0" borderId="10" xfId="0" applyNumberFormat="1" applyFont="1" applyBorder="1" applyAlignment="1">
      <alignment horizontal="right" vertical="center" wrapText="1"/>
    </xf>
    <xf numFmtId="3" fontId="79" fillId="0" borderId="18" xfId="0" applyNumberFormat="1" applyFont="1" applyBorder="1" applyAlignment="1">
      <alignment horizontal="right" vertical="center" wrapText="1"/>
    </xf>
    <xf numFmtId="3" fontId="78" fillId="0" borderId="10" xfId="0" applyNumberFormat="1" applyFont="1" applyBorder="1" applyAlignment="1">
      <alignment horizontal="right" vertical="center" wrapText="1"/>
    </xf>
    <xf numFmtId="3" fontId="78" fillId="0" borderId="14" xfId="0" applyNumberFormat="1" applyFont="1" applyBorder="1" applyAlignment="1">
      <alignment horizontal="right" vertical="center" wrapText="1"/>
    </xf>
    <xf numFmtId="10" fontId="49" fillId="37" borderId="17" xfId="0" applyNumberFormat="1" applyFont="1" applyFill="1" applyBorder="1" applyAlignment="1">
      <alignment horizontal="center" vertical="center" wrapText="1"/>
    </xf>
    <xf numFmtId="10" fontId="49" fillId="37" borderId="70" xfId="0" applyNumberFormat="1" applyFont="1" applyFill="1" applyBorder="1" applyAlignment="1">
      <alignment horizontal="center" vertical="center"/>
    </xf>
    <xf numFmtId="0" fontId="60" fillId="32" borderId="47" xfId="0" applyFont="1" applyFill="1" applyBorder="1" applyAlignment="1">
      <alignment horizontal="center"/>
    </xf>
    <xf numFmtId="0" fontId="60" fillId="32" borderId="49" xfId="0" applyFont="1" applyFill="1" applyBorder="1" applyAlignment="1">
      <alignment horizontal="center"/>
    </xf>
    <xf numFmtId="0" fontId="49" fillId="32" borderId="47" xfId="0" applyFont="1" applyFill="1" applyBorder="1" applyAlignment="1">
      <alignment horizontal="center"/>
    </xf>
    <xf numFmtId="0" fontId="49" fillId="32" borderId="49" xfId="0" applyFont="1" applyFill="1" applyBorder="1" applyAlignment="1">
      <alignment horizontal="center"/>
    </xf>
    <xf numFmtId="0" fontId="63" fillId="32" borderId="38" xfId="0" applyFont="1" applyFill="1" applyBorder="1" applyAlignment="1">
      <alignment horizontal="center" vertical="center"/>
    </xf>
    <xf numFmtId="0" fontId="63" fillId="32" borderId="39" xfId="0" applyFont="1" applyFill="1" applyBorder="1" applyAlignment="1">
      <alignment horizontal="center" vertical="center"/>
    </xf>
    <xf numFmtId="0" fontId="63" fillId="32" borderId="51" xfId="0" applyFont="1" applyFill="1" applyBorder="1" applyAlignment="1">
      <alignment horizontal="center" vertical="center"/>
    </xf>
    <xf numFmtId="0" fontId="63" fillId="32" borderId="52" xfId="0" applyFont="1" applyFill="1" applyBorder="1" applyAlignment="1">
      <alignment horizontal="center" vertical="center"/>
    </xf>
    <xf numFmtId="10" fontId="49" fillId="37" borderId="40" xfId="0" applyNumberFormat="1" applyFont="1" applyFill="1" applyBorder="1" applyAlignment="1">
      <alignment horizontal="center" vertical="center" wrapText="1"/>
    </xf>
    <xf numFmtId="10" fontId="49" fillId="37" borderId="53" xfId="0" applyNumberFormat="1" applyFont="1" applyFill="1" applyBorder="1" applyAlignment="1">
      <alignment horizontal="center" vertical="center"/>
    </xf>
    <xf numFmtId="167" fontId="33" fillId="32" borderId="54" xfId="0" applyNumberFormat="1" applyFont="1" applyFill="1" applyBorder="1" applyAlignment="1" applyProtection="1">
      <alignment horizontal="center" vertical="center" wrapText="1"/>
    </xf>
    <xf numFmtId="167" fontId="33" fillId="32" borderId="38" xfId="0" applyNumberFormat="1" applyFont="1" applyFill="1" applyBorder="1" applyAlignment="1" applyProtection="1">
      <alignment horizontal="center" vertical="center" wrapText="1"/>
    </xf>
    <xf numFmtId="167" fontId="33" fillId="32" borderId="44" xfId="0" applyNumberFormat="1" applyFont="1" applyFill="1" applyBorder="1" applyAlignment="1" applyProtection="1">
      <alignment horizontal="center" vertical="center" wrapText="1"/>
    </xf>
    <xf numFmtId="167" fontId="33" fillId="32" borderId="51" xfId="0" applyNumberFormat="1" applyFont="1" applyFill="1" applyBorder="1" applyAlignment="1" applyProtection="1">
      <alignment horizontal="center" vertical="center" wrapText="1"/>
    </xf>
    <xf numFmtId="167" fontId="50" fillId="37" borderId="89" xfId="0" applyNumberFormat="1" applyFont="1" applyFill="1" applyBorder="1" applyAlignment="1" applyProtection="1">
      <alignment horizontal="center" vertical="center" wrapText="1"/>
    </xf>
    <xf numFmtId="167" fontId="50" fillId="37" borderId="90" xfId="0" applyNumberFormat="1" applyFont="1" applyFill="1" applyBorder="1" applyAlignment="1" applyProtection="1">
      <alignment horizontal="center" vertical="center" wrapText="1"/>
    </xf>
    <xf numFmtId="167" fontId="33" fillId="32" borderId="40" xfId="0" applyNumberFormat="1" applyFont="1" applyFill="1" applyBorder="1" applyAlignment="1" applyProtection="1">
      <alignment horizontal="center" vertical="center" wrapText="1"/>
    </xf>
    <xf numFmtId="167" fontId="33" fillId="32" borderId="53" xfId="0" applyNumberFormat="1" applyFont="1" applyFill="1" applyBorder="1" applyAlignment="1" applyProtection="1">
      <alignment horizontal="center" vertical="center" wrapText="1"/>
    </xf>
    <xf numFmtId="167" fontId="50" fillId="37" borderId="40" xfId="0" applyNumberFormat="1" applyFont="1" applyFill="1" applyBorder="1" applyAlignment="1" applyProtection="1">
      <alignment horizontal="center" vertical="center" wrapText="1"/>
    </xf>
    <xf numFmtId="167" fontId="50" fillId="37" borderId="53" xfId="0" applyNumberFormat="1" applyFont="1" applyFill="1" applyBorder="1" applyAlignment="1" applyProtection="1">
      <alignment horizontal="center" vertical="center" wrapText="1"/>
    </xf>
    <xf numFmtId="0" fontId="33" fillId="32" borderId="48" xfId="0" applyFont="1" applyFill="1" applyBorder="1" applyAlignment="1" applyProtection="1">
      <alignment horizontal="left"/>
    </xf>
    <xf numFmtId="0" fontId="33" fillId="32" borderId="47" xfId="0" applyFont="1" applyFill="1" applyBorder="1" applyAlignment="1" applyProtection="1">
      <alignment horizontal="center"/>
    </xf>
    <xf numFmtId="0" fontId="33" fillId="32" borderId="48" xfId="0" applyFont="1" applyFill="1" applyBorder="1" applyAlignment="1" applyProtection="1">
      <alignment horizontal="center"/>
    </xf>
    <xf numFmtId="0" fontId="27" fillId="32" borderId="87" xfId="0" applyFont="1" applyFill="1" applyBorder="1" applyAlignment="1" applyProtection="1">
      <alignment horizontal="center"/>
    </xf>
    <xf numFmtId="0" fontId="27" fillId="32" borderId="67" xfId="0" applyFont="1" applyFill="1" applyBorder="1" applyAlignment="1" applyProtection="1">
      <alignment horizontal="center"/>
    </xf>
    <xf numFmtId="167" fontId="6" fillId="0" borderId="47" xfId="0" applyNumberFormat="1" applyFont="1" applyFill="1" applyBorder="1" applyAlignment="1" applyProtection="1">
      <alignment horizontal="right" vertical="center" wrapText="1"/>
    </xf>
    <xf numFmtId="167" fontId="6" fillId="0" borderId="48" xfId="0" applyNumberFormat="1" applyFont="1" applyFill="1" applyBorder="1" applyAlignment="1" applyProtection="1">
      <alignment horizontal="right" vertical="center" wrapText="1"/>
    </xf>
    <xf numFmtId="167" fontId="6" fillId="0" borderId="39" xfId="0" applyNumberFormat="1" applyFont="1" applyFill="1" applyBorder="1" applyAlignment="1" applyProtection="1">
      <alignment horizontal="right" vertical="center" wrapText="1"/>
    </xf>
    <xf numFmtId="0" fontId="27" fillId="32" borderId="48" xfId="0" applyFont="1" applyFill="1" applyBorder="1" applyAlignment="1" applyProtection="1">
      <alignment horizontal="left"/>
    </xf>
    <xf numFmtId="3" fontId="50" fillId="41" borderId="115" xfId="0" applyNumberFormat="1" applyFont="1" applyFill="1" applyBorder="1" applyAlignment="1">
      <alignment horizontal="center" vertical="center"/>
    </xf>
    <xf numFmtId="3" fontId="50" fillId="41" borderId="141" xfId="0" applyNumberFormat="1" applyFont="1" applyFill="1" applyBorder="1" applyAlignment="1">
      <alignment horizontal="center" vertical="center"/>
    </xf>
    <xf numFmtId="0" fontId="33" fillId="32" borderId="17" xfId="0" applyFont="1" applyFill="1" applyBorder="1" applyAlignment="1">
      <alignment horizontal="center" vertical="center"/>
    </xf>
    <xf numFmtId="0" fontId="33" fillId="32" borderId="25" xfId="0" applyFont="1" applyFill="1" applyBorder="1" applyAlignment="1">
      <alignment horizontal="center" vertical="center"/>
    </xf>
    <xf numFmtId="0" fontId="33" fillId="32" borderId="70" xfId="0" applyFont="1" applyFill="1" applyBorder="1" applyAlignment="1">
      <alignment horizontal="center" vertical="center"/>
    </xf>
    <xf numFmtId="168" fontId="50" fillId="32" borderId="41" xfId="0" applyNumberFormat="1" applyFont="1" applyFill="1" applyBorder="1" applyAlignment="1">
      <alignment horizontal="center" vertical="center"/>
    </xf>
    <xf numFmtId="168" fontId="50" fillId="32" borderId="113" xfId="0" applyNumberFormat="1" applyFont="1" applyFill="1" applyBorder="1" applyAlignment="1">
      <alignment horizontal="center" vertical="center"/>
    </xf>
    <xf numFmtId="10" fontId="50" fillId="32" borderId="120" xfId="0" applyNumberFormat="1" applyFont="1" applyFill="1" applyBorder="1" applyAlignment="1">
      <alignment horizontal="center" vertical="center" wrapText="1"/>
    </xf>
    <xf numFmtId="10" fontId="50" fillId="32" borderId="46" xfId="0" applyNumberFormat="1" applyFont="1" applyFill="1" applyBorder="1" applyAlignment="1">
      <alignment horizontal="center" vertical="center" wrapText="1"/>
    </xf>
    <xf numFmtId="10" fontId="50" fillId="32" borderId="85" xfId="0" applyNumberFormat="1" applyFont="1" applyFill="1" applyBorder="1" applyAlignment="1">
      <alignment horizontal="center" vertical="center" wrapText="1"/>
    </xf>
    <xf numFmtId="10" fontId="50" fillId="32" borderId="142" xfId="0" applyNumberFormat="1" applyFont="1" applyFill="1" applyBorder="1" applyAlignment="1">
      <alignment horizontal="center" vertical="center" wrapText="1"/>
    </xf>
    <xf numFmtId="10" fontId="50" fillId="32" borderId="39" xfId="0" applyNumberFormat="1" applyFont="1" applyFill="1" applyBorder="1" applyAlignment="1">
      <alignment horizontal="center" vertical="center" wrapText="1"/>
    </xf>
    <xf numFmtId="10" fontId="50" fillId="32" borderId="40" xfId="0" applyNumberFormat="1" applyFont="1" applyFill="1" applyBorder="1" applyAlignment="1">
      <alignment horizontal="center" vertical="center" wrapText="1"/>
    </xf>
    <xf numFmtId="3" fontId="50" fillId="35" borderId="114" xfId="0" applyNumberFormat="1" applyFont="1" applyFill="1" applyBorder="1" applyAlignment="1">
      <alignment horizontal="center" vertical="center"/>
    </xf>
    <xf numFmtId="3" fontId="50" fillId="35" borderId="115" xfId="0" applyNumberFormat="1" applyFont="1" applyFill="1" applyBorder="1" applyAlignment="1">
      <alignment horizontal="center" vertical="center"/>
    </xf>
    <xf numFmtId="0" fontId="56" fillId="32" borderId="71" xfId="0" applyFont="1" applyFill="1" applyBorder="1" applyAlignment="1">
      <alignment horizontal="center"/>
    </xf>
    <xf numFmtId="0" fontId="56" fillId="32" borderId="50" xfId="0" applyFont="1" applyFill="1" applyBorder="1" applyAlignment="1">
      <alignment horizontal="center"/>
    </xf>
    <xf numFmtId="3" fontId="50" fillId="41" borderId="116" xfId="0" applyNumberFormat="1" applyFont="1" applyFill="1" applyBorder="1" applyAlignment="1">
      <alignment horizontal="center" vertical="center"/>
    </xf>
    <xf numFmtId="169" fontId="50" fillId="32" borderId="41" xfId="0" applyNumberFormat="1" applyFont="1" applyFill="1" applyBorder="1" applyAlignment="1">
      <alignment horizontal="center" vertical="center"/>
    </xf>
    <xf numFmtId="169" fontId="50" fillId="32" borderId="113" xfId="0" applyNumberFormat="1" applyFont="1" applyFill="1" applyBorder="1" applyAlignment="1">
      <alignment horizontal="center" vertical="center"/>
    </xf>
    <xf numFmtId="169" fontId="50" fillId="32" borderId="80" xfId="0" applyNumberFormat="1" applyFont="1" applyFill="1" applyBorder="1" applyAlignment="1">
      <alignment horizontal="center" vertical="center"/>
    </xf>
    <xf numFmtId="0" fontId="27" fillId="32" borderId="68" xfId="0" applyFont="1" applyFill="1" applyBorder="1" applyAlignment="1">
      <alignment horizontal="center" vertical="center" textRotation="71"/>
    </xf>
    <xf numFmtId="0" fontId="27" fillId="32" borderId="94" xfId="0" applyFont="1" applyFill="1" applyBorder="1" applyAlignment="1">
      <alignment horizontal="center" vertical="center" textRotation="71"/>
    </xf>
    <xf numFmtId="0" fontId="27" fillId="32" borderId="69" xfId="0" applyFont="1" applyFill="1" applyBorder="1" applyAlignment="1">
      <alignment horizontal="center" vertical="center" textRotation="71"/>
    </xf>
    <xf numFmtId="3" fontId="6" fillId="33" borderId="42" xfId="0" applyNumberFormat="1" applyFont="1" applyFill="1" applyBorder="1" applyAlignment="1">
      <alignment horizontal="center" vertical="center"/>
    </xf>
    <xf numFmtId="3" fontId="6" fillId="33" borderId="46" xfId="0" applyNumberFormat="1" applyFont="1" applyFill="1" applyBorder="1" applyAlignment="1">
      <alignment horizontal="center" vertical="center"/>
    </xf>
    <xf numFmtId="3" fontId="6" fillId="33" borderId="85" xfId="0" applyNumberFormat="1" applyFont="1" applyFill="1" applyBorder="1" applyAlignment="1">
      <alignment horizontal="center" vertical="center"/>
    </xf>
    <xf numFmtId="168" fontId="6" fillId="33" borderId="38" xfId="0" applyNumberFormat="1" applyFont="1" applyFill="1" applyBorder="1" applyAlignment="1">
      <alignment horizontal="center" vertical="center"/>
    </xf>
    <xf numFmtId="168" fontId="6" fillId="33" borderId="39" xfId="0" applyNumberFormat="1" applyFont="1" applyFill="1" applyBorder="1" applyAlignment="1">
      <alignment horizontal="center" vertical="center"/>
    </xf>
    <xf numFmtId="168" fontId="6" fillId="33" borderId="40" xfId="0" applyNumberFormat="1" applyFont="1" applyFill="1" applyBorder="1" applyAlignment="1">
      <alignment horizontal="center" vertical="center"/>
    </xf>
    <xf numFmtId="169" fontId="55" fillId="32" borderId="117" xfId="0" applyNumberFormat="1" applyFont="1" applyFill="1" applyBorder="1" applyAlignment="1">
      <alignment horizontal="center" vertical="center" wrapText="1"/>
    </xf>
    <xf numFmtId="169" fontId="55" fillId="32" borderId="113" xfId="0" applyNumberFormat="1" applyFont="1" applyFill="1" applyBorder="1" applyAlignment="1">
      <alignment horizontal="center" vertical="center" wrapText="1"/>
    </xf>
    <xf numFmtId="169" fontId="55" fillId="32" borderId="80" xfId="0" applyNumberFormat="1" applyFont="1" applyFill="1" applyBorder="1" applyAlignment="1">
      <alignment horizontal="center" vertical="center" wrapText="1"/>
    </xf>
    <xf numFmtId="169" fontId="55" fillId="32" borderId="118" xfId="0" applyNumberFormat="1" applyFont="1" applyFill="1" applyBorder="1" applyAlignment="1">
      <alignment horizontal="center" vertical="center" wrapText="1"/>
    </xf>
    <xf numFmtId="169" fontId="55" fillId="32" borderId="12" xfId="0" applyNumberFormat="1" applyFont="1" applyFill="1" applyBorder="1" applyAlignment="1">
      <alignment horizontal="center" vertical="center" wrapText="1"/>
    </xf>
    <xf numFmtId="169" fontId="55" fillId="32" borderId="81" xfId="0" applyNumberFormat="1" applyFont="1" applyFill="1" applyBorder="1" applyAlignment="1">
      <alignment horizontal="center" vertical="center" wrapText="1"/>
    </xf>
    <xf numFmtId="0" fontId="55" fillId="35" borderId="114" xfId="0" applyFont="1" applyFill="1" applyBorder="1" applyAlignment="1">
      <alignment horizontal="center" vertical="center"/>
    </xf>
    <xf numFmtId="0" fontId="55" fillId="35" borderId="115" xfId="0" applyFont="1" applyFill="1" applyBorder="1" applyAlignment="1">
      <alignment horizontal="center" vertical="center"/>
    </xf>
    <xf numFmtId="0" fontId="55" fillId="41" borderId="115" xfId="0" applyFont="1" applyFill="1" applyBorder="1" applyAlignment="1">
      <alignment horizontal="center" vertical="center"/>
    </xf>
    <xf numFmtId="0" fontId="55" fillId="41" borderId="141" xfId="0" applyFont="1" applyFill="1" applyBorder="1" applyAlignment="1">
      <alignment horizontal="center" vertical="center"/>
    </xf>
    <xf numFmtId="169" fontId="55" fillId="32" borderId="41" xfId="0" applyNumberFormat="1" applyFont="1" applyFill="1" applyBorder="1" applyAlignment="1">
      <alignment horizontal="center" vertical="center"/>
    </xf>
    <xf numFmtId="169" fontId="55" fillId="32" borderId="113" xfId="0" applyNumberFormat="1" applyFont="1" applyFill="1" applyBorder="1" applyAlignment="1">
      <alignment horizontal="center" vertical="center"/>
    </xf>
    <xf numFmtId="0" fontId="55" fillId="41" borderId="116" xfId="0" applyFont="1" applyFill="1" applyBorder="1" applyAlignment="1">
      <alignment horizontal="center" vertical="center"/>
    </xf>
    <xf numFmtId="3" fontId="56" fillId="32" borderId="47" xfId="0" applyNumberFormat="1" applyFont="1" applyFill="1" applyBorder="1" applyAlignment="1">
      <alignment horizontal="center"/>
    </xf>
    <xf numFmtId="3" fontId="56" fillId="32" borderId="129" xfId="0" applyNumberFormat="1" applyFont="1" applyFill="1" applyBorder="1" applyAlignment="1">
      <alignment horizontal="center"/>
    </xf>
    <xf numFmtId="169" fontId="55" fillId="32" borderId="80" xfId="0" applyNumberFormat="1" applyFont="1" applyFill="1" applyBorder="1" applyAlignment="1">
      <alignment horizontal="center" vertical="center"/>
    </xf>
    <xf numFmtId="0" fontId="55" fillId="33" borderId="42" xfId="0" applyFont="1" applyFill="1" applyBorder="1" applyAlignment="1">
      <alignment horizontal="center" vertical="center"/>
    </xf>
    <xf numFmtId="0" fontId="55" fillId="33" borderId="46" xfId="0" applyFont="1" applyFill="1" applyBorder="1" applyAlignment="1">
      <alignment horizontal="center" vertical="center"/>
    </xf>
    <xf numFmtId="0" fontId="55" fillId="33" borderId="85" xfId="0" applyFont="1" applyFill="1" applyBorder="1" applyAlignment="1">
      <alignment horizontal="center" vertical="center"/>
    </xf>
    <xf numFmtId="168" fontId="55" fillId="33" borderId="38" xfId="0" applyNumberFormat="1" applyFont="1" applyFill="1" applyBorder="1" applyAlignment="1">
      <alignment horizontal="center" vertical="center"/>
    </xf>
    <xf numFmtId="168" fontId="55" fillId="33" borderId="39" xfId="0" applyNumberFormat="1" applyFont="1" applyFill="1" applyBorder="1" applyAlignment="1">
      <alignment horizontal="center" vertical="center"/>
    </xf>
    <xf numFmtId="168" fontId="55" fillId="33" borderId="40" xfId="0" applyNumberFormat="1" applyFont="1" applyFill="1" applyBorder="1" applyAlignment="1">
      <alignment horizontal="center" vertical="center"/>
    </xf>
    <xf numFmtId="0" fontId="49" fillId="32" borderId="54" xfId="0" applyFont="1" applyFill="1" applyBorder="1" applyAlignment="1">
      <alignment horizontal="center" vertical="center"/>
    </xf>
    <xf numFmtId="0" fontId="49" fillId="32" borderId="28" xfId="0" applyFont="1" applyFill="1" applyBorder="1" applyAlignment="1">
      <alignment horizontal="center" vertical="center"/>
    </xf>
    <xf numFmtId="0" fontId="49" fillId="32" borderId="44" xfId="0" applyFont="1" applyFill="1" applyBorder="1" applyAlignment="1">
      <alignment horizontal="center" vertical="center"/>
    </xf>
    <xf numFmtId="0" fontId="55" fillId="32" borderId="54" xfId="0" applyFont="1" applyFill="1" applyBorder="1" applyAlignment="1">
      <alignment horizontal="center" vertical="center" textRotation="60"/>
    </xf>
    <xf numFmtId="0" fontId="55" fillId="32" borderId="28" xfId="0" applyFont="1" applyFill="1" applyBorder="1" applyAlignment="1">
      <alignment horizontal="center" vertical="center" textRotation="60"/>
    </xf>
    <xf numFmtId="0" fontId="55" fillId="32" borderId="44" xfId="0" applyFont="1" applyFill="1" applyBorder="1" applyAlignment="1">
      <alignment horizontal="center" vertical="center" textRotation="60"/>
    </xf>
    <xf numFmtId="0" fontId="56" fillId="32" borderId="71" xfId="0" applyFont="1" applyFill="1" applyBorder="1" applyAlignment="1">
      <alignment horizontal="left" indent="2"/>
    </xf>
    <xf numFmtId="0" fontId="56" fillId="32" borderId="50" xfId="0" applyFont="1" applyFill="1" applyBorder="1" applyAlignment="1">
      <alignment horizontal="left" indent="2"/>
    </xf>
    <xf numFmtId="0" fontId="50" fillId="39" borderId="71" xfId="0" applyFont="1" applyFill="1" applyBorder="1" applyAlignment="1">
      <alignment horizontal="left" indent="1"/>
    </xf>
    <xf numFmtId="0" fontId="50" fillId="39" borderId="50" xfId="0" applyFont="1" applyFill="1" applyBorder="1" applyAlignment="1">
      <alignment horizontal="left" indent="1"/>
    </xf>
    <xf numFmtId="3" fontId="67" fillId="40" borderId="22" xfId="0" applyNumberFormat="1" applyFont="1" applyFill="1" applyBorder="1" applyAlignment="1">
      <alignment horizontal="left" indent="2"/>
    </xf>
    <xf numFmtId="3" fontId="67" fillId="40" borderId="11" xfId="0" applyNumberFormat="1" applyFont="1" applyFill="1" applyBorder="1" applyAlignment="1">
      <alignment horizontal="left" indent="2"/>
    </xf>
    <xf numFmtId="0" fontId="63" fillId="32" borderId="27" xfId="0" applyFont="1" applyFill="1" applyBorder="1" applyAlignment="1" applyProtection="1">
      <alignment horizontal="center" vertical="center" wrapText="1"/>
    </xf>
    <xf numFmtId="0" fontId="63" fillId="32" borderId="47" xfId="0" applyFont="1" applyFill="1" applyBorder="1" applyAlignment="1" applyProtection="1">
      <alignment horizontal="center" vertical="center" wrapText="1"/>
    </xf>
    <xf numFmtId="10" fontId="50" fillId="32" borderId="101" xfId="0" applyNumberFormat="1" applyFont="1" applyFill="1" applyBorder="1" applyAlignment="1" applyProtection="1">
      <alignment horizontal="center" vertical="center" wrapText="1"/>
    </xf>
    <xf numFmtId="164" fontId="49" fillId="32" borderId="27" xfId="0" applyNumberFormat="1" applyFont="1" applyFill="1" applyBorder="1" applyAlignment="1" applyProtection="1">
      <alignment horizontal="center" vertical="center"/>
    </xf>
    <xf numFmtId="164" fontId="49" fillId="32" borderId="47" xfId="0" applyNumberFormat="1" applyFont="1" applyFill="1" applyBorder="1" applyAlignment="1" applyProtection="1">
      <alignment horizontal="center" vertical="center"/>
    </xf>
    <xf numFmtId="169" fontId="50" fillId="32" borderId="41" xfId="0" applyNumberFormat="1" applyFont="1" applyFill="1" applyBorder="1" applyAlignment="1" applyProtection="1">
      <alignment horizontal="center" vertical="center" wrapText="1"/>
    </xf>
    <xf numFmtId="169" fontId="50" fillId="32" borderId="62" xfId="0" applyNumberFormat="1" applyFont="1" applyFill="1" applyBorder="1" applyAlignment="1" applyProtection="1">
      <alignment horizontal="center" vertical="center" wrapText="1"/>
    </xf>
    <xf numFmtId="169" fontId="50" fillId="32" borderId="132" xfId="0" applyNumberFormat="1" applyFont="1" applyFill="1" applyBorder="1" applyAlignment="1" applyProtection="1">
      <alignment horizontal="center" vertical="center" wrapText="1"/>
    </xf>
    <xf numFmtId="168" fontId="50" fillId="32" borderId="132" xfId="0" applyNumberFormat="1" applyFont="1" applyFill="1" applyBorder="1" applyAlignment="1" applyProtection="1">
      <alignment horizontal="center" vertical="center" wrapText="1"/>
    </xf>
    <xf numFmtId="168" fontId="50" fillId="32" borderId="113" xfId="0" applyNumberFormat="1" applyFont="1" applyFill="1" applyBorder="1" applyAlignment="1" applyProtection="1">
      <alignment horizontal="center" vertical="center" wrapText="1"/>
    </xf>
    <xf numFmtId="0" fontId="63" fillId="32" borderId="47" xfId="0" applyFont="1" applyFill="1" applyBorder="1" applyAlignment="1" applyProtection="1">
      <alignment horizontal="center"/>
    </xf>
    <xf numFmtId="0" fontId="63" fillId="32" borderId="49" xfId="0" applyFont="1" applyFill="1" applyBorder="1" applyAlignment="1" applyProtection="1">
      <alignment horizontal="center"/>
    </xf>
    <xf numFmtId="167" fontId="63" fillId="32" borderId="47" xfId="0" applyNumberFormat="1" applyFont="1" applyFill="1" applyBorder="1" applyAlignment="1" applyProtection="1">
      <alignment horizontal="center" vertical="center" wrapText="1"/>
    </xf>
    <xf numFmtId="0" fontId="55" fillId="32" borderId="27" xfId="0" applyFont="1" applyFill="1" applyBorder="1" applyAlignment="1" applyProtection="1">
      <alignment vertical="center" textRotation="75"/>
    </xf>
    <xf numFmtId="169" fontId="50" fillId="32" borderId="80" xfId="0" applyNumberFormat="1" applyFont="1" applyFill="1" applyBorder="1" applyAlignment="1" applyProtection="1">
      <alignment horizontal="center" wrapText="1"/>
    </xf>
    <xf numFmtId="169" fontId="50" fillId="32" borderId="41" xfId="0" applyNumberFormat="1" applyFont="1" applyFill="1" applyBorder="1" applyAlignment="1" applyProtection="1">
      <alignment horizontal="center" wrapText="1"/>
    </xf>
    <xf numFmtId="168" fontId="50" fillId="32" borderId="131" xfId="0" applyNumberFormat="1" applyFont="1" applyFill="1" applyBorder="1" applyAlignment="1" applyProtection="1">
      <alignment horizontal="center" wrapText="1"/>
    </xf>
    <xf numFmtId="168" fontId="50" fillId="32" borderId="132" xfId="0" applyNumberFormat="1" applyFont="1" applyFill="1" applyBorder="1" applyAlignment="1" applyProtection="1">
      <alignment horizontal="center" wrapText="1"/>
    </xf>
    <xf numFmtId="169" fontId="50" fillId="32" borderId="131" xfId="0" applyNumberFormat="1" applyFont="1" applyFill="1" applyBorder="1" applyAlignment="1" applyProtection="1">
      <alignment horizontal="center" wrapText="1"/>
    </xf>
    <xf numFmtId="168" fontId="50" fillId="33" borderId="54" xfId="0" applyNumberFormat="1" applyFont="1" applyFill="1" applyBorder="1" applyAlignment="1" applyProtection="1">
      <alignment horizontal="center" vertical="center" wrapText="1"/>
    </xf>
    <xf numFmtId="168" fontId="50" fillId="33" borderId="44" xfId="0" applyNumberFormat="1" applyFont="1" applyFill="1" applyBorder="1" applyAlignment="1" applyProtection="1">
      <alignment horizontal="center" vertical="center" wrapText="1"/>
    </xf>
    <xf numFmtId="49" fontId="50" fillId="32" borderId="68" xfId="41" applyNumberFormat="1" applyFont="1" applyFill="1" applyBorder="1" applyAlignment="1" applyProtection="1">
      <alignment horizontal="center" vertical="distributed" textRotation="30"/>
    </xf>
    <xf numFmtId="49" fontId="50" fillId="32" borderId="69" xfId="41" applyNumberFormat="1" applyFont="1" applyFill="1" applyBorder="1" applyAlignment="1" applyProtection="1">
      <alignment horizontal="center" vertical="distributed" textRotation="30"/>
    </xf>
    <xf numFmtId="10" fontId="50" fillId="32" borderId="99" xfId="0" applyNumberFormat="1" applyFont="1" applyFill="1" applyBorder="1" applyAlignment="1" applyProtection="1">
      <alignment horizontal="center" wrapText="1"/>
    </xf>
    <xf numFmtId="10" fontId="50" fillId="32" borderId="59" xfId="0" applyNumberFormat="1" applyFont="1" applyFill="1" applyBorder="1" applyAlignment="1" applyProtection="1">
      <alignment horizontal="center" wrapText="1"/>
    </xf>
    <xf numFmtId="0" fontId="63" fillId="32" borderId="145" xfId="41" applyFont="1" applyFill="1" applyBorder="1" applyAlignment="1" applyProtection="1">
      <alignment horizontal="center" vertical="center"/>
    </xf>
    <xf numFmtId="0" fontId="63" fillId="32" borderId="144" xfId="41" applyFont="1" applyFill="1" applyBorder="1" applyAlignment="1" applyProtection="1">
      <alignment horizontal="center" vertical="center"/>
    </xf>
    <xf numFmtId="169" fontId="50" fillId="32" borderId="146" xfId="41" applyNumberFormat="1" applyFont="1" applyFill="1" applyBorder="1" applyAlignment="1" applyProtection="1">
      <alignment horizontal="center"/>
    </xf>
    <xf numFmtId="169" fontId="50" fillId="32" borderId="131" xfId="41" applyNumberFormat="1" applyFont="1" applyFill="1" applyBorder="1" applyAlignment="1" applyProtection="1">
      <alignment horizontal="center"/>
    </xf>
    <xf numFmtId="168" fontId="50" fillId="32" borderId="131" xfId="41" applyNumberFormat="1" applyFont="1" applyFill="1" applyBorder="1" applyAlignment="1" applyProtection="1">
      <alignment horizontal="center"/>
    </xf>
    <xf numFmtId="168" fontId="50" fillId="32" borderId="147" xfId="41" applyNumberFormat="1" applyFont="1" applyFill="1" applyBorder="1" applyAlignment="1" applyProtection="1">
      <alignment horizontal="center"/>
    </xf>
    <xf numFmtId="0" fontId="50" fillId="32" borderId="27" xfId="0" applyFont="1" applyFill="1" applyBorder="1" applyAlignment="1" applyProtection="1">
      <alignment horizontal="center" vertical="center" textRotation="45"/>
    </xf>
    <xf numFmtId="0" fontId="63" fillId="32" borderId="47" xfId="0" applyFont="1" applyFill="1" applyBorder="1" applyAlignment="1" applyProtection="1">
      <alignment horizontal="center" vertical="center"/>
    </xf>
    <xf numFmtId="0" fontId="50" fillId="32" borderId="101" xfId="0" applyFont="1" applyFill="1" applyBorder="1" applyAlignment="1" applyProtection="1">
      <alignment horizontal="center" wrapText="1"/>
    </xf>
    <xf numFmtId="169" fontId="50" fillId="32" borderId="62" xfId="0" applyNumberFormat="1" applyFont="1" applyFill="1" applyBorder="1" applyAlignment="1" applyProtection="1">
      <alignment horizontal="center" wrapText="1"/>
    </xf>
    <xf numFmtId="168" fontId="50" fillId="32" borderId="41" xfId="0" applyNumberFormat="1" applyFont="1" applyFill="1" applyBorder="1" applyAlignment="1" applyProtection="1">
      <alignment horizontal="center" wrapText="1"/>
    </xf>
    <xf numFmtId="168" fontId="50" fillId="32" borderId="113" xfId="0" applyNumberFormat="1" applyFont="1" applyFill="1" applyBorder="1" applyAlignment="1" applyProtection="1">
      <alignment horizontal="center" wrapText="1"/>
    </xf>
    <xf numFmtId="49" fontId="50" fillId="32" borderId="63" xfId="0" applyNumberFormat="1" applyFont="1" applyFill="1" applyBorder="1" applyAlignment="1" applyProtection="1">
      <alignment horizontal="center" vertical="center"/>
    </xf>
    <xf numFmtId="49" fontId="50" fillId="32" borderId="100" xfId="0" applyNumberFormat="1" applyFont="1" applyFill="1" applyBorder="1" applyAlignment="1" applyProtection="1">
      <alignment horizontal="center" vertical="center"/>
    </xf>
    <xf numFmtId="168" fontId="49" fillId="32" borderId="131" xfId="0" applyNumberFormat="1" applyFont="1" applyFill="1" applyBorder="1" applyAlignment="1" applyProtection="1">
      <alignment horizontal="center" vertical="center" wrapText="1"/>
    </xf>
    <xf numFmtId="168" fontId="49" fillId="32" borderId="147" xfId="0" applyNumberFormat="1" applyFont="1" applyFill="1" applyBorder="1" applyAlignment="1" applyProtection="1">
      <alignment horizontal="center" vertical="center" wrapText="1"/>
    </xf>
    <xf numFmtId="168" fontId="49" fillId="35" borderId="148" xfId="0" applyNumberFormat="1" applyFont="1" applyFill="1" applyBorder="1" applyAlignment="1" applyProtection="1">
      <alignment horizontal="center" vertical="center" wrapText="1"/>
    </xf>
    <xf numFmtId="168" fontId="49" fillId="35" borderId="102" xfId="0" applyNumberFormat="1" applyFont="1" applyFill="1" applyBorder="1" applyAlignment="1" applyProtection="1">
      <alignment horizontal="center" vertical="center"/>
    </xf>
    <xf numFmtId="168" fontId="49" fillId="41" borderId="11" xfId="0" applyNumberFormat="1" applyFont="1" applyFill="1" applyBorder="1" applyAlignment="1" applyProtection="1">
      <alignment horizontal="center" vertical="center"/>
    </xf>
    <xf numFmtId="168" fontId="49" fillId="41" borderId="123" xfId="0" applyNumberFormat="1" applyFont="1" applyFill="1" applyBorder="1" applyAlignment="1" applyProtection="1">
      <alignment horizontal="center" vertical="center"/>
    </xf>
    <xf numFmtId="10" fontId="49" fillId="32" borderId="99" xfId="0" applyNumberFormat="1" applyFont="1" applyFill="1" applyBorder="1" applyAlignment="1" applyProtection="1">
      <alignment horizontal="center" vertical="center" wrapText="1"/>
    </xf>
    <xf numFmtId="10" fontId="49" fillId="32" borderId="98" xfId="0" applyNumberFormat="1" applyFont="1" applyFill="1" applyBorder="1" applyAlignment="1" applyProtection="1">
      <alignment horizontal="center" vertical="center" wrapText="1"/>
    </xf>
    <xf numFmtId="10" fontId="49" fillId="32" borderId="59" xfId="0" applyNumberFormat="1" applyFont="1" applyFill="1" applyBorder="1" applyAlignment="1" applyProtection="1">
      <alignment horizontal="center" vertical="center" wrapText="1"/>
    </xf>
    <xf numFmtId="168" fontId="49" fillId="41" borderId="75" xfId="0" applyNumberFormat="1" applyFont="1" applyFill="1" applyBorder="1" applyAlignment="1" applyProtection="1">
      <alignment horizontal="center" vertical="center"/>
    </xf>
    <xf numFmtId="168" fontId="49" fillId="41" borderId="76" xfId="0" applyNumberFormat="1" applyFont="1" applyFill="1" applyBorder="1" applyAlignment="1" applyProtection="1">
      <alignment horizontal="center" vertical="center"/>
    </xf>
    <xf numFmtId="166" fontId="50" fillId="0" borderId="52" xfId="26" applyNumberFormat="1" applyFont="1" applyBorder="1" applyAlignment="1" applyProtection="1">
      <alignment horizontal="left"/>
    </xf>
    <xf numFmtId="0" fontId="56" fillId="32" borderId="71" xfId="0" applyFont="1" applyFill="1" applyBorder="1" applyAlignment="1" applyProtection="1">
      <alignment horizontal="center"/>
    </xf>
    <xf numFmtId="0" fontId="56" fillId="32" borderId="20" xfId="0" applyFont="1" applyFill="1" applyBorder="1" applyAlignment="1" applyProtection="1">
      <alignment horizontal="center"/>
    </xf>
    <xf numFmtId="168" fontId="49" fillId="33" borderId="54" xfId="0" applyNumberFormat="1" applyFont="1" applyFill="1" applyBorder="1" applyAlignment="1" applyProtection="1">
      <alignment horizontal="center" vertical="center" wrapText="1"/>
    </xf>
    <xf numFmtId="168" fontId="49" fillId="33" borderId="28" xfId="0" applyNumberFormat="1" applyFont="1" applyFill="1" applyBorder="1" applyAlignment="1" applyProtection="1">
      <alignment horizontal="center" vertical="center"/>
    </xf>
    <xf numFmtId="168" fontId="49" fillId="33" borderId="44" xfId="0" applyNumberFormat="1" applyFont="1" applyFill="1" applyBorder="1" applyAlignment="1" applyProtection="1">
      <alignment horizontal="center" vertical="center"/>
    </xf>
    <xf numFmtId="168" fontId="49" fillId="32" borderId="146" xfId="0" applyNumberFormat="1" applyFont="1" applyFill="1" applyBorder="1" applyAlignment="1" applyProtection="1">
      <alignment horizontal="center" vertical="center" wrapText="1"/>
    </xf>
    <xf numFmtId="168" fontId="49" fillId="35" borderId="22" xfId="0" applyNumberFormat="1" applyFont="1" applyFill="1" applyBorder="1" applyAlignment="1" applyProtection="1">
      <alignment horizontal="center" vertical="center" wrapText="1"/>
    </xf>
    <xf numFmtId="168" fontId="49" fillId="35" borderId="55" xfId="0" applyNumberFormat="1" applyFont="1" applyFill="1" applyBorder="1" applyAlignment="1" applyProtection="1">
      <alignment horizontal="center" vertical="center"/>
    </xf>
    <xf numFmtId="0" fontId="50" fillId="32" borderId="54" xfId="0" applyFont="1" applyFill="1" applyBorder="1" applyAlignment="1" applyProtection="1">
      <alignment horizontal="center" vertical="center" textRotation="255" shrinkToFit="1"/>
    </xf>
    <xf numFmtId="0" fontId="50" fillId="32" borderId="28" xfId="0" applyFont="1" applyFill="1" applyBorder="1" applyAlignment="1" applyProtection="1">
      <alignment horizontal="center" vertical="center" textRotation="255" shrinkToFit="1"/>
    </xf>
    <xf numFmtId="0" fontId="50" fillId="32" borderId="44" xfId="0" applyFont="1" applyFill="1" applyBorder="1" applyAlignment="1" applyProtection="1">
      <alignment horizontal="center" vertical="center" textRotation="255" shrinkToFit="1"/>
    </xf>
    <xf numFmtId="0" fontId="63" fillId="32" borderId="54" xfId="0" applyFont="1" applyFill="1" applyBorder="1" applyAlignment="1" applyProtection="1">
      <alignment horizontal="center" vertical="center"/>
    </xf>
    <xf numFmtId="0" fontId="63" fillId="32" borderId="28" xfId="0" applyFont="1" applyFill="1" applyBorder="1" applyAlignment="1" applyProtection="1">
      <alignment horizontal="center" vertical="center"/>
    </xf>
    <xf numFmtId="0" fontId="63" fillId="32" borderId="44" xfId="0" applyFont="1" applyFill="1" applyBorder="1" applyAlignment="1" applyProtection="1">
      <alignment horizontal="center" vertical="center"/>
    </xf>
    <xf numFmtId="0" fontId="71" fillId="32" borderId="47" xfId="0" applyFont="1" applyFill="1" applyBorder="1" applyAlignment="1" applyProtection="1">
      <alignment horizontal="left" indent="12"/>
    </xf>
    <xf numFmtId="0" fontId="71" fillId="32" borderId="48" xfId="0" applyFont="1" applyFill="1" applyBorder="1" applyAlignment="1" applyProtection="1">
      <alignment horizontal="left" indent="12"/>
    </xf>
    <xf numFmtId="0" fontId="50" fillId="32" borderId="47" xfId="0" applyFont="1" applyFill="1" applyBorder="1" applyAlignment="1" applyProtection="1">
      <alignment horizontal="left" indent="10"/>
    </xf>
    <xf numFmtId="0" fontId="50" fillId="32" borderId="48" xfId="0" applyFont="1" applyFill="1" applyBorder="1" applyAlignment="1" applyProtection="1">
      <alignment horizontal="left" indent="10"/>
    </xf>
    <xf numFmtId="0" fontId="56" fillId="32" borderId="47" xfId="0" applyFont="1" applyFill="1" applyBorder="1" applyAlignment="1" applyProtection="1">
      <alignment horizontal="left" indent="12"/>
    </xf>
    <xf numFmtId="0" fontId="56" fillId="32" borderId="49" xfId="0" applyFont="1" applyFill="1" applyBorder="1" applyAlignment="1" applyProtection="1">
      <alignment horizontal="left" indent="12"/>
    </xf>
    <xf numFmtId="0" fontId="50" fillId="32" borderId="49" xfId="0" applyFont="1" applyFill="1" applyBorder="1" applyAlignment="1" applyProtection="1">
      <alignment horizontal="left" indent="10"/>
    </xf>
    <xf numFmtId="10" fontId="50" fillId="32" borderId="99" xfId="0" applyNumberFormat="1" applyFont="1" applyFill="1" applyBorder="1" applyAlignment="1" applyProtection="1">
      <alignment horizontal="center" vertical="center" wrapText="1"/>
    </xf>
    <xf numFmtId="10" fontId="50" fillId="32" borderId="98" xfId="0" applyNumberFormat="1" applyFont="1" applyFill="1" applyBorder="1" applyAlignment="1" applyProtection="1">
      <alignment horizontal="center" vertical="center" wrapText="1"/>
    </xf>
    <xf numFmtId="10" fontId="50" fillId="32" borderId="59" xfId="0" applyNumberFormat="1" applyFont="1" applyFill="1" applyBorder="1" applyAlignment="1" applyProtection="1">
      <alignment horizontal="center" vertical="center" wrapText="1"/>
    </xf>
    <xf numFmtId="0" fontId="63" fillId="32" borderId="50" xfId="0" applyFont="1" applyFill="1" applyBorder="1" applyAlignment="1" applyProtection="1">
      <alignment horizontal="center" vertical="center"/>
    </xf>
    <xf numFmtId="0" fontId="50" fillId="32" borderId="71" xfId="0" applyFont="1" applyFill="1" applyBorder="1" applyAlignment="1" applyProtection="1">
      <alignment horizontal="center" textRotation="255" shrinkToFit="1"/>
    </xf>
    <xf numFmtId="168" fontId="50" fillId="33" borderId="28" xfId="0" applyNumberFormat="1" applyFont="1" applyFill="1" applyBorder="1" applyAlignment="1" applyProtection="1">
      <alignment horizontal="center" vertical="center"/>
    </xf>
    <xf numFmtId="168" fontId="50" fillId="33" borderId="44" xfId="0" applyNumberFormat="1" applyFont="1" applyFill="1" applyBorder="1" applyAlignment="1" applyProtection="1">
      <alignment horizontal="center" vertical="center"/>
    </xf>
    <xf numFmtId="168" fontId="50" fillId="32" borderId="62" xfId="0" applyNumberFormat="1" applyFont="1" applyFill="1" applyBorder="1" applyAlignment="1" applyProtection="1">
      <alignment horizontal="center" vertical="center" wrapText="1"/>
    </xf>
    <xf numFmtId="168" fontId="50" fillId="32" borderId="131" xfId="0" applyNumberFormat="1" applyFont="1" applyFill="1" applyBorder="1" applyAlignment="1" applyProtection="1">
      <alignment horizontal="center" vertical="center" wrapText="1"/>
    </xf>
    <xf numFmtId="168" fontId="50" fillId="35" borderId="13" xfId="0" applyNumberFormat="1" applyFont="1" applyFill="1" applyBorder="1" applyAlignment="1" applyProtection="1">
      <alignment horizontal="center" vertical="center" wrapText="1"/>
    </xf>
    <xf numFmtId="168" fontId="50" fillId="35" borderId="134" xfId="0" applyNumberFormat="1" applyFont="1" applyFill="1" applyBorder="1" applyAlignment="1" applyProtection="1">
      <alignment horizontal="center" vertical="center"/>
    </xf>
    <xf numFmtId="168" fontId="50" fillId="41" borderId="75" xfId="0" applyNumberFormat="1" applyFont="1" applyFill="1" applyBorder="1" applyAlignment="1" applyProtection="1">
      <alignment horizontal="center" vertical="center"/>
    </xf>
    <xf numFmtId="168" fontId="50" fillId="41" borderId="76" xfId="0" applyNumberFormat="1" applyFont="1" applyFill="1" applyBorder="1" applyAlignment="1" applyProtection="1">
      <alignment horizontal="center" vertical="center"/>
    </xf>
    <xf numFmtId="168" fontId="50" fillId="32" borderId="146" xfId="0" applyNumberFormat="1" applyFont="1" applyFill="1" applyBorder="1" applyAlignment="1" applyProtection="1">
      <alignment horizontal="center" vertical="center" wrapText="1"/>
    </xf>
    <xf numFmtId="168" fontId="50" fillId="35" borderId="22" xfId="0" applyNumberFormat="1" applyFont="1" applyFill="1" applyBorder="1" applyAlignment="1" applyProtection="1">
      <alignment horizontal="center" vertical="center" wrapText="1"/>
    </xf>
    <xf numFmtId="168" fontId="50" fillId="35" borderId="55" xfId="0" applyNumberFormat="1" applyFont="1" applyFill="1" applyBorder="1" applyAlignment="1" applyProtection="1">
      <alignment horizontal="center" vertical="center"/>
    </xf>
    <xf numFmtId="168" fontId="50" fillId="41" borderId="11" xfId="0" applyNumberFormat="1" applyFont="1" applyFill="1" applyBorder="1" applyAlignment="1" applyProtection="1">
      <alignment horizontal="center" vertical="center"/>
    </xf>
    <xf numFmtId="168" fontId="50" fillId="41" borderId="123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6" fillId="24" borderId="11" xfId="0" applyNumberFormat="1" applyFont="1" applyFill="1" applyBorder="1" applyAlignment="1">
      <alignment horizontal="center"/>
    </xf>
    <xf numFmtId="168" fontId="6" fillId="24" borderId="12" xfId="0" applyNumberFormat="1" applyFont="1" applyFill="1" applyBorder="1" applyAlignment="1">
      <alignment horizontal="center"/>
    </xf>
    <xf numFmtId="168" fontId="6" fillId="24" borderId="13" xfId="0" applyNumberFormat="1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0" fontId="6" fillId="24" borderId="12" xfId="0" applyFont="1" applyFill="1" applyBorder="1" applyAlignment="1">
      <alignment horizontal="center"/>
    </xf>
    <xf numFmtId="0" fontId="6" fillId="24" borderId="13" xfId="0" applyFont="1" applyFill="1" applyBorder="1" applyAlignment="1">
      <alignment horizontal="center"/>
    </xf>
    <xf numFmtId="0" fontId="40" fillId="0" borderId="0" xfId="40" applyFont="1" applyAlignment="1">
      <alignment horizontal="center"/>
    </xf>
    <xf numFmtId="0" fontId="36" fillId="0" borderId="54" xfId="40" applyFont="1" applyBorder="1" applyAlignment="1">
      <alignment horizontal="center"/>
    </xf>
    <xf numFmtId="0" fontId="36" fillId="0" borderId="44" xfId="40" applyFont="1" applyBorder="1" applyAlignment="1">
      <alignment horizontal="center"/>
    </xf>
    <xf numFmtId="0" fontId="40" fillId="0" borderId="27" xfId="40" applyFont="1" applyBorder="1" applyAlignment="1">
      <alignment horizontal="center"/>
    </xf>
    <xf numFmtId="0" fontId="40" fillId="0" borderId="47" xfId="40" applyFont="1" applyBorder="1" applyAlignment="1">
      <alignment horizontal="center"/>
    </xf>
    <xf numFmtId="0" fontId="40" fillId="0" borderId="49" xfId="40" applyFont="1" applyBorder="1" applyAlignment="1">
      <alignment horizontal="center"/>
    </xf>
    <xf numFmtId="0" fontId="67" fillId="29" borderId="47" xfId="42" applyFont="1" applyFill="1" applyBorder="1" applyAlignment="1">
      <alignment horizontal="center" vertical="center"/>
    </xf>
    <xf numFmtId="0" fontId="67" fillId="29" borderId="48" xfId="42" applyFont="1" applyFill="1" applyBorder="1" applyAlignment="1">
      <alignment horizontal="center" vertical="center"/>
    </xf>
    <xf numFmtId="0" fontId="67" fillId="29" borderId="49" xfId="42" applyFont="1" applyFill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0" fillId="0" borderId="29" xfId="0" applyBorder="1"/>
    <xf numFmtId="0" fontId="0" fillId="0" borderId="0" xfId="0"/>
    <xf numFmtId="0" fontId="0" fillId="0" borderId="3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41" fillId="0" borderId="47" xfId="0" applyFont="1" applyBorder="1" applyAlignment="1">
      <alignment horizontal="left"/>
    </xf>
    <xf numFmtId="0" fontId="41" fillId="0" borderId="49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40" fillId="0" borderId="46" xfId="0" applyFont="1" applyBorder="1" applyAlignment="1">
      <alignment horizontal="center"/>
    </xf>
    <xf numFmtId="0" fontId="30" fillId="30" borderId="27" xfId="0" applyFont="1" applyFill="1" applyBorder="1" applyAlignment="1">
      <alignment horizontal="center" vertical="center"/>
    </xf>
    <xf numFmtId="0" fontId="80" fillId="32" borderId="27" xfId="0" applyFont="1" applyFill="1" applyBorder="1" applyAlignment="1">
      <alignment horizontal="center" vertical="center"/>
    </xf>
    <xf numFmtId="0" fontId="80" fillId="32" borderId="27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Ezres 2 2" xfId="48" xr:uid="{00000000-0005-0000-0000-00001B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9000000}"/>
    <cellStyle name="Normál_Pénzátad." xfId="41" xr:uid="{00000000-0005-0000-0000-00002A000000}"/>
    <cellStyle name="Normál_SEGEDLETEK" xfId="42" xr:uid="{00000000-0005-0000-0000-00002B000000}"/>
    <cellStyle name="Normál_Szoc.jutt." xfId="43" xr:uid="{00000000-0005-0000-0000-00002C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3"/>
      <color rgb="FFFFFFCC"/>
      <color rgb="FFFFFF66"/>
      <color rgb="FFFFCC99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v&#233;l%20-%20ktg.-vet&#233;s,%20z&#225;r&#225;s/2019/&#214;NK%20-%20z&#225;rsz&#225;mad&#225;si%20rendelet%20-%202019.%20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tg.-vet&#233;s/2019/K&#246;lts&#233;gvet&#233;si%20rendele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 - 1. mell."/>
      <sheetName val="Műk-felh.mérleg - 2. mell."/>
      <sheetName val="Bevétel össz. - 3. mell."/>
      <sheetName val="Kiadás össz. - 4. mell."/>
      <sheetName val="Állami - 5. mell."/>
      <sheetName val="Ber.-felú. - 6. mell."/>
      <sheetName val="Pénze.átadás - 7. mell."/>
      <sheetName val="Szoc.jutt. - 8. mell."/>
      <sheetName val="Önkormányzat - 9. mell."/>
      <sheetName val="Óvoda - 10. mell."/>
      <sheetName val="11 Élelm."/>
      <sheetName val="12 Létszám"/>
      <sheetName val="13 EI-felh. terv"/>
      <sheetName val="14 Címrend"/>
      <sheetName val="15 gördülő"/>
      <sheetName val="16 stab.tv saját bevétel"/>
    </sheetNames>
    <sheetDataSet>
      <sheetData sheetId="0" refreshError="1"/>
      <sheetData sheetId="1" refreshError="1"/>
      <sheetData sheetId="2">
        <row r="56">
          <cell r="C56">
            <v>433793228</v>
          </cell>
          <cell r="G56">
            <v>70626433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Kiadás ktgvszervenként"/>
      <sheetName val="Állami"/>
      <sheetName val="Ber.-felú."/>
      <sheetName val="Pénze.átadás"/>
      <sheetName val="Szoc.jutt."/>
      <sheetName val="Önkormányzat"/>
      <sheetName val="Óvoda"/>
      <sheetName val="Ei. felh.terv"/>
      <sheetName val="Élelm."/>
      <sheetName val="Címrend"/>
      <sheetName val="Létszám"/>
      <sheetName val="gördülő"/>
      <sheetName val="stab.tv saját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6">
          <cell r="F116">
            <v>171265000</v>
          </cell>
        </row>
        <row r="127">
          <cell r="F127">
            <v>460000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00B0F0"/>
    <pageSetUpPr fitToPage="1"/>
  </sheetPr>
  <dimension ref="A1:N37"/>
  <sheetViews>
    <sheetView zoomScale="75" zoomScaleNormal="75" workbookViewId="0">
      <pane ySplit="2" topLeftCell="A3" activePane="bottomLeft" state="frozen"/>
      <selection pane="bottomLeft" activeCell="A3" sqref="A3"/>
    </sheetView>
  </sheetViews>
  <sheetFormatPr defaultColWidth="9.140625" defaultRowHeight="12.75" x14ac:dyDescent="0.2"/>
  <cols>
    <col min="1" max="1" width="8.85546875" style="65" customWidth="1"/>
    <col min="2" max="2" width="56.85546875" style="65" bestFit="1" customWidth="1"/>
    <col min="3" max="3" width="16.7109375" style="24" bestFit="1" customWidth="1"/>
    <col min="4" max="5" width="16.7109375" style="65" bestFit="1" customWidth="1"/>
    <col min="6" max="6" width="17.42578125" style="65" bestFit="1" customWidth="1"/>
    <col min="7" max="7" width="12.5703125" style="66" bestFit="1" customWidth="1"/>
    <col min="8" max="8" width="7" style="65" bestFit="1" customWidth="1"/>
    <col min="9" max="9" width="60.5703125" style="65" bestFit="1" customWidth="1"/>
    <col min="10" max="10" width="16.7109375" style="24" bestFit="1" customWidth="1"/>
    <col min="11" max="12" width="16.7109375" style="65" bestFit="1" customWidth="1"/>
    <col min="13" max="13" width="17.42578125" style="65" bestFit="1" customWidth="1"/>
    <col min="14" max="14" width="12.5703125" style="66" bestFit="1" customWidth="1"/>
    <col min="15" max="16384" width="9.140625" style="65"/>
  </cols>
  <sheetData>
    <row r="1" spans="1:14" ht="18.75" x14ac:dyDescent="0.3">
      <c r="A1" s="1201" t="s">
        <v>67</v>
      </c>
      <c r="B1" s="1202"/>
      <c r="C1" s="69">
        <v>2019</v>
      </c>
      <c r="D1" s="70">
        <v>2019</v>
      </c>
      <c r="E1" s="102">
        <v>2019</v>
      </c>
      <c r="F1" s="103">
        <v>2019</v>
      </c>
      <c r="G1" s="1205" t="s">
        <v>647</v>
      </c>
      <c r="H1" s="1201" t="s">
        <v>4</v>
      </c>
      <c r="I1" s="1202"/>
      <c r="J1" s="69">
        <v>2019</v>
      </c>
      <c r="K1" s="70">
        <v>2019</v>
      </c>
      <c r="L1" s="102">
        <v>2019</v>
      </c>
      <c r="M1" s="102">
        <v>2019</v>
      </c>
      <c r="N1" s="1195" t="s">
        <v>647</v>
      </c>
    </row>
    <row r="2" spans="1:14" ht="19.5" thickBot="1" x14ac:dyDescent="0.35">
      <c r="A2" s="1203"/>
      <c r="B2" s="1204"/>
      <c r="C2" s="71" t="s">
        <v>337</v>
      </c>
      <c r="D2" s="1118" t="s">
        <v>786</v>
      </c>
      <c r="E2" s="1119" t="s">
        <v>785</v>
      </c>
      <c r="F2" s="1120" t="s">
        <v>784</v>
      </c>
      <c r="G2" s="1206"/>
      <c r="H2" s="1203"/>
      <c r="I2" s="1204"/>
      <c r="J2" s="71" t="s">
        <v>337</v>
      </c>
      <c r="K2" s="72" t="s">
        <v>786</v>
      </c>
      <c r="L2" s="104" t="s">
        <v>785</v>
      </c>
      <c r="M2" s="104" t="s">
        <v>784</v>
      </c>
      <c r="N2" s="1196"/>
    </row>
    <row r="3" spans="1:14" ht="18.75" x14ac:dyDescent="0.3">
      <c r="A3" s="74" t="s">
        <v>256</v>
      </c>
      <c r="B3" s="73" t="s">
        <v>250</v>
      </c>
      <c r="C3" s="588">
        <f>'Bevétel össz. - 3. mell.'!E10</f>
        <v>56512929</v>
      </c>
      <c r="D3" s="589">
        <f>'Bevétel össz. - 3. mell.'!H10</f>
        <v>56845378</v>
      </c>
      <c r="E3" s="590">
        <f>'Bevétel össz. - 3. mell.'!N10</f>
        <v>58302796</v>
      </c>
      <c r="F3" s="591">
        <f>'Bevétel össz. - 3. mell.'!T10</f>
        <v>60223953</v>
      </c>
      <c r="G3" s="98">
        <f>IF(OR(C3="",C3=0),"",F3/C3)</f>
        <v>1.0656668140488701</v>
      </c>
      <c r="H3" s="88" t="s">
        <v>131</v>
      </c>
      <c r="I3" s="86" t="s">
        <v>0</v>
      </c>
      <c r="J3" s="592">
        <f>'Kiadás össz. - 4. mell.'!E4</f>
        <v>86983644</v>
      </c>
      <c r="K3" s="593">
        <f>'Kiadás össz. - 4. mell.'!H4</f>
        <v>87231244</v>
      </c>
      <c r="L3" s="594">
        <f>'Kiadás össz. - 4. mell.'!N4</f>
        <v>89460869</v>
      </c>
      <c r="M3" s="594">
        <f>'Kiadás össz. - 4. mell.'!T4</f>
        <v>96913894</v>
      </c>
      <c r="N3" s="691">
        <f>IF(OR(J3="",J3=0),"",M3/J3)</f>
        <v>1.1141622671039166</v>
      </c>
    </row>
    <row r="4" spans="1:14" ht="18.75" x14ac:dyDescent="0.3">
      <c r="A4" s="74" t="s">
        <v>257</v>
      </c>
      <c r="B4" s="73" t="s">
        <v>326</v>
      </c>
      <c r="C4" s="588">
        <f>'Bevétel össz. - 3. mell.'!E16</f>
        <v>21112800</v>
      </c>
      <c r="D4" s="589">
        <f>'Bevétel össz. - 3. mell.'!H16</f>
        <v>21112800</v>
      </c>
      <c r="E4" s="590">
        <f>'Bevétel össz. - 3. mell.'!N16</f>
        <v>21112800</v>
      </c>
      <c r="F4" s="591">
        <f>'Bevétel össz. - 3. mell.'!T16</f>
        <v>23241817</v>
      </c>
      <c r="G4" s="75">
        <f t="shared" ref="G4:G37" si="0">IF(OR(C4="",C4=0),"",F4/C4)</f>
        <v>1.1008401064756925</v>
      </c>
      <c r="H4" s="88" t="s">
        <v>136</v>
      </c>
      <c r="I4" s="86" t="s">
        <v>43</v>
      </c>
      <c r="J4" s="592">
        <f>'Kiadás össz. - 4. mell.'!E5</f>
        <v>17383608</v>
      </c>
      <c r="K4" s="593">
        <f>'Kiadás össz. - 4. mell.'!H5</f>
        <v>17431889</v>
      </c>
      <c r="L4" s="594">
        <f>'Kiadás össz. - 4. mell.'!N5</f>
        <v>16598883</v>
      </c>
      <c r="M4" s="594">
        <f>'Kiadás össz. - 4. mell.'!T5</f>
        <v>17716621</v>
      </c>
      <c r="N4" s="692">
        <f t="shared" ref="N4:N37" si="1">IF(OR(J4="",J4=0),"",M4/J4)</f>
        <v>1.0191567251171334</v>
      </c>
    </row>
    <row r="5" spans="1:14" ht="18.75" x14ac:dyDescent="0.3">
      <c r="A5" s="88" t="s">
        <v>249</v>
      </c>
      <c r="B5" s="86" t="s">
        <v>338</v>
      </c>
      <c r="C5" s="592">
        <f>SUM(C3:C4)</f>
        <v>77625729</v>
      </c>
      <c r="D5" s="593">
        <f t="shared" ref="D5:F5" si="2">SUM(D3:D4)</f>
        <v>77958178</v>
      </c>
      <c r="E5" s="594">
        <f t="shared" si="2"/>
        <v>79415596</v>
      </c>
      <c r="F5" s="595">
        <f t="shared" si="2"/>
        <v>83465770</v>
      </c>
      <c r="G5" s="89">
        <f t="shared" si="0"/>
        <v>1.0752333160053158</v>
      </c>
      <c r="H5" s="88" t="s">
        <v>186</v>
      </c>
      <c r="I5" s="86" t="s">
        <v>1</v>
      </c>
      <c r="J5" s="592">
        <f>'Kiadás össz. - 4. mell.'!E6</f>
        <v>79745477</v>
      </c>
      <c r="K5" s="593">
        <f>'Kiadás össz. - 4. mell.'!H6</f>
        <v>88152627</v>
      </c>
      <c r="L5" s="594">
        <f>'Kiadás össz. - 4. mell.'!N6</f>
        <v>93255905</v>
      </c>
      <c r="M5" s="594">
        <f>'Kiadás össz. - 4. mell.'!T6</f>
        <v>97133100</v>
      </c>
      <c r="N5" s="692">
        <f t="shared" si="1"/>
        <v>1.2180389867126884</v>
      </c>
    </row>
    <row r="6" spans="1:14" ht="18.75" x14ac:dyDescent="0.3">
      <c r="A6" s="74" t="s">
        <v>261</v>
      </c>
      <c r="B6" s="73" t="s">
        <v>327</v>
      </c>
      <c r="C6" s="588">
        <f>'Bevétel össz. - 3. mell.'!E18</f>
        <v>0</v>
      </c>
      <c r="D6" s="589">
        <f>'Bevétel össz. - 3. mell.'!H18</f>
        <v>0</v>
      </c>
      <c r="E6" s="590">
        <f>'Bevétel össz. - 3. mell.'!N18</f>
        <v>0</v>
      </c>
      <c r="F6" s="591">
        <f>'Bevétel össz. - 3. mell.'!T18</f>
        <v>0</v>
      </c>
      <c r="G6" s="75" t="str">
        <f t="shared" si="0"/>
        <v/>
      </c>
      <c r="H6" s="88" t="s">
        <v>203</v>
      </c>
      <c r="I6" s="86" t="s">
        <v>2</v>
      </c>
      <c r="J6" s="592">
        <f>'Kiadás össz. - 4. mell.'!E7</f>
        <v>7000800</v>
      </c>
      <c r="K6" s="593">
        <f>'Kiadás össz. - 4. mell.'!H7</f>
        <v>4696800</v>
      </c>
      <c r="L6" s="594">
        <f>'Kiadás össz. - 4. mell.'!N7</f>
        <v>4696800</v>
      </c>
      <c r="M6" s="594">
        <f>'Kiadás össz. - 4. mell.'!T7</f>
        <v>5134276</v>
      </c>
      <c r="N6" s="692">
        <f t="shared" si="1"/>
        <v>0.73338418466460975</v>
      </c>
    </row>
    <row r="7" spans="1:14" ht="18.75" x14ac:dyDescent="0.3">
      <c r="A7" s="74" t="s">
        <v>259</v>
      </c>
      <c r="B7" s="73" t="s">
        <v>328</v>
      </c>
      <c r="C7" s="588">
        <f>'Bevétel össz. - 3. mell.'!E19</f>
        <v>0</v>
      </c>
      <c r="D7" s="589">
        <f>'Bevétel össz. - 3. mell.'!H19</f>
        <v>0</v>
      </c>
      <c r="E7" s="590">
        <f>'Bevétel össz. - 3. mell.'!N19</f>
        <v>175076</v>
      </c>
      <c r="F7" s="591">
        <f>'Bevétel össz. - 3. mell.'!T19</f>
        <v>21554936</v>
      </c>
      <c r="G7" s="75" t="str">
        <f t="shared" si="0"/>
        <v/>
      </c>
      <c r="H7" s="74" t="s">
        <v>204</v>
      </c>
      <c r="I7" s="73" t="s">
        <v>205</v>
      </c>
      <c r="J7" s="588">
        <f>'Kiadás össz. - 4. mell.'!E8</f>
        <v>18163453</v>
      </c>
      <c r="K7" s="589">
        <f>'Kiadás össz. - 4. mell.'!H8</f>
        <v>18163453</v>
      </c>
      <c r="L7" s="590">
        <f>'Kiadás össz. - 4. mell.'!N8</f>
        <v>18163453</v>
      </c>
      <c r="M7" s="590">
        <f>'Kiadás össz. - 4. mell.'!T8</f>
        <v>18168533</v>
      </c>
      <c r="N7" s="693">
        <f t="shared" si="1"/>
        <v>1.0002796825031011</v>
      </c>
    </row>
    <row r="8" spans="1:14" ht="18.75" x14ac:dyDescent="0.3">
      <c r="A8" s="88" t="s">
        <v>260</v>
      </c>
      <c r="B8" s="86" t="s">
        <v>330</v>
      </c>
      <c r="C8" s="592">
        <f>SUM(C6:C7)</f>
        <v>0</v>
      </c>
      <c r="D8" s="593">
        <f t="shared" ref="D8:F8" si="3">SUM(D6:D7)</f>
        <v>0</v>
      </c>
      <c r="E8" s="594">
        <f t="shared" si="3"/>
        <v>175076</v>
      </c>
      <c r="F8" s="595">
        <f t="shared" si="3"/>
        <v>21554936</v>
      </c>
      <c r="G8" s="89" t="str">
        <f t="shared" si="0"/>
        <v/>
      </c>
      <c r="H8" s="74" t="s">
        <v>206</v>
      </c>
      <c r="I8" s="73" t="s">
        <v>237</v>
      </c>
      <c r="J8" s="588">
        <f>'Kiadás össz. - 4. mell.'!E9</f>
        <v>21152748</v>
      </c>
      <c r="K8" s="589">
        <f>'Kiadás össz. - 4. mell.'!H9</f>
        <v>21152748</v>
      </c>
      <c r="L8" s="590">
        <f>'Kiadás össz. - 4. mell.'!N9</f>
        <v>21152748</v>
      </c>
      <c r="M8" s="590">
        <f>'Kiadás össz. - 4. mell.'!T9</f>
        <v>22374858</v>
      </c>
      <c r="N8" s="693">
        <f t="shared" si="1"/>
        <v>1.0577754720095942</v>
      </c>
    </row>
    <row r="9" spans="1:14" ht="19.5" x14ac:dyDescent="0.35">
      <c r="A9" s="90" t="s">
        <v>263</v>
      </c>
      <c r="B9" s="87" t="s">
        <v>615</v>
      </c>
      <c r="C9" s="596">
        <f>'Bevétel össz. - 3. mell.'!E21</f>
        <v>2500000</v>
      </c>
      <c r="D9" s="597">
        <f>'Bevétel össz. - 3. mell.'!H21</f>
        <v>2500000</v>
      </c>
      <c r="E9" s="598">
        <f>'Bevétel össz. - 3. mell.'!N21</f>
        <v>2500000</v>
      </c>
      <c r="F9" s="599">
        <f>'Bevétel össz. - 3. mell.'!T21</f>
        <v>2500000</v>
      </c>
      <c r="G9" s="99">
        <f t="shared" si="0"/>
        <v>1</v>
      </c>
      <c r="H9" s="74" t="s">
        <v>208</v>
      </c>
      <c r="I9" s="84" t="s">
        <v>333</v>
      </c>
      <c r="J9" s="588">
        <f>'Kiadás össz. - 4. mell.'!E10</f>
        <v>0</v>
      </c>
      <c r="K9" s="589">
        <f>'Kiadás össz. - 4. mell.'!H10</f>
        <v>0</v>
      </c>
      <c r="L9" s="590">
        <f>'Kiadás össz. - 4. mell.'!N10</f>
        <v>0</v>
      </c>
      <c r="M9" s="590">
        <f>'Kiadás össz. - 4. mell.'!T10</f>
        <v>1040606</v>
      </c>
      <c r="N9" s="693" t="str">
        <f t="shared" si="1"/>
        <v/>
      </c>
    </row>
    <row r="10" spans="1:14" ht="18.75" x14ac:dyDescent="0.3">
      <c r="A10" s="74" t="s">
        <v>783</v>
      </c>
      <c r="B10" s="73" t="s">
        <v>635</v>
      </c>
      <c r="C10" s="588">
        <f>'Bevétel össz. - 3. mell.'!E22</f>
        <v>6500000</v>
      </c>
      <c r="D10" s="589">
        <f>'Bevétel össz. - 3. mell.'!H22</f>
        <v>6500000</v>
      </c>
      <c r="E10" s="590">
        <f>'Bevétel össz. - 3. mell.'!N22</f>
        <v>6500000</v>
      </c>
      <c r="F10" s="591">
        <f>'Bevétel össz. - 3. mell.'!T22</f>
        <v>6500000</v>
      </c>
      <c r="G10" s="75">
        <f t="shared" si="0"/>
        <v>1</v>
      </c>
      <c r="H10" s="74" t="s">
        <v>210</v>
      </c>
      <c r="I10" s="73" t="s">
        <v>239</v>
      </c>
      <c r="J10" s="588">
        <f>'Kiadás össz. - 4. mell.'!E11</f>
        <v>15246654</v>
      </c>
      <c r="K10" s="589">
        <f>'Kiadás össz. - 4. mell.'!H11</f>
        <v>14929154</v>
      </c>
      <c r="L10" s="590">
        <f>'Kiadás össz. - 4. mell.'!N11</f>
        <v>15083154</v>
      </c>
      <c r="M10" s="590">
        <f>'Kiadás össz. - 4. mell.'!T11</f>
        <v>14865674</v>
      </c>
      <c r="N10" s="693">
        <f t="shared" si="1"/>
        <v>0.97501222235383578</v>
      </c>
    </row>
    <row r="11" spans="1:14" ht="18.75" x14ac:dyDescent="0.3">
      <c r="A11" s="74" t="s">
        <v>782</v>
      </c>
      <c r="B11" s="73" t="s">
        <v>426</v>
      </c>
      <c r="C11" s="588">
        <f>'Bevétel össz. - 3. mell.'!E23</f>
        <v>4200000</v>
      </c>
      <c r="D11" s="589">
        <f>'Bevétel össz. - 3. mell.'!H23</f>
        <v>4200000</v>
      </c>
      <c r="E11" s="590">
        <f>'Bevétel össz. - 3. mell.'!N23</f>
        <v>4200000</v>
      </c>
      <c r="F11" s="591">
        <f>'Bevétel össz. - 3. mell.'!T23</f>
        <v>4200000</v>
      </c>
      <c r="G11" s="75">
        <f t="shared" si="0"/>
        <v>1</v>
      </c>
      <c r="H11" s="88" t="s">
        <v>212</v>
      </c>
      <c r="I11" s="86" t="s">
        <v>334</v>
      </c>
      <c r="J11" s="592">
        <f>SUM(J7:J10)</f>
        <v>54562855</v>
      </c>
      <c r="K11" s="593">
        <f t="shared" ref="K11:M11" si="4">SUM(K7:K10)</f>
        <v>54245355</v>
      </c>
      <c r="L11" s="594">
        <f t="shared" si="4"/>
        <v>54399355</v>
      </c>
      <c r="M11" s="594">
        <f t="shared" si="4"/>
        <v>56449671</v>
      </c>
      <c r="N11" s="692">
        <f t="shared" si="1"/>
        <v>1.0345805951686362</v>
      </c>
    </row>
    <row r="12" spans="1:14" ht="19.5" x14ac:dyDescent="0.35">
      <c r="A12" s="90" t="s">
        <v>264</v>
      </c>
      <c r="B12" s="87" t="s">
        <v>634</v>
      </c>
      <c r="C12" s="596">
        <f>SUM(C10:C11)</f>
        <v>10700000</v>
      </c>
      <c r="D12" s="597">
        <f t="shared" ref="D12:F12" si="5">SUM(D10:D11)</f>
        <v>10700000</v>
      </c>
      <c r="E12" s="598">
        <f t="shared" si="5"/>
        <v>10700000</v>
      </c>
      <c r="F12" s="599">
        <f t="shared" si="5"/>
        <v>10700000</v>
      </c>
      <c r="G12" s="99">
        <f t="shared" si="0"/>
        <v>1</v>
      </c>
      <c r="H12" s="67"/>
      <c r="I12" s="68"/>
      <c r="J12" s="588"/>
      <c r="K12" s="627"/>
      <c r="L12" s="628"/>
      <c r="M12" s="628"/>
      <c r="N12" s="694" t="str">
        <f t="shared" si="1"/>
        <v/>
      </c>
    </row>
    <row r="13" spans="1:14" ht="18.75" x14ac:dyDescent="0.3">
      <c r="A13" s="74" t="s">
        <v>265</v>
      </c>
      <c r="B13" s="73" t="s">
        <v>617</v>
      </c>
      <c r="C13" s="588">
        <f>'Bevétel össz. - 3. mell.'!E25</f>
        <v>150000000</v>
      </c>
      <c r="D13" s="589">
        <f>'Bevétel össz. - 3. mell.'!H25</f>
        <v>150000000</v>
      </c>
      <c r="E13" s="590">
        <f>'Bevétel össz. - 3. mell.'!N25</f>
        <v>150000000</v>
      </c>
      <c r="F13" s="591">
        <f>'Bevétel össz. - 3. mell.'!T25</f>
        <v>150000000</v>
      </c>
      <c r="G13" s="75">
        <f t="shared" si="0"/>
        <v>1</v>
      </c>
      <c r="H13" s="76"/>
      <c r="I13" s="85"/>
      <c r="J13" s="629"/>
      <c r="K13" s="630"/>
      <c r="L13" s="631"/>
      <c r="M13" s="631"/>
      <c r="N13" s="695" t="str">
        <f t="shared" si="1"/>
        <v/>
      </c>
    </row>
    <row r="14" spans="1:14" ht="18.75" x14ac:dyDescent="0.3">
      <c r="A14" s="74" t="s">
        <v>266</v>
      </c>
      <c r="B14" s="73" t="s">
        <v>268</v>
      </c>
      <c r="C14" s="588">
        <f>'Bevétel össz. - 3. mell.'!E26</f>
        <v>6000000</v>
      </c>
      <c r="D14" s="589">
        <f>'Bevétel össz. - 3. mell.'!H26</f>
        <v>6000000</v>
      </c>
      <c r="E14" s="590">
        <f>'Bevétel össz. - 3. mell.'!N26</f>
        <v>6000000</v>
      </c>
      <c r="F14" s="591">
        <f>'Bevétel össz. - 3. mell.'!T26</f>
        <v>6000000</v>
      </c>
      <c r="G14" s="75">
        <f t="shared" si="0"/>
        <v>1</v>
      </c>
      <c r="H14" s="88" t="s">
        <v>194</v>
      </c>
      <c r="I14" s="86" t="s">
        <v>3</v>
      </c>
      <c r="J14" s="592">
        <f>'Kiadás össz. - 4. mell.'!E13</f>
        <v>99077799</v>
      </c>
      <c r="K14" s="593">
        <f>'Kiadás össz. - 4. mell.'!H13</f>
        <v>111823826</v>
      </c>
      <c r="L14" s="594">
        <f>'Kiadás össz. - 4. mell.'!N13</f>
        <v>117092876</v>
      </c>
      <c r="M14" s="594">
        <f>'Kiadás össz. - 4. mell.'!T13</f>
        <v>117347202</v>
      </c>
      <c r="N14" s="692">
        <f t="shared" si="1"/>
        <v>1.184394518089769</v>
      </c>
    </row>
    <row r="15" spans="1:14" ht="18.75" x14ac:dyDescent="0.3">
      <c r="A15" s="74" t="s">
        <v>267</v>
      </c>
      <c r="B15" s="73" t="s">
        <v>425</v>
      </c>
      <c r="C15" s="588">
        <f>'Bevétel össz. - 3. mell.'!E27</f>
        <v>2000000</v>
      </c>
      <c r="D15" s="589">
        <f>'Bevétel össz. - 3. mell.'!H27</f>
        <v>2000000</v>
      </c>
      <c r="E15" s="590">
        <f>'Bevétel össz. - 3. mell.'!N27</f>
        <v>2000000</v>
      </c>
      <c r="F15" s="591">
        <f>'Bevétel össz. - 3. mell.'!T27</f>
        <v>2000000</v>
      </c>
      <c r="G15" s="75">
        <f t="shared" si="0"/>
        <v>1</v>
      </c>
      <c r="H15" s="88" t="s">
        <v>197</v>
      </c>
      <c r="I15" s="86" t="s">
        <v>49</v>
      </c>
      <c r="J15" s="592">
        <f>'Kiadás össz. - 4. mell.'!E14</f>
        <v>37310978</v>
      </c>
      <c r="K15" s="593">
        <f>'Kiadás össz. - 4. mell.'!H14</f>
        <v>44166427</v>
      </c>
      <c r="L15" s="594">
        <f>'Kiadás össz. - 4. mell.'!N14</f>
        <v>47105913</v>
      </c>
      <c r="M15" s="594">
        <f>'Kiadás össz. - 4. mell.'!T14</f>
        <v>64642405</v>
      </c>
      <c r="N15" s="692">
        <f t="shared" si="1"/>
        <v>1.7325304364844041</v>
      </c>
    </row>
    <row r="16" spans="1:14" ht="19.5" x14ac:dyDescent="0.35">
      <c r="A16" s="90" t="s">
        <v>579</v>
      </c>
      <c r="B16" s="87" t="s">
        <v>580</v>
      </c>
      <c r="C16" s="596">
        <f>SUM(C13:C15)</f>
        <v>158000000</v>
      </c>
      <c r="D16" s="597">
        <f t="shared" ref="D16:F16" si="6">SUM(D13:D15)</f>
        <v>158000000</v>
      </c>
      <c r="E16" s="598">
        <f t="shared" si="6"/>
        <v>158000000</v>
      </c>
      <c r="F16" s="599">
        <f t="shared" si="6"/>
        <v>158000000</v>
      </c>
      <c r="G16" s="99">
        <f t="shared" si="0"/>
        <v>1</v>
      </c>
      <c r="H16" s="74" t="s">
        <v>198</v>
      </c>
      <c r="I16" s="73" t="s">
        <v>244</v>
      </c>
      <c r="J16" s="588">
        <f>'Kiadás össz. - 4. mell.'!E15</f>
        <v>0</v>
      </c>
      <c r="K16" s="589">
        <f>'Kiadás össz. - 4. mell.'!H15</f>
        <v>0</v>
      </c>
      <c r="L16" s="590">
        <f>'Kiadás össz. - 4. mell.'!N15</f>
        <v>0</v>
      </c>
      <c r="M16" s="590">
        <f>'Kiadás össz. - 4. mell.'!T15</f>
        <v>4702651</v>
      </c>
      <c r="N16" s="693" t="str">
        <f t="shared" si="1"/>
        <v/>
      </c>
    </row>
    <row r="17" spans="1:14" ht="18.75" x14ac:dyDescent="0.3">
      <c r="A17" s="74" t="s">
        <v>584</v>
      </c>
      <c r="B17" s="73" t="s">
        <v>386</v>
      </c>
      <c r="C17" s="588">
        <f>'Bevétel össz. - 3. mell.'!E29</f>
        <v>50000</v>
      </c>
      <c r="D17" s="589">
        <f>'Bevétel össz. - 3. mell.'!H29</f>
        <v>50000</v>
      </c>
      <c r="E17" s="590">
        <f>'Bevétel össz. - 3. mell.'!N29</f>
        <v>50000</v>
      </c>
      <c r="F17" s="591">
        <f>'Bevétel össz. - 3. mell.'!T29</f>
        <v>129947</v>
      </c>
      <c r="G17" s="75">
        <f t="shared" si="0"/>
        <v>2.5989399999999998</v>
      </c>
      <c r="H17" s="74" t="s">
        <v>199</v>
      </c>
      <c r="I17" s="73" t="s">
        <v>245</v>
      </c>
      <c r="J17" s="588">
        <f>'Kiadás össz. - 4. mell.'!E16</f>
        <v>0</v>
      </c>
      <c r="K17" s="589">
        <f>'Kiadás össz. - 4. mell.'!H16</f>
        <v>0</v>
      </c>
      <c r="L17" s="590">
        <f>'Kiadás össz. - 4. mell.'!N16</f>
        <v>0</v>
      </c>
      <c r="M17" s="590">
        <f>'Kiadás össz. - 4. mell.'!T16</f>
        <v>0</v>
      </c>
      <c r="N17" s="693" t="str">
        <f t="shared" si="1"/>
        <v/>
      </c>
    </row>
    <row r="18" spans="1:14" ht="18.75" x14ac:dyDescent="0.3">
      <c r="A18" s="74" t="s">
        <v>585</v>
      </c>
      <c r="B18" s="73" t="s">
        <v>637</v>
      </c>
      <c r="C18" s="588">
        <f>'Bevétel össz. - 3. mell.'!E30</f>
        <v>15000</v>
      </c>
      <c r="D18" s="589">
        <f>'Bevétel össz. - 3. mell.'!H30</f>
        <v>15000</v>
      </c>
      <c r="E18" s="590">
        <f>'Bevétel össz. - 3. mell.'!N30</f>
        <v>15000</v>
      </c>
      <c r="F18" s="591">
        <f>'Bevétel össz. - 3. mell.'!T30</f>
        <v>60053</v>
      </c>
      <c r="G18" s="75">
        <f t="shared" si="0"/>
        <v>4.0035333333333334</v>
      </c>
      <c r="H18" s="74" t="s">
        <v>200</v>
      </c>
      <c r="I18" s="73" t="s">
        <v>246</v>
      </c>
      <c r="J18" s="588">
        <f>'Kiadás össz. - 4. mell.'!E17</f>
        <v>0</v>
      </c>
      <c r="K18" s="589">
        <f>'Kiadás össz. - 4. mell.'!H17</f>
        <v>0</v>
      </c>
      <c r="L18" s="590">
        <f>'Kiadás össz. - 4. mell.'!N17</f>
        <v>0</v>
      </c>
      <c r="M18" s="590">
        <f>'Kiadás össz. - 4. mell.'!T17</f>
        <v>1692551</v>
      </c>
      <c r="N18" s="693" t="str">
        <f t="shared" si="1"/>
        <v/>
      </c>
    </row>
    <row r="19" spans="1:14" ht="18.75" x14ac:dyDescent="0.3">
      <c r="A19" s="74" t="s">
        <v>636</v>
      </c>
      <c r="B19" s="73" t="s">
        <v>582</v>
      </c>
      <c r="C19" s="588">
        <f>'Bevétel össz. - 3. mell.'!E31</f>
        <v>0</v>
      </c>
      <c r="D19" s="589">
        <f>'Bevétel össz. - 3. mell.'!H31</f>
        <v>0</v>
      </c>
      <c r="E19" s="590">
        <f>'Bevétel össz. - 3. mell.'!N31</f>
        <v>0</v>
      </c>
      <c r="F19" s="591">
        <f>'Bevétel össz. - 3. mell.'!T31</f>
        <v>5000</v>
      </c>
      <c r="G19" s="75" t="str">
        <f t="shared" si="0"/>
        <v/>
      </c>
      <c r="H19" s="67"/>
      <c r="I19" s="68"/>
      <c r="J19" s="588"/>
      <c r="K19" s="627"/>
      <c r="L19" s="628"/>
      <c r="M19" s="628"/>
      <c r="N19" s="694" t="str">
        <f t="shared" si="1"/>
        <v/>
      </c>
    </row>
    <row r="20" spans="1:14" ht="19.5" x14ac:dyDescent="0.35">
      <c r="A20" s="90" t="s">
        <v>578</v>
      </c>
      <c r="B20" s="87" t="s">
        <v>581</v>
      </c>
      <c r="C20" s="596">
        <f>SUM(C17:C19)</f>
        <v>65000</v>
      </c>
      <c r="D20" s="597">
        <f t="shared" ref="D20:F20" si="7">SUM(D17:D19)</f>
        <v>65000</v>
      </c>
      <c r="E20" s="598">
        <f t="shared" si="7"/>
        <v>65000</v>
      </c>
      <c r="F20" s="599">
        <f t="shared" si="7"/>
        <v>195000</v>
      </c>
      <c r="G20" s="99">
        <f t="shared" si="0"/>
        <v>3</v>
      </c>
      <c r="H20" s="74"/>
      <c r="I20" s="73"/>
      <c r="J20" s="588"/>
      <c r="K20" s="589"/>
      <c r="L20" s="590"/>
      <c r="M20" s="590"/>
      <c r="N20" s="693" t="str">
        <f t="shared" si="1"/>
        <v/>
      </c>
    </row>
    <row r="21" spans="1:14" ht="18.75" x14ac:dyDescent="0.3">
      <c r="A21" s="88" t="s">
        <v>269</v>
      </c>
      <c r="B21" s="86" t="s">
        <v>329</v>
      </c>
      <c r="C21" s="592">
        <f>SUM(C20,C16,C12,C9)</f>
        <v>171265000</v>
      </c>
      <c r="D21" s="593">
        <f>SUM(D20,D16,D12,D9)</f>
        <v>171265000</v>
      </c>
      <c r="E21" s="594">
        <f>SUM(E20,E16,E12,E9)</f>
        <v>171265000</v>
      </c>
      <c r="F21" s="595">
        <f>SUM(F20,F16,F12,F9)</f>
        <v>171395000</v>
      </c>
      <c r="G21" s="89">
        <f t="shared" si="0"/>
        <v>1.0007590576007941</v>
      </c>
      <c r="H21" s="74"/>
      <c r="I21" s="73"/>
      <c r="J21" s="588"/>
      <c r="K21" s="589"/>
      <c r="L21" s="590"/>
      <c r="M21" s="590"/>
      <c r="N21" s="693" t="str">
        <f t="shared" si="1"/>
        <v/>
      </c>
    </row>
    <row r="22" spans="1:14" ht="18.75" x14ac:dyDescent="0.3">
      <c r="A22" s="88" t="s">
        <v>271</v>
      </c>
      <c r="B22" s="86" t="s">
        <v>88</v>
      </c>
      <c r="C22" s="592">
        <f>'Bevétel össz. - 3. mell.'!E43</f>
        <v>13851807</v>
      </c>
      <c r="D22" s="593">
        <f>'Bevétel össz. - 3. mell.'!H43</f>
        <v>13851807</v>
      </c>
      <c r="E22" s="594">
        <f>'Bevétel össz. - 3. mell.'!N43</f>
        <v>14951807</v>
      </c>
      <c r="F22" s="595">
        <f>'Bevétel össz. - 3. mell.'!T43</f>
        <v>15158887</v>
      </c>
      <c r="G22" s="89">
        <f t="shared" si="0"/>
        <v>1.0943616959144753</v>
      </c>
      <c r="H22" s="88" t="s">
        <v>201</v>
      </c>
      <c r="I22" s="86" t="s">
        <v>335</v>
      </c>
      <c r="J22" s="592">
        <f>SUM(J16:J21)</f>
        <v>0</v>
      </c>
      <c r="K22" s="593">
        <f t="shared" ref="K22:M22" si="8">SUM(K16:K21)</f>
        <v>0</v>
      </c>
      <c r="L22" s="594">
        <f t="shared" si="8"/>
        <v>0</v>
      </c>
      <c r="M22" s="594">
        <f t="shared" si="8"/>
        <v>6395202</v>
      </c>
      <c r="N22" s="692" t="str">
        <f t="shared" si="1"/>
        <v/>
      </c>
    </row>
    <row r="23" spans="1:14" ht="18.75" x14ac:dyDescent="0.3">
      <c r="A23" s="88" t="s">
        <v>331</v>
      </c>
      <c r="B23" s="86" t="s">
        <v>332</v>
      </c>
      <c r="C23" s="592">
        <f>'Bevétel össz. - 3. mell.'!E46</f>
        <v>460000</v>
      </c>
      <c r="D23" s="593">
        <f>'Bevétel össz. - 3. mell.'!H46</f>
        <v>460000</v>
      </c>
      <c r="E23" s="594">
        <f>'Bevétel össz. - 3. mell.'!N46</f>
        <v>460000</v>
      </c>
      <c r="F23" s="595">
        <f>'Bevétel össz. - 3. mell.'!T46</f>
        <v>460000</v>
      </c>
      <c r="G23" s="89">
        <f t="shared" si="0"/>
        <v>1</v>
      </c>
      <c r="H23" s="74" t="s">
        <v>547</v>
      </c>
      <c r="I23" s="73" t="s">
        <v>46</v>
      </c>
      <c r="J23" s="588">
        <f>'Kiadás össz. - 4. mell.'!E19</f>
        <v>52314000</v>
      </c>
      <c r="K23" s="589">
        <f>'Kiadás össz. - 4. mell.'!H19</f>
        <v>52491869</v>
      </c>
      <c r="L23" s="590">
        <f>'Kiadás össz. - 4. mell.'!N19</f>
        <v>40609201</v>
      </c>
      <c r="M23" s="590">
        <f>'Kiadás össz. - 4. mell.'!T19</f>
        <v>27254545</v>
      </c>
      <c r="N23" s="693">
        <f t="shared" si="1"/>
        <v>0.52097994800626979</v>
      </c>
    </row>
    <row r="24" spans="1:14" ht="18.75" hidden="1" x14ac:dyDescent="0.3">
      <c r="A24" s="74" t="s">
        <v>293</v>
      </c>
      <c r="B24" s="73" t="s">
        <v>339</v>
      </c>
      <c r="C24" s="588">
        <f>'Bevétel össz. - 3. mell.'!E47</f>
        <v>0</v>
      </c>
      <c r="D24" s="589">
        <f>'Bevétel össz. - 3. mell.'!H47</f>
        <v>0</v>
      </c>
      <c r="E24" s="590">
        <f>'Bevétel össz. - 3. mell.'!N47</f>
        <v>0</v>
      </c>
      <c r="F24" s="591">
        <f>'Bevétel össz. - 3. mell.'!T47</f>
        <v>0</v>
      </c>
      <c r="G24" s="75" t="str">
        <f t="shared" si="0"/>
        <v/>
      </c>
      <c r="H24" s="74"/>
      <c r="I24" s="73"/>
      <c r="J24" s="588"/>
      <c r="K24" s="589"/>
      <c r="L24" s="590"/>
      <c r="M24" s="590"/>
      <c r="N24" s="693" t="str">
        <f t="shared" si="1"/>
        <v/>
      </c>
    </row>
    <row r="25" spans="1:14" ht="18.75" x14ac:dyDescent="0.3">
      <c r="A25" s="74" t="s">
        <v>590</v>
      </c>
      <c r="B25" s="73" t="s">
        <v>340</v>
      </c>
      <c r="C25" s="588">
        <f>'Bevétel össz. - 3. mell.'!E48</f>
        <v>0</v>
      </c>
      <c r="D25" s="589">
        <f>'Bevétel össz. - 3. mell.'!H48</f>
        <v>47560</v>
      </c>
      <c r="E25" s="590">
        <f>'Bevétel össz. - 3. mell.'!N48</f>
        <v>47560</v>
      </c>
      <c r="F25" s="591">
        <f>'Bevétel össz. - 3. mell.'!T48</f>
        <v>47560</v>
      </c>
      <c r="G25" s="75" t="str">
        <f t="shared" si="0"/>
        <v/>
      </c>
      <c r="H25" s="74"/>
      <c r="I25" s="73"/>
      <c r="J25" s="588"/>
      <c r="K25" s="589"/>
      <c r="L25" s="590"/>
      <c r="M25" s="590"/>
      <c r="N25" s="693" t="str">
        <f t="shared" si="1"/>
        <v/>
      </c>
    </row>
    <row r="26" spans="1:14" ht="18.75" x14ac:dyDescent="0.3">
      <c r="A26" s="88" t="s">
        <v>296</v>
      </c>
      <c r="B26" s="86" t="s">
        <v>341</v>
      </c>
      <c r="C26" s="592">
        <f>SUM(C24:C25)</f>
        <v>0</v>
      </c>
      <c r="D26" s="593">
        <f t="shared" ref="D26:F26" si="9">SUM(D24:D25)</f>
        <v>47560</v>
      </c>
      <c r="E26" s="594">
        <f t="shared" si="9"/>
        <v>47560</v>
      </c>
      <c r="F26" s="595">
        <f t="shared" si="9"/>
        <v>47560</v>
      </c>
      <c r="G26" s="89" t="str">
        <f t="shared" si="0"/>
        <v/>
      </c>
      <c r="H26" s="74"/>
      <c r="I26" s="73"/>
      <c r="J26" s="588"/>
      <c r="K26" s="589"/>
      <c r="L26" s="590"/>
      <c r="M26" s="590"/>
      <c r="N26" s="693" t="str">
        <f t="shared" si="1"/>
        <v/>
      </c>
    </row>
    <row r="27" spans="1:14" ht="18.75" hidden="1" x14ac:dyDescent="0.3">
      <c r="A27" s="74" t="s">
        <v>300</v>
      </c>
      <c r="B27" s="73" t="s">
        <v>301</v>
      </c>
      <c r="C27" s="588">
        <f>'Bevétel össz. - 3. mell.'!E50</f>
        <v>0</v>
      </c>
      <c r="D27" s="589">
        <f>'Bevétel össz. - 3. mell.'!H50</f>
        <v>0</v>
      </c>
      <c r="E27" s="590">
        <f>'Bevétel össz. - 3. mell.'!N50</f>
        <v>0</v>
      </c>
      <c r="F27" s="591">
        <f>'Bevétel össz. - 3. mell.'!T50</f>
        <v>0</v>
      </c>
      <c r="G27" s="75" t="str">
        <f t="shared" si="0"/>
        <v/>
      </c>
      <c r="H27" s="74"/>
      <c r="I27" s="73"/>
      <c r="J27" s="588"/>
      <c r="K27" s="589"/>
      <c r="L27" s="590"/>
      <c r="M27" s="590"/>
      <c r="N27" s="693" t="str">
        <f t="shared" si="1"/>
        <v/>
      </c>
    </row>
    <row r="28" spans="1:14" ht="18.75" x14ac:dyDescent="0.3">
      <c r="A28" s="74" t="s">
        <v>592</v>
      </c>
      <c r="B28" s="73" t="s">
        <v>343</v>
      </c>
      <c r="C28" s="588">
        <f>'Bevétel össz. - 3. mell.'!E51</f>
        <v>2886600</v>
      </c>
      <c r="D28" s="589">
        <f>'Bevétel össz. - 3. mell.'!H51</f>
        <v>2886600</v>
      </c>
      <c r="E28" s="590">
        <f>'Bevétel össz. - 3. mell.'!N51</f>
        <v>2886600</v>
      </c>
      <c r="F28" s="591">
        <f>'Bevétel össz. - 3. mell.'!T51</f>
        <v>2886600</v>
      </c>
      <c r="G28" s="75">
        <f t="shared" si="0"/>
        <v>1</v>
      </c>
      <c r="H28" s="74"/>
      <c r="I28" s="73"/>
      <c r="J28" s="588"/>
      <c r="K28" s="589"/>
      <c r="L28" s="590"/>
      <c r="M28" s="590"/>
      <c r="N28" s="693" t="str">
        <f t="shared" si="1"/>
        <v/>
      </c>
    </row>
    <row r="29" spans="1:14" ht="19.5" thickBot="1" x14ac:dyDescent="0.35">
      <c r="A29" s="92" t="s">
        <v>297</v>
      </c>
      <c r="B29" s="93" t="s">
        <v>605</v>
      </c>
      <c r="C29" s="600">
        <f>SUM(C27:C28)</f>
        <v>2886600</v>
      </c>
      <c r="D29" s="601">
        <f t="shared" ref="D29:F29" si="10">SUM(D27:D28)</f>
        <v>2886600</v>
      </c>
      <c r="E29" s="602">
        <f t="shared" si="10"/>
        <v>2886600</v>
      </c>
      <c r="F29" s="603">
        <f t="shared" si="10"/>
        <v>2886600</v>
      </c>
      <c r="G29" s="100">
        <f t="shared" si="0"/>
        <v>1</v>
      </c>
      <c r="H29" s="91"/>
      <c r="I29" s="77"/>
      <c r="J29" s="612"/>
      <c r="K29" s="613"/>
      <c r="L29" s="614"/>
      <c r="M29" s="614"/>
      <c r="N29" s="696" t="str">
        <f t="shared" si="1"/>
        <v/>
      </c>
    </row>
    <row r="30" spans="1:14" ht="19.5" thickBot="1" x14ac:dyDescent="0.35">
      <c r="A30" s="1199" t="s">
        <v>638</v>
      </c>
      <c r="B30" s="1200"/>
      <c r="C30" s="604">
        <f>SUM(C29,C26,C23,C22,C21,C8,C5)</f>
        <v>266089136</v>
      </c>
      <c r="D30" s="605">
        <f>SUM(D29,D26,D23,D22,D21,D8,D5)</f>
        <v>266469145</v>
      </c>
      <c r="E30" s="606">
        <f>SUM(E29,E26,E23,E22,E21,E8,E5)</f>
        <v>269201639</v>
      </c>
      <c r="F30" s="607">
        <f>SUM(F29,F26,F23,F22,F21,F8,F5)</f>
        <v>294968753</v>
      </c>
      <c r="G30" s="81">
        <f t="shared" si="0"/>
        <v>1.1085336193507727</v>
      </c>
      <c r="H30" s="1199" t="s">
        <v>640</v>
      </c>
      <c r="I30" s="1200"/>
      <c r="J30" s="604">
        <f>SUM(J23,J22,J15,J14,J11,J3:J6)</f>
        <v>434379161</v>
      </c>
      <c r="K30" s="605">
        <f t="shared" ref="K30:M30" si="11">SUM(K23,K22,K15,K14,K11,K3:K6)</f>
        <v>460240037</v>
      </c>
      <c r="L30" s="606">
        <f t="shared" si="11"/>
        <v>463219802</v>
      </c>
      <c r="M30" s="606">
        <f t="shared" si="11"/>
        <v>488986916</v>
      </c>
      <c r="N30" s="697">
        <f t="shared" si="1"/>
        <v>1.1257144907096499</v>
      </c>
    </row>
    <row r="31" spans="1:14" ht="18.75" x14ac:dyDescent="0.3">
      <c r="A31" s="94" t="s">
        <v>304</v>
      </c>
      <c r="B31" s="95" t="s">
        <v>303</v>
      </c>
      <c r="C31" s="608">
        <f>'Bevétel össz. - 3. mell.'!E54</f>
        <v>5000000</v>
      </c>
      <c r="D31" s="609">
        <f>'Bevétel össz. - 3. mell.'!H54</f>
        <v>5000000</v>
      </c>
      <c r="E31" s="610">
        <f>'Bevétel össz. - 3. mell.'!N54</f>
        <v>5000000</v>
      </c>
      <c r="F31" s="611">
        <f>'Bevétel össz. - 3. mell.'!T54</f>
        <v>5000000</v>
      </c>
      <c r="G31" s="96">
        <f t="shared" si="0"/>
        <v>1</v>
      </c>
      <c r="H31" s="94" t="s">
        <v>247</v>
      </c>
      <c r="I31" s="95" t="s">
        <v>248</v>
      </c>
      <c r="J31" s="608">
        <v>0</v>
      </c>
      <c r="K31" s="609">
        <v>0</v>
      </c>
      <c r="L31" s="610">
        <v>0</v>
      </c>
      <c r="M31" s="610">
        <v>0</v>
      </c>
      <c r="N31" s="698" t="str">
        <f t="shared" si="1"/>
        <v/>
      </c>
    </row>
    <row r="32" spans="1:14" ht="19.5" thickBot="1" x14ac:dyDescent="0.35">
      <c r="A32" s="91" t="s">
        <v>305</v>
      </c>
      <c r="B32" s="77" t="s">
        <v>306</v>
      </c>
      <c r="C32" s="612">
        <f>'Bevétel össz. - 3. mell.'!E55</f>
        <v>164147292</v>
      </c>
      <c r="D32" s="613">
        <f>'Bevétel össz. - 3. mell.'!H55</f>
        <v>189628159</v>
      </c>
      <c r="E32" s="614">
        <f>'Bevétel össz. - 3. mell.'!N55</f>
        <v>189628159</v>
      </c>
      <c r="F32" s="615">
        <f>'Bevétel össz. - 3. mell.'!T55</f>
        <v>189628159</v>
      </c>
      <c r="G32" s="80">
        <f t="shared" si="0"/>
        <v>1.1552317232257479</v>
      </c>
      <c r="H32" s="91"/>
      <c r="I32" s="79"/>
      <c r="J32" s="612"/>
      <c r="K32" s="613"/>
      <c r="L32" s="614"/>
      <c r="M32" s="614"/>
      <c r="N32" s="696" t="str">
        <f t="shared" si="1"/>
        <v/>
      </c>
    </row>
    <row r="33" spans="1:14" ht="19.5" thickBot="1" x14ac:dyDescent="0.35">
      <c r="A33" s="1199" t="s">
        <v>606</v>
      </c>
      <c r="B33" s="1200"/>
      <c r="C33" s="616">
        <f>SUM(C30:C32)</f>
        <v>435236428</v>
      </c>
      <c r="D33" s="617">
        <f t="shared" ref="D33:F33" si="12">SUM(D30:D32)</f>
        <v>461097304</v>
      </c>
      <c r="E33" s="618">
        <f t="shared" si="12"/>
        <v>463829798</v>
      </c>
      <c r="F33" s="619">
        <f t="shared" si="12"/>
        <v>489596912</v>
      </c>
      <c r="G33" s="97">
        <f t="shared" si="0"/>
        <v>1.1248987458375153</v>
      </c>
      <c r="H33" s="1199" t="s">
        <v>606</v>
      </c>
      <c r="I33" s="1200"/>
      <c r="J33" s="616">
        <f>SUM(J30:J32)</f>
        <v>434379161</v>
      </c>
      <c r="K33" s="617">
        <f t="shared" ref="K33:M33" si="13">SUM(K30:K32)</f>
        <v>460240037</v>
      </c>
      <c r="L33" s="618">
        <f t="shared" si="13"/>
        <v>463219802</v>
      </c>
      <c r="M33" s="618">
        <f t="shared" si="13"/>
        <v>488986916</v>
      </c>
      <c r="N33" s="699">
        <f t="shared" si="1"/>
        <v>1.1257144907096499</v>
      </c>
    </row>
    <row r="34" spans="1:14" ht="18.75" x14ac:dyDescent="0.3">
      <c r="A34" s="94" t="s">
        <v>307</v>
      </c>
      <c r="B34" s="95" t="s">
        <v>61</v>
      </c>
      <c r="C34" s="608">
        <f>'Bevétel össz. - 3. mell.'!E56</f>
        <v>69183233</v>
      </c>
      <c r="D34" s="609">
        <f>'Bevétel össz. - 3. mell.'!H56</f>
        <v>69201874</v>
      </c>
      <c r="E34" s="610">
        <f>'Bevétel össz. - 3. mell.'!N56</f>
        <v>69212153</v>
      </c>
      <c r="F34" s="611">
        <f>'Bevétel össz. - 3. mell.'!T56</f>
        <v>69222376</v>
      </c>
      <c r="G34" s="96">
        <f t="shared" si="0"/>
        <v>1.000565787377991</v>
      </c>
      <c r="H34" s="94" t="s">
        <v>471</v>
      </c>
      <c r="I34" s="95" t="s">
        <v>472</v>
      </c>
      <c r="J34" s="608">
        <f>'Kiadás össz. - 4. mell.'!E21</f>
        <v>524833</v>
      </c>
      <c r="K34" s="609">
        <f>'Kiadás össz. - 4. mell.'!H21</f>
        <v>524833</v>
      </c>
      <c r="L34" s="610">
        <f>'Kiadás össz. - 4. mell.'!N21</f>
        <v>524833</v>
      </c>
      <c r="M34" s="610">
        <f>'Kiadás össz. - 4. mell.'!T21</f>
        <v>524833</v>
      </c>
      <c r="N34" s="698">
        <f t="shared" si="1"/>
        <v>1</v>
      </c>
    </row>
    <row r="35" spans="1:14" ht="18.75" x14ac:dyDescent="0.3">
      <c r="A35" s="74" t="s">
        <v>308</v>
      </c>
      <c r="B35" s="73" t="s">
        <v>309</v>
      </c>
      <c r="C35" s="588">
        <f>'Bevétel össz. - 3. mell.'!E57</f>
        <v>0</v>
      </c>
      <c r="D35" s="589">
        <f>'Bevétel össz. - 3. mell.'!H57</f>
        <v>0</v>
      </c>
      <c r="E35" s="590">
        <f>'Bevétel össz. - 3. mell.'!N57</f>
        <v>0</v>
      </c>
      <c r="F35" s="591">
        <f>'Bevétel össz. - 3. mell.'!T57</f>
        <v>0</v>
      </c>
      <c r="G35" s="75" t="str">
        <f t="shared" si="0"/>
        <v/>
      </c>
      <c r="H35" s="74" t="s">
        <v>236</v>
      </c>
      <c r="I35" s="73" t="s">
        <v>61</v>
      </c>
      <c r="J35" s="588">
        <f>'Kiadás össz. - 4. mell.'!E22</f>
        <v>69183233</v>
      </c>
      <c r="K35" s="589">
        <f>'Kiadás össz. - 4. mell.'!H22</f>
        <v>69201874</v>
      </c>
      <c r="L35" s="590">
        <f>'Kiadás össz. - 4. mell.'!N22</f>
        <v>69212153</v>
      </c>
      <c r="M35" s="590">
        <f>'Kiadás össz. - 4. mell.'!T22</f>
        <v>69222376</v>
      </c>
      <c r="N35" s="693">
        <f t="shared" si="1"/>
        <v>1.000565787377991</v>
      </c>
    </row>
    <row r="36" spans="1:14" ht="19.5" thickBot="1" x14ac:dyDescent="0.35">
      <c r="A36" s="91"/>
      <c r="B36" s="77"/>
      <c r="C36" s="612"/>
      <c r="D36" s="620"/>
      <c r="E36" s="621"/>
      <c r="F36" s="622"/>
      <c r="G36" s="101" t="str">
        <f t="shared" si="0"/>
        <v/>
      </c>
      <c r="H36" s="78" t="s">
        <v>469</v>
      </c>
      <c r="I36" s="77" t="s">
        <v>470</v>
      </c>
      <c r="J36" s="612">
        <f>'Kiadás össz. - 4. mell.'!E23</f>
        <v>332434</v>
      </c>
      <c r="K36" s="613">
        <f>'Kiadás össz. - 4. mell.'!H23</f>
        <v>332434</v>
      </c>
      <c r="L36" s="614">
        <f>'Kiadás össz. - 4. mell.'!N23</f>
        <v>85163</v>
      </c>
      <c r="M36" s="614">
        <f>'Kiadás össz. - 4. mell.'!T23</f>
        <v>85163</v>
      </c>
      <c r="N36" s="696">
        <f t="shared" si="1"/>
        <v>0.25618017410974808</v>
      </c>
    </row>
    <row r="37" spans="1:14" s="83" customFormat="1" ht="20.25" thickBot="1" x14ac:dyDescent="0.35">
      <c r="A37" s="1197" t="s">
        <v>336</v>
      </c>
      <c r="B37" s="1198"/>
      <c r="C37" s="623">
        <f>SUM(C33:C36)</f>
        <v>504419661</v>
      </c>
      <c r="D37" s="624">
        <f t="shared" ref="D37:F37" si="14">SUM(D33:D36)</f>
        <v>530299178</v>
      </c>
      <c r="E37" s="625">
        <f t="shared" si="14"/>
        <v>533041951</v>
      </c>
      <c r="F37" s="626">
        <f t="shared" si="14"/>
        <v>558819288</v>
      </c>
      <c r="G37" s="82">
        <f t="shared" si="0"/>
        <v>1.1078459687557658</v>
      </c>
      <c r="H37" s="1197" t="s">
        <v>639</v>
      </c>
      <c r="I37" s="1198"/>
      <c r="J37" s="623">
        <f>SUM(J33:J36)</f>
        <v>504419661</v>
      </c>
      <c r="K37" s="624">
        <f t="shared" ref="K37:M37" si="15">SUM(K33:K36)</f>
        <v>530299178</v>
      </c>
      <c r="L37" s="625">
        <f t="shared" si="15"/>
        <v>533041951</v>
      </c>
      <c r="M37" s="625">
        <f t="shared" si="15"/>
        <v>558819288</v>
      </c>
      <c r="N37" s="700">
        <f t="shared" si="1"/>
        <v>1.1078459687557658</v>
      </c>
    </row>
  </sheetData>
  <sheetProtection algorithmName="SHA-512" hashValue="2y78/08fh8dFQY9ivyQxdSiA9RlnGg1yEBZm8GV2ADUY21DGqcfhO1B8q7LHTBTinai56HUQ0mXc7LD+/5vc/A==" saltValue="XsEvSR6NgTez6JAlH2FZEA==" spinCount="100000" sheet="1" formatCells="0" formatColumns="0" formatRows="0" insertColumns="0" insertRows="0" insertHyperlinks="0" deleteColumns="0" deleteRows="0" sort="0" autoFilter="0" pivotTables="0"/>
  <mergeCells count="10">
    <mergeCell ref="N1:N2"/>
    <mergeCell ref="A37:B37"/>
    <mergeCell ref="A30:B30"/>
    <mergeCell ref="A33:B33"/>
    <mergeCell ref="H37:I37"/>
    <mergeCell ref="H33:I33"/>
    <mergeCell ref="H30:I30"/>
    <mergeCell ref="H1:I2"/>
    <mergeCell ref="A1:B2"/>
    <mergeCell ref="G1:G2"/>
  </mergeCells>
  <phoneticPr fontId="2" type="noConversion"/>
  <printOptions horizontalCentered="1"/>
  <pageMargins left="0.70866141732283472" right="0.70866141732283472" top="0.98425196850393704" bottom="0.43307086614173229" header="0.47244094488188981" footer="0.39370078740157483"/>
  <pageSetup paperSize="9" scale="45" orientation="landscape" r:id="rId1"/>
  <headerFooter>
    <oddHeader>&amp;L&amp;"Arial CE,Félkövér"&amp;12LEVÉL Községi Önkormányzat&amp;C&amp;"Arial CE,Félkövér"&amp;12ZÁRSZÁMADÁSI RENDELET - 2019. év
Költségvetési mérleg&amp;R&amp;8 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>
    <tabColor rgb="FFC00000"/>
    <pageSetUpPr fitToPage="1"/>
  </sheetPr>
  <dimension ref="A1:J141"/>
  <sheetViews>
    <sheetView zoomScale="90" zoomScaleNormal="90" workbookViewId="0">
      <pane ySplit="3" topLeftCell="A36" activePane="bottomLeft" state="frozen"/>
      <selection pane="bottomLeft" activeCell="J70" sqref="J70"/>
    </sheetView>
  </sheetViews>
  <sheetFormatPr defaultColWidth="8.85546875" defaultRowHeight="15.75" x14ac:dyDescent="0.25"/>
  <cols>
    <col min="1" max="1" width="7.5703125" style="436" bestFit="1" customWidth="1"/>
    <col min="2" max="2" width="67.5703125" style="436" bestFit="1" customWidth="1"/>
    <col min="3" max="3" width="12.7109375" style="437" bestFit="1" customWidth="1"/>
    <col min="4" max="9" width="12.7109375" style="436" bestFit="1" customWidth="1"/>
    <col min="10" max="10" width="10" style="438" bestFit="1" customWidth="1"/>
    <col min="11" max="16384" width="8.85546875" style="436"/>
  </cols>
  <sheetData>
    <row r="1" spans="1:10" ht="16.5" thickBot="1" x14ac:dyDescent="0.3">
      <c r="A1" s="1366" t="s">
        <v>677</v>
      </c>
      <c r="B1" s="1365" t="s">
        <v>628</v>
      </c>
      <c r="C1" s="1309" t="s">
        <v>722</v>
      </c>
      <c r="D1" s="1369" t="s">
        <v>723</v>
      </c>
      <c r="E1" s="1370"/>
      <c r="F1" s="1375" t="s">
        <v>642</v>
      </c>
      <c r="G1" s="1370"/>
      <c r="H1" s="1375" t="s">
        <v>645</v>
      </c>
      <c r="I1" s="1298"/>
      <c r="J1" s="1362" t="s">
        <v>762</v>
      </c>
    </row>
    <row r="2" spans="1:10" ht="16.5" thickBot="1" x14ac:dyDescent="0.3">
      <c r="A2" s="1366"/>
      <c r="B2" s="1365"/>
      <c r="C2" s="1367"/>
      <c r="D2" s="1371" t="s">
        <v>724</v>
      </c>
      <c r="E2" s="1373" t="s">
        <v>496</v>
      </c>
      <c r="F2" s="1376" t="s">
        <v>760</v>
      </c>
      <c r="G2" s="1373" t="s">
        <v>496</v>
      </c>
      <c r="H2" s="1376" t="s">
        <v>761</v>
      </c>
      <c r="I2" s="1378" t="s">
        <v>496</v>
      </c>
      <c r="J2" s="1363"/>
    </row>
    <row r="3" spans="1:10" ht="16.5" thickBot="1" x14ac:dyDescent="0.3">
      <c r="A3" s="1366"/>
      <c r="B3" s="1365"/>
      <c r="C3" s="1368"/>
      <c r="D3" s="1372"/>
      <c r="E3" s="1374"/>
      <c r="F3" s="1377"/>
      <c r="G3" s="1374"/>
      <c r="H3" s="1377"/>
      <c r="I3" s="1379"/>
      <c r="J3" s="1364"/>
    </row>
    <row r="4" spans="1:10" x14ac:dyDescent="0.25">
      <c r="A4" s="853" t="s">
        <v>105</v>
      </c>
      <c r="B4" s="854" t="s">
        <v>106</v>
      </c>
      <c r="C4" s="855">
        <v>37626303</v>
      </c>
      <c r="D4" s="814">
        <f>C4-14950</f>
        <v>37611353</v>
      </c>
      <c r="E4" s="815">
        <v>17863066</v>
      </c>
      <c r="F4" s="856">
        <v>37611353</v>
      </c>
      <c r="G4" s="857">
        <v>26923696</v>
      </c>
      <c r="H4" s="814">
        <v>37611353</v>
      </c>
      <c r="I4" s="815">
        <v>36145435</v>
      </c>
      <c r="J4" s="816">
        <f>IF(OR(H4="",H4=0),"",I4/H4)</f>
        <v>0.96102458744305208</v>
      </c>
    </row>
    <row r="5" spans="1:10" hidden="1" x14ac:dyDescent="0.25">
      <c r="A5" s="858" t="s">
        <v>105</v>
      </c>
      <c r="B5" s="859" t="s">
        <v>599</v>
      </c>
      <c r="C5" s="860">
        <v>0</v>
      </c>
      <c r="D5" s="817">
        <f t="shared" ref="D5:D15" si="0">C5</f>
        <v>0</v>
      </c>
      <c r="E5" s="818">
        <v>0</v>
      </c>
      <c r="F5" s="861">
        <v>0</v>
      </c>
      <c r="G5" s="862">
        <v>0</v>
      </c>
      <c r="H5" s="817">
        <v>0</v>
      </c>
      <c r="I5" s="818">
        <v>0</v>
      </c>
      <c r="J5" s="819" t="str">
        <f t="shared" ref="J5:J68" si="1">IF(OR(H5="",H5=0),"",I5/H5)</f>
        <v/>
      </c>
    </row>
    <row r="6" spans="1:10" x14ac:dyDescent="0.25">
      <c r="A6" s="858" t="s">
        <v>107</v>
      </c>
      <c r="B6" s="859" t="s">
        <v>108</v>
      </c>
      <c r="C6" s="860">
        <v>2809905</v>
      </c>
      <c r="D6" s="817">
        <f t="shared" si="0"/>
        <v>2809905</v>
      </c>
      <c r="E6" s="818">
        <v>0</v>
      </c>
      <c r="F6" s="861">
        <v>2809905</v>
      </c>
      <c r="G6" s="862">
        <v>1592335</v>
      </c>
      <c r="H6" s="817">
        <v>1779086</v>
      </c>
      <c r="I6" s="818">
        <v>1592335</v>
      </c>
      <c r="J6" s="819">
        <f t="shared" si="1"/>
        <v>0.8950298074404498</v>
      </c>
    </row>
    <row r="7" spans="1:10" hidden="1" x14ac:dyDescent="0.25">
      <c r="A7" s="858" t="s">
        <v>107</v>
      </c>
      <c r="B7" s="859" t="s">
        <v>600</v>
      </c>
      <c r="C7" s="860">
        <v>0</v>
      </c>
      <c r="D7" s="817">
        <f t="shared" si="0"/>
        <v>0</v>
      </c>
      <c r="E7" s="818">
        <v>0</v>
      </c>
      <c r="F7" s="861">
        <v>0</v>
      </c>
      <c r="G7" s="862">
        <v>0</v>
      </c>
      <c r="H7" s="817">
        <v>0</v>
      </c>
      <c r="I7" s="818">
        <v>0</v>
      </c>
      <c r="J7" s="819" t="str">
        <f t="shared" si="1"/>
        <v/>
      </c>
    </row>
    <row r="8" spans="1:10" x14ac:dyDescent="0.25">
      <c r="A8" s="858" t="s">
        <v>109</v>
      </c>
      <c r="B8" s="859" t="s">
        <v>110</v>
      </c>
      <c r="C8" s="860">
        <v>0</v>
      </c>
      <c r="D8" s="817">
        <f t="shared" si="0"/>
        <v>0</v>
      </c>
      <c r="E8" s="818">
        <v>0</v>
      </c>
      <c r="F8" s="861">
        <v>0</v>
      </c>
      <c r="G8" s="862">
        <v>0</v>
      </c>
      <c r="H8" s="817">
        <v>1667520</v>
      </c>
      <c r="I8" s="818">
        <v>1667520</v>
      </c>
      <c r="J8" s="819">
        <f t="shared" si="1"/>
        <v>1</v>
      </c>
    </row>
    <row r="9" spans="1:10" x14ac:dyDescent="0.25">
      <c r="A9" s="858" t="s">
        <v>111</v>
      </c>
      <c r="B9" s="859" t="s">
        <v>112</v>
      </c>
      <c r="C9" s="860">
        <v>450000</v>
      </c>
      <c r="D9" s="817">
        <f t="shared" si="0"/>
        <v>450000</v>
      </c>
      <c r="E9" s="818">
        <v>0</v>
      </c>
      <c r="F9" s="861">
        <v>450000</v>
      </c>
      <c r="G9" s="862">
        <v>0</v>
      </c>
      <c r="H9" s="817">
        <v>450000</v>
      </c>
      <c r="I9" s="818">
        <v>0</v>
      </c>
      <c r="J9" s="819">
        <f t="shared" si="1"/>
        <v>0</v>
      </c>
    </row>
    <row r="10" spans="1:10" x14ac:dyDescent="0.25">
      <c r="A10" s="858" t="s">
        <v>113</v>
      </c>
      <c r="B10" s="859" t="s">
        <v>114</v>
      </c>
      <c r="C10" s="860">
        <v>2804445</v>
      </c>
      <c r="D10" s="817">
        <f t="shared" si="0"/>
        <v>2804445</v>
      </c>
      <c r="E10" s="818">
        <v>0</v>
      </c>
      <c r="F10" s="861">
        <v>2804445</v>
      </c>
      <c r="G10" s="862">
        <v>0</v>
      </c>
      <c r="H10" s="817">
        <v>2804445</v>
      </c>
      <c r="I10" s="818">
        <v>2492301</v>
      </c>
      <c r="J10" s="819">
        <f t="shared" si="1"/>
        <v>0.88869669399827778</v>
      </c>
    </row>
    <row r="11" spans="1:10" x14ac:dyDescent="0.25">
      <c r="A11" s="858" t="s">
        <v>115</v>
      </c>
      <c r="B11" s="859" t="s">
        <v>116</v>
      </c>
      <c r="C11" s="860">
        <v>1561340</v>
      </c>
      <c r="D11" s="817">
        <f t="shared" si="0"/>
        <v>1561340</v>
      </c>
      <c r="E11" s="818">
        <v>1536555</v>
      </c>
      <c r="F11" s="861">
        <v>1561340</v>
      </c>
      <c r="G11" s="862">
        <v>1536555</v>
      </c>
      <c r="H11" s="817">
        <v>1585850</v>
      </c>
      <c r="I11" s="818">
        <v>1585850</v>
      </c>
      <c r="J11" s="819">
        <f t="shared" si="1"/>
        <v>1</v>
      </c>
    </row>
    <row r="12" spans="1:10" hidden="1" x14ac:dyDescent="0.25">
      <c r="A12" s="858" t="s">
        <v>115</v>
      </c>
      <c r="B12" s="859" t="s">
        <v>421</v>
      </c>
      <c r="C12" s="860">
        <v>0</v>
      </c>
      <c r="D12" s="817">
        <f t="shared" si="0"/>
        <v>0</v>
      </c>
      <c r="E12" s="818">
        <v>0</v>
      </c>
      <c r="F12" s="861">
        <v>0</v>
      </c>
      <c r="G12" s="862">
        <v>0</v>
      </c>
      <c r="H12" s="817">
        <v>0</v>
      </c>
      <c r="I12" s="818">
        <v>0</v>
      </c>
      <c r="J12" s="819" t="str">
        <f t="shared" si="1"/>
        <v/>
      </c>
    </row>
    <row r="13" spans="1:10" hidden="1" x14ac:dyDescent="0.25">
      <c r="A13" s="858" t="s">
        <v>117</v>
      </c>
      <c r="B13" s="859" t="s">
        <v>370</v>
      </c>
      <c r="C13" s="860">
        <v>0</v>
      </c>
      <c r="D13" s="817">
        <f t="shared" si="0"/>
        <v>0</v>
      </c>
      <c r="E13" s="818">
        <v>0</v>
      </c>
      <c r="F13" s="861">
        <v>0</v>
      </c>
      <c r="G13" s="862">
        <v>0</v>
      </c>
      <c r="H13" s="817">
        <v>0</v>
      </c>
      <c r="I13" s="818">
        <v>0</v>
      </c>
      <c r="J13" s="819" t="str">
        <f t="shared" si="1"/>
        <v/>
      </c>
    </row>
    <row r="14" spans="1:10" x14ac:dyDescent="0.25">
      <c r="A14" s="858" t="s">
        <v>119</v>
      </c>
      <c r="B14" s="859" t="s">
        <v>120</v>
      </c>
      <c r="C14" s="860">
        <v>380000</v>
      </c>
      <c r="D14" s="817">
        <f t="shared" si="0"/>
        <v>380000</v>
      </c>
      <c r="E14" s="818">
        <v>117948</v>
      </c>
      <c r="F14" s="861">
        <v>380000</v>
      </c>
      <c r="G14" s="862">
        <v>170213</v>
      </c>
      <c r="H14" s="817">
        <v>298683</v>
      </c>
      <c r="I14" s="818">
        <v>298683</v>
      </c>
      <c r="J14" s="819">
        <f t="shared" si="1"/>
        <v>1</v>
      </c>
    </row>
    <row r="15" spans="1:10" hidden="1" x14ac:dyDescent="0.25">
      <c r="A15" s="858" t="s">
        <v>121</v>
      </c>
      <c r="B15" s="859" t="s">
        <v>122</v>
      </c>
      <c r="C15" s="860">
        <v>0</v>
      </c>
      <c r="D15" s="817">
        <f t="shared" si="0"/>
        <v>0</v>
      </c>
      <c r="E15" s="818">
        <v>0</v>
      </c>
      <c r="F15" s="861">
        <v>0</v>
      </c>
      <c r="G15" s="862">
        <v>0</v>
      </c>
      <c r="H15" s="817">
        <v>0</v>
      </c>
      <c r="I15" s="818">
        <v>0</v>
      </c>
      <c r="J15" s="819" t="str">
        <f t="shared" si="1"/>
        <v/>
      </c>
    </row>
    <row r="16" spans="1:10" x14ac:dyDescent="0.25">
      <c r="A16" s="858" t="s">
        <v>123</v>
      </c>
      <c r="B16" s="859" t="s">
        <v>154</v>
      </c>
      <c r="C16" s="860">
        <v>0</v>
      </c>
      <c r="D16" s="817">
        <f>C16+15600+14950</f>
        <v>30550</v>
      </c>
      <c r="E16" s="818">
        <v>30550</v>
      </c>
      <c r="F16" s="861">
        <v>39250</v>
      </c>
      <c r="G16" s="862">
        <v>39250</v>
      </c>
      <c r="H16" s="817">
        <v>80751</v>
      </c>
      <c r="I16" s="818">
        <v>77851</v>
      </c>
      <c r="J16" s="819">
        <f t="shared" si="1"/>
        <v>0.96408713204790031</v>
      </c>
    </row>
    <row r="17" spans="1:10" s="866" customFormat="1" x14ac:dyDescent="0.25">
      <c r="A17" s="717" t="s">
        <v>129</v>
      </c>
      <c r="B17" s="718" t="s">
        <v>554</v>
      </c>
      <c r="C17" s="863">
        <f>SUM(C4:C16)</f>
        <v>45631993</v>
      </c>
      <c r="D17" s="820">
        <f t="shared" ref="D17:I17" si="2">SUM(D4:D16)</f>
        <v>45647593</v>
      </c>
      <c r="E17" s="821">
        <f t="shared" si="2"/>
        <v>19548119</v>
      </c>
      <c r="F17" s="864">
        <f t="shared" si="2"/>
        <v>45656293</v>
      </c>
      <c r="G17" s="865">
        <f t="shared" si="2"/>
        <v>30262049</v>
      </c>
      <c r="H17" s="820">
        <f t="shared" si="2"/>
        <v>46277688</v>
      </c>
      <c r="I17" s="821">
        <f t="shared" si="2"/>
        <v>43859975</v>
      </c>
      <c r="J17" s="822">
        <f t="shared" si="1"/>
        <v>0.94775640044939147</v>
      </c>
    </row>
    <row r="18" spans="1:10" hidden="1" x14ac:dyDescent="0.25">
      <c r="A18" s="858" t="s">
        <v>124</v>
      </c>
      <c r="B18" s="859" t="s">
        <v>127</v>
      </c>
      <c r="C18" s="860">
        <v>0</v>
      </c>
      <c r="D18" s="817">
        <f t="shared" ref="D18:D20" si="3">C18</f>
        <v>0</v>
      </c>
      <c r="E18" s="818">
        <v>0</v>
      </c>
      <c r="F18" s="861">
        <v>0</v>
      </c>
      <c r="G18" s="862">
        <v>0</v>
      </c>
      <c r="H18" s="817">
        <v>0</v>
      </c>
      <c r="I18" s="818">
        <v>0</v>
      </c>
      <c r="J18" s="819" t="str">
        <f t="shared" si="1"/>
        <v/>
      </c>
    </row>
    <row r="19" spans="1:10" x14ac:dyDescent="0.25">
      <c r="A19" s="858" t="s">
        <v>125</v>
      </c>
      <c r="B19" s="859" t="s">
        <v>128</v>
      </c>
      <c r="C19" s="860">
        <v>576000</v>
      </c>
      <c r="D19" s="817">
        <f t="shared" si="3"/>
        <v>576000</v>
      </c>
      <c r="E19" s="818">
        <v>228000</v>
      </c>
      <c r="F19" s="861">
        <v>576000</v>
      </c>
      <c r="G19" s="862">
        <v>279000</v>
      </c>
      <c r="H19" s="817">
        <v>328000</v>
      </c>
      <c r="I19" s="818">
        <v>328000</v>
      </c>
      <c r="J19" s="819">
        <f t="shared" si="1"/>
        <v>1</v>
      </c>
    </row>
    <row r="20" spans="1:10" hidden="1" x14ac:dyDescent="0.25">
      <c r="A20" s="858" t="s">
        <v>126</v>
      </c>
      <c r="B20" s="859" t="s">
        <v>155</v>
      </c>
      <c r="C20" s="860">
        <v>0</v>
      </c>
      <c r="D20" s="817">
        <f t="shared" si="3"/>
        <v>0</v>
      </c>
      <c r="E20" s="818">
        <v>0</v>
      </c>
      <c r="F20" s="861">
        <v>0</v>
      </c>
      <c r="G20" s="862">
        <v>0</v>
      </c>
      <c r="H20" s="817">
        <v>0</v>
      </c>
      <c r="I20" s="818">
        <v>0</v>
      </c>
      <c r="J20" s="819" t="str">
        <f t="shared" si="1"/>
        <v/>
      </c>
    </row>
    <row r="21" spans="1:10" s="866" customFormat="1" x14ac:dyDescent="0.25">
      <c r="A21" s="717" t="s">
        <v>130</v>
      </c>
      <c r="B21" s="718" t="s">
        <v>556</v>
      </c>
      <c r="C21" s="863">
        <f>SUM(C18:C20)</f>
        <v>576000</v>
      </c>
      <c r="D21" s="820">
        <f t="shared" ref="D21:I21" si="4">SUM(D18:D20)</f>
        <v>576000</v>
      </c>
      <c r="E21" s="821">
        <f t="shared" si="4"/>
        <v>228000</v>
      </c>
      <c r="F21" s="864">
        <f t="shared" si="4"/>
        <v>576000</v>
      </c>
      <c r="G21" s="865">
        <f t="shared" si="4"/>
        <v>279000</v>
      </c>
      <c r="H21" s="820">
        <f t="shared" si="4"/>
        <v>328000</v>
      </c>
      <c r="I21" s="821">
        <f t="shared" si="4"/>
        <v>328000</v>
      </c>
      <c r="J21" s="822">
        <f t="shared" si="1"/>
        <v>1</v>
      </c>
    </row>
    <row r="22" spans="1:10" x14ac:dyDescent="0.25">
      <c r="A22" s="740" t="s">
        <v>131</v>
      </c>
      <c r="B22" s="741" t="s">
        <v>138</v>
      </c>
      <c r="C22" s="867">
        <f>SUM(C21,C17)</f>
        <v>46207993</v>
      </c>
      <c r="D22" s="823">
        <f t="shared" ref="D22:I22" si="5">SUM(D21,D17)</f>
        <v>46223593</v>
      </c>
      <c r="E22" s="824">
        <f t="shared" si="5"/>
        <v>19776119</v>
      </c>
      <c r="F22" s="868">
        <f t="shared" si="5"/>
        <v>46232293</v>
      </c>
      <c r="G22" s="869">
        <f t="shared" si="5"/>
        <v>30541049</v>
      </c>
      <c r="H22" s="823">
        <f t="shared" si="5"/>
        <v>46605688</v>
      </c>
      <c r="I22" s="824">
        <f t="shared" si="5"/>
        <v>44187975</v>
      </c>
      <c r="J22" s="825">
        <f t="shared" si="1"/>
        <v>0.94812407876051519</v>
      </c>
    </row>
    <row r="23" spans="1:10" x14ac:dyDescent="0.25">
      <c r="A23" s="858" t="s">
        <v>132</v>
      </c>
      <c r="B23" s="870" t="s">
        <v>58</v>
      </c>
      <c r="C23" s="860">
        <v>8936459</v>
      </c>
      <c r="D23" s="817">
        <f>C23+3041</f>
        <v>8939500</v>
      </c>
      <c r="E23" s="818">
        <v>3828683</v>
      </c>
      <c r="F23" s="861">
        <v>8941079</v>
      </c>
      <c r="G23" s="862">
        <v>5796835</v>
      </c>
      <c r="H23" s="817">
        <v>8812108</v>
      </c>
      <c r="I23" s="818">
        <v>8053279</v>
      </c>
      <c r="J23" s="819">
        <f t="shared" si="1"/>
        <v>0.91388791421984383</v>
      </c>
    </row>
    <row r="24" spans="1:10" x14ac:dyDescent="0.25">
      <c r="A24" s="858" t="s">
        <v>601</v>
      </c>
      <c r="B24" s="870" t="s">
        <v>602</v>
      </c>
      <c r="C24" s="860">
        <v>0</v>
      </c>
      <c r="D24" s="817">
        <f t="shared" ref="D24:D27" si="6">C24</f>
        <v>0</v>
      </c>
      <c r="E24" s="818">
        <v>215</v>
      </c>
      <c r="F24" s="861">
        <v>0</v>
      </c>
      <c r="G24" s="862">
        <v>215</v>
      </c>
      <c r="H24" s="817">
        <v>0</v>
      </c>
      <c r="I24" s="818">
        <v>215</v>
      </c>
      <c r="J24" s="819" t="str">
        <f t="shared" si="1"/>
        <v/>
      </c>
    </row>
    <row r="25" spans="1:10" x14ac:dyDescent="0.25">
      <c r="A25" s="858" t="s">
        <v>133</v>
      </c>
      <c r="B25" s="870" t="s">
        <v>59</v>
      </c>
      <c r="C25" s="860">
        <v>0</v>
      </c>
      <c r="D25" s="817">
        <f t="shared" si="6"/>
        <v>0</v>
      </c>
      <c r="E25" s="818">
        <v>11016</v>
      </c>
      <c r="F25" s="861">
        <v>0</v>
      </c>
      <c r="G25" s="862">
        <v>11016</v>
      </c>
      <c r="H25" s="817">
        <v>0</v>
      </c>
      <c r="I25" s="818">
        <v>11016</v>
      </c>
      <c r="J25" s="819" t="str">
        <f t="shared" si="1"/>
        <v/>
      </c>
    </row>
    <row r="26" spans="1:10" x14ac:dyDescent="0.25">
      <c r="A26" s="858" t="s">
        <v>134</v>
      </c>
      <c r="B26" s="870" t="s">
        <v>371</v>
      </c>
      <c r="C26" s="860">
        <v>0</v>
      </c>
      <c r="D26" s="817">
        <f t="shared" si="6"/>
        <v>0</v>
      </c>
      <c r="E26" s="818">
        <v>16835</v>
      </c>
      <c r="F26" s="861">
        <v>0</v>
      </c>
      <c r="G26" s="862">
        <v>16835</v>
      </c>
      <c r="H26" s="817">
        <v>0</v>
      </c>
      <c r="I26" s="818">
        <v>24080</v>
      </c>
      <c r="J26" s="819" t="str">
        <f t="shared" si="1"/>
        <v/>
      </c>
    </row>
    <row r="27" spans="1:10" x14ac:dyDescent="0.25">
      <c r="A27" s="858" t="s">
        <v>135</v>
      </c>
      <c r="B27" s="870" t="s">
        <v>56</v>
      </c>
      <c r="C27" s="860">
        <v>234201</v>
      </c>
      <c r="D27" s="817">
        <f t="shared" si="6"/>
        <v>234201</v>
      </c>
      <c r="E27" s="818">
        <v>242284</v>
      </c>
      <c r="F27" s="861">
        <v>234201</v>
      </c>
      <c r="G27" s="862">
        <v>242284</v>
      </c>
      <c r="H27" s="817">
        <v>0</v>
      </c>
      <c r="I27" s="818">
        <v>249678</v>
      </c>
      <c r="J27" s="819" t="str">
        <f t="shared" si="1"/>
        <v/>
      </c>
    </row>
    <row r="28" spans="1:10" x14ac:dyDescent="0.25">
      <c r="A28" s="740" t="s">
        <v>136</v>
      </c>
      <c r="B28" s="741" t="s">
        <v>137</v>
      </c>
      <c r="C28" s="867">
        <f>SUM(C23:C27)</f>
        <v>9170660</v>
      </c>
      <c r="D28" s="823">
        <f t="shared" ref="D28:I28" si="7">SUM(D23:D27)</f>
        <v>9173701</v>
      </c>
      <c r="E28" s="824">
        <f t="shared" si="7"/>
        <v>4099033</v>
      </c>
      <c r="F28" s="868">
        <f t="shared" si="7"/>
        <v>9175280</v>
      </c>
      <c r="G28" s="869">
        <f t="shared" si="7"/>
        <v>6067185</v>
      </c>
      <c r="H28" s="823">
        <f t="shared" si="7"/>
        <v>8812108</v>
      </c>
      <c r="I28" s="824">
        <f t="shared" si="7"/>
        <v>8338268</v>
      </c>
      <c r="J28" s="825">
        <f t="shared" si="1"/>
        <v>0.94622853010880026</v>
      </c>
    </row>
    <row r="29" spans="1:10" x14ac:dyDescent="0.25">
      <c r="A29" s="858" t="s">
        <v>140</v>
      </c>
      <c r="B29" s="859" t="s">
        <v>73</v>
      </c>
      <c r="C29" s="860">
        <v>19685</v>
      </c>
      <c r="D29" s="817">
        <f t="shared" ref="D29:D32" si="8">C29</f>
        <v>19685</v>
      </c>
      <c r="E29" s="818">
        <v>0</v>
      </c>
      <c r="F29" s="861">
        <v>19685</v>
      </c>
      <c r="G29" s="862">
        <v>0</v>
      </c>
      <c r="H29" s="817">
        <v>19685</v>
      </c>
      <c r="I29" s="818">
        <v>22414</v>
      </c>
      <c r="J29" s="819">
        <f t="shared" si="1"/>
        <v>1.1386334772669546</v>
      </c>
    </row>
    <row r="30" spans="1:10" x14ac:dyDescent="0.25">
      <c r="A30" s="858" t="s">
        <v>141</v>
      </c>
      <c r="B30" s="859" t="s">
        <v>142</v>
      </c>
      <c r="C30" s="860">
        <v>236220</v>
      </c>
      <c r="D30" s="817">
        <f t="shared" si="8"/>
        <v>236220</v>
      </c>
      <c r="E30" s="818">
        <v>55383</v>
      </c>
      <c r="F30" s="861">
        <v>236220</v>
      </c>
      <c r="G30" s="862">
        <v>94219</v>
      </c>
      <c r="H30" s="817">
        <v>236220</v>
      </c>
      <c r="I30" s="818">
        <v>125257</v>
      </c>
      <c r="J30" s="819">
        <f t="shared" si="1"/>
        <v>0.53025569384472104</v>
      </c>
    </row>
    <row r="31" spans="1:10" x14ac:dyDescent="0.25">
      <c r="A31" s="858" t="s">
        <v>423</v>
      </c>
      <c r="B31" s="859" t="s">
        <v>604</v>
      </c>
      <c r="C31" s="860">
        <v>118110</v>
      </c>
      <c r="D31" s="817">
        <f t="shared" si="8"/>
        <v>118110</v>
      </c>
      <c r="E31" s="818">
        <v>9987</v>
      </c>
      <c r="F31" s="861">
        <v>118110</v>
      </c>
      <c r="G31" s="862">
        <v>29597</v>
      </c>
      <c r="H31" s="817">
        <v>118110</v>
      </c>
      <c r="I31" s="818">
        <v>92738</v>
      </c>
      <c r="J31" s="819">
        <f t="shared" si="1"/>
        <v>0.78518330369994072</v>
      </c>
    </row>
    <row r="32" spans="1:10" x14ac:dyDescent="0.25">
      <c r="A32" s="858" t="s">
        <v>603</v>
      </c>
      <c r="B32" s="859" t="s">
        <v>468</v>
      </c>
      <c r="C32" s="860">
        <v>196850</v>
      </c>
      <c r="D32" s="817">
        <f t="shared" si="8"/>
        <v>196850</v>
      </c>
      <c r="E32" s="818">
        <v>0</v>
      </c>
      <c r="F32" s="861">
        <v>196850</v>
      </c>
      <c r="G32" s="862">
        <v>0</v>
      </c>
      <c r="H32" s="817">
        <v>196850</v>
      </c>
      <c r="I32" s="818">
        <v>126763</v>
      </c>
      <c r="J32" s="819">
        <f t="shared" si="1"/>
        <v>0.64395732791465587</v>
      </c>
    </row>
    <row r="33" spans="1:10" x14ac:dyDescent="0.25">
      <c r="A33" s="871" t="s">
        <v>143</v>
      </c>
      <c r="B33" s="872" t="s">
        <v>560</v>
      </c>
      <c r="C33" s="873">
        <f>SUM(C29:C32)</f>
        <v>570865</v>
      </c>
      <c r="D33" s="826">
        <f t="shared" ref="D33:I33" si="9">SUM(D29:D32)</f>
        <v>570865</v>
      </c>
      <c r="E33" s="827">
        <f t="shared" si="9"/>
        <v>65370</v>
      </c>
      <c r="F33" s="874">
        <f t="shared" si="9"/>
        <v>570865</v>
      </c>
      <c r="G33" s="875">
        <f t="shared" si="9"/>
        <v>123816</v>
      </c>
      <c r="H33" s="826">
        <f t="shared" si="9"/>
        <v>570865</v>
      </c>
      <c r="I33" s="827">
        <f t="shared" si="9"/>
        <v>367172</v>
      </c>
      <c r="J33" s="828">
        <f t="shared" si="1"/>
        <v>0.64318534154309692</v>
      </c>
    </row>
    <row r="34" spans="1:10" hidden="1" x14ac:dyDescent="0.25">
      <c r="A34" s="858" t="s">
        <v>147</v>
      </c>
      <c r="B34" s="859" t="s">
        <v>53</v>
      </c>
      <c r="C34" s="860">
        <v>0</v>
      </c>
      <c r="D34" s="817">
        <f>C34</f>
        <v>0</v>
      </c>
      <c r="E34" s="818">
        <v>0</v>
      </c>
      <c r="F34" s="861">
        <v>0</v>
      </c>
      <c r="G34" s="862">
        <v>0</v>
      </c>
      <c r="H34" s="817">
        <v>0</v>
      </c>
      <c r="I34" s="818">
        <v>0</v>
      </c>
      <c r="J34" s="819" t="str">
        <f t="shared" si="1"/>
        <v/>
      </c>
    </row>
    <row r="35" spans="1:10" x14ac:dyDescent="0.25">
      <c r="A35" s="858" t="s">
        <v>148</v>
      </c>
      <c r="B35" s="859" t="s">
        <v>144</v>
      </c>
      <c r="C35" s="860">
        <v>166102</v>
      </c>
      <c r="D35" s="817">
        <f t="shared" ref="D35:D39" si="10">C35</f>
        <v>166102</v>
      </c>
      <c r="E35" s="818">
        <v>0</v>
      </c>
      <c r="F35" s="861">
        <v>166102</v>
      </c>
      <c r="G35" s="862">
        <v>4575</v>
      </c>
      <c r="H35" s="817">
        <v>166102</v>
      </c>
      <c r="I35" s="818">
        <v>13753</v>
      </c>
      <c r="J35" s="819">
        <f t="shared" si="1"/>
        <v>8.2798521390470919E-2</v>
      </c>
    </row>
    <row r="36" spans="1:10" x14ac:dyDescent="0.25">
      <c r="A36" s="858" t="s">
        <v>149</v>
      </c>
      <c r="B36" s="859" t="s">
        <v>145</v>
      </c>
      <c r="C36" s="860">
        <v>0</v>
      </c>
      <c r="D36" s="817">
        <f t="shared" si="10"/>
        <v>0</v>
      </c>
      <c r="E36" s="818">
        <v>0</v>
      </c>
      <c r="F36" s="861">
        <v>0</v>
      </c>
      <c r="G36" s="862">
        <v>0</v>
      </c>
      <c r="H36" s="817">
        <v>0</v>
      </c>
      <c r="I36" s="818">
        <v>6299</v>
      </c>
      <c r="J36" s="819" t="str">
        <f t="shared" si="1"/>
        <v/>
      </c>
    </row>
    <row r="37" spans="1:10" hidden="1" x14ac:dyDescent="0.25">
      <c r="A37" s="858" t="s">
        <v>150</v>
      </c>
      <c r="B37" s="859" t="s">
        <v>54</v>
      </c>
      <c r="C37" s="860">
        <v>0</v>
      </c>
      <c r="D37" s="817">
        <f t="shared" si="10"/>
        <v>0</v>
      </c>
      <c r="E37" s="818">
        <v>0</v>
      </c>
      <c r="F37" s="861">
        <v>0</v>
      </c>
      <c r="G37" s="862">
        <v>0</v>
      </c>
      <c r="H37" s="817">
        <v>0</v>
      </c>
      <c r="I37" s="818">
        <v>0</v>
      </c>
      <c r="J37" s="819" t="str">
        <f t="shared" si="1"/>
        <v/>
      </c>
    </row>
    <row r="38" spans="1:10" x14ac:dyDescent="0.25">
      <c r="A38" s="858" t="s">
        <v>151</v>
      </c>
      <c r="B38" s="859" t="s">
        <v>60</v>
      </c>
      <c r="C38" s="860">
        <v>206692</v>
      </c>
      <c r="D38" s="817">
        <f t="shared" si="10"/>
        <v>206692</v>
      </c>
      <c r="E38" s="818">
        <v>39310</v>
      </c>
      <c r="F38" s="861">
        <v>206692</v>
      </c>
      <c r="G38" s="862">
        <v>39310</v>
      </c>
      <c r="H38" s="817">
        <v>206692</v>
      </c>
      <c r="I38" s="818">
        <v>237490</v>
      </c>
      <c r="J38" s="819">
        <f t="shared" si="1"/>
        <v>1.1490043156000231</v>
      </c>
    </row>
    <row r="39" spans="1:10" x14ac:dyDescent="0.25">
      <c r="A39" s="858" t="s">
        <v>152</v>
      </c>
      <c r="B39" s="859" t="s">
        <v>146</v>
      </c>
      <c r="C39" s="860">
        <v>683463</v>
      </c>
      <c r="D39" s="817">
        <f t="shared" si="10"/>
        <v>683463</v>
      </c>
      <c r="E39" s="818">
        <v>98411</v>
      </c>
      <c r="F39" s="861">
        <v>683463</v>
      </c>
      <c r="G39" s="862">
        <v>188849</v>
      </c>
      <c r="H39" s="817">
        <v>683463</v>
      </c>
      <c r="I39" s="818">
        <v>453478</v>
      </c>
      <c r="J39" s="819">
        <f t="shared" si="1"/>
        <v>0.66350043820952997</v>
      </c>
    </row>
    <row r="40" spans="1:10" x14ac:dyDescent="0.25">
      <c r="A40" s="871" t="s">
        <v>153</v>
      </c>
      <c r="B40" s="872" t="s">
        <v>561</v>
      </c>
      <c r="C40" s="873">
        <f>SUM(C34:C39)</f>
        <v>1056257</v>
      </c>
      <c r="D40" s="826">
        <f t="shared" ref="D40:I40" si="11">SUM(D34:D39)</f>
        <v>1056257</v>
      </c>
      <c r="E40" s="827">
        <f t="shared" si="11"/>
        <v>137721</v>
      </c>
      <c r="F40" s="874">
        <f t="shared" si="11"/>
        <v>1056257</v>
      </c>
      <c r="G40" s="875">
        <f t="shared" si="11"/>
        <v>232734</v>
      </c>
      <c r="H40" s="826">
        <f t="shared" si="11"/>
        <v>1056257</v>
      </c>
      <c r="I40" s="827">
        <f t="shared" si="11"/>
        <v>711020</v>
      </c>
      <c r="J40" s="828">
        <f t="shared" si="1"/>
        <v>0.67315056846960541</v>
      </c>
    </row>
    <row r="41" spans="1:10" s="866" customFormat="1" x14ac:dyDescent="0.25">
      <c r="A41" s="717" t="s">
        <v>139</v>
      </c>
      <c r="B41" s="718" t="s">
        <v>562</v>
      </c>
      <c r="C41" s="863">
        <f>SUM(C40,C33)</f>
        <v>1627122</v>
      </c>
      <c r="D41" s="820">
        <f t="shared" ref="D41:I41" si="12">SUM(D40,D33)</f>
        <v>1627122</v>
      </c>
      <c r="E41" s="821">
        <f t="shared" si="12"/>
        <v>203091</v>
      </c>
      <c r="F41" s="864">
        <f t="shared" si="12"/>
        <v>1627122</v>
      </c>
      <c r="G41" s="865">
        <f t="shared" si="12"/>
        <v>356550</v>
      </c>
      <c r="H41" s="820">
        <f t="shared" si="12"/>
        <v>1627122</v>
      </c>
      <c r="I41" s="821">
        <f t="shared" si="12"/>
        <v>1078192</v>
      </c>
      <c r="J41" s="829">
        <f t="shared" si="1"/>
        <v>0.66263746664355838</v>
      </c>
    </row>
    <row r="42" spans="1:10" hidden="1" x14ac:dyDescent="0.25">
      <c r="A42" s="858" t="s">
        <v>156</v>
      </c>
      <c r="B42" s="859" t="s">
        <v>157</v>
      </c>
      <c r="C42" s="860">
        <v>0</v>
      </c>
      <c r="D42" s="817">
        <f t="shared" ref="D42:D43" si="13">C42</f>
        <v>0</v>
      </c>
      <c r="E42" s="818">
        <v>0</v>
      </c>
      <c r="F42" s="861">
        <v>0</v>
      </c>
      <c r="G42" s="862">
        <v>0</v>
      </c>
      <c r="H42" s="817">
        <v>0</v>
      </c>
      <c r="I42" s="818">
        <v>0</v>
      </c>
      <c r="J42" s="819" t="str">
        <f t="shared" si="1"/>
        <v/>
      </c>
    </row>
    <row r="43" spans="1:10" x14ac:dyDescent="0.25">
      <c r="A43" s="858" t="s">
        <v>158</v>
      </c>
      <c r="B43" s="859" t="s">
        <v>348</v>
      </c>
      <c r="C43" s="860">
        <v>102362</v>
      </c>
      <c r="D43" s="817">
        <f t="shared" si="13"/>
        <v>102362</v>
      </c>
      <c r="E43" s="818">
        <v>73000</v>
      </c>
      <c r="F43" s="861">
        <v>102362</v>
      </c>
      <c r="G43" s="862">
        <v>87319</v>
      </c>
      <c r="H43" s="817">
        <v>102362</v>
      </c>
      <c r="I43" s="818">
        <v>102014</v>
      </c>
      <c r="J43" s="819">
        <f t="shared" si="1"/>
        <v>0.99660030089290952</v>
      </c>
    </row>
    <row r="44" spans="1:10" s="866" customFormat="1" x14ac:dyDescent="0.25">
      <c r="A44" s="717" t="s">
        <v>159</v>
      </c>
      <c r="B44" s="718" t="s">
        <v>563</v>
      </c>
      <c r="C44" s="863">
        <f>SUM(C42:C43)</f>
        <v>102362</v>
      </c>
      <c r="D44" s="820">
        <f t="shared" ref="D44:I44" si="14">SUM(D42:D43)</f>
        <v>102362</v>
      </c>
      <c r="E44" s="821">
        <f t="shared" si="14"/>
        <v>73000</v>
      </c>
      <c r="F44" s="864">
        <f t="shared" si="14"/>
        <v>102362</v>
      </c>
      <c r="G44" s="865">
        <f t="shared" si="14"/>
        <v>87319</v>
      </c>
      <c r="H44" s="820">
        <f t="shared" si="14"/>
        <v>102362</v>
      </c>
      <c r="I44" s="821">
        <f t="shared" si="14"/>
        <v>102014</v>
      </c>
      <c r="J44" s="829">
        <f t="shared" si="1"/>
        <v>0.99660030089290952</v>
      </c>
    </row>
    <row r="45" spans="1:10" x14ac:dyDescent="0.25">
      <c r="A45" s="858" t="s">
        <v>160</v>
      </c>
      <c r="B45" s="859" t="s">
        <v>349</v>
      </c>
      <c r="C45" s="876">
        <v>1062721</v>
      </c>
      <c r="D45" s="830">
        <f t="shared" ref="D45:D49" si="15">C45</f>
        <v>1062721</v>
      </c>
      <c r="E45" s="831">
        <v>329247</v>
      </c>
      <c r="F45" s="877">
        <v>1062721</v>
      </c>
      <c r="G45" s="878">
        <v>496978</v>
      </c>
      <c r="H45" s="830">
        <v>1062721</v>
      </c>
      <c r="I45" s="831">
        <v>671464</v>
      </c>
      <c r="J45" s="832">
        <f t="shared" si="1"/>
        <v>0.63183469603028453</v>
      </c>
    </row>
    <row r="46" spans="1:10" x14ac:dyDescent="0.25">
      <c r="A46" s="858" t="s">
        <v>565</v>
      </c>
      <c r="B46" s="859" t="s">
        <v>169</v>
      </c>
      <c r="C46" s="876">
        <v>6864000</v>
      </c>
      <c r="D46" s="830">
        <f t="shared" si="15"/>
        <v>6864000</v>
      </c>
      <c r="E46" s="831">
        <v>3974400</v>
      </c>
      <c r="F46" s="877">
        <v>6864000</v>
      </c>
      <c r="G46" s="878">
        <v>4933200</v>
      </c>
      <c r="H46" s="830">
        <v>6946725</v>
      </c>
      <c r="I46" s="831">
        <v>6946725</v>
      </c>
      <c r="J46" s="832">
        <f t="shared" si="1"/>
        <v>1</v>
      </c>
    </row>
    <row r="47" spans="1:10" hidden="1" x14ac:dyDescent="0.25">
      <c r="A47" s="858" t="s">
        <v>161</v>
      </c>
      <c r="B47" s="859" t="s">
        <v>162</v>
      </c>
      <c r="C47" s="876">
        <v>0</v>
      </c>
      <c r="D47" s="830">
        <f t="shared" si="15"/>
        <v>0</v>
      </c>
      <c r="E47" s="831">
        <v>0</v>
      </c>
      <c r="F47" s="877">
        <v>0</v>
      </c>
      <c r="G47" s="878">
        <v>0</v>
      </c>
      <c r="H47" s="830">
        <v>0</v>
      </c>
      <c r="I47" s="831">
        <v>0</v>
      </c>
      <c r="J47" s="832" t="str">
        <f t="shared" si="1"/>
        <v/>
      </c>
    </row>
    <row r="48" spans="1:10" x14ac:dyDescent="0.25">
      <c r="A48" s="858" t="s">
        <v>163</v>
      </c>
      <c r="B48" s="859" t="s">
        <v>164</v>
      </c>
      <c r="C48" s="876">
        <v>1102360</v>
      </c>
      <c r="D48" s="830">
        <f t="shared" si="15"/>
        <v>1102360</v>
      </c>
      <c r="E48" s="831">
        <v>0</v>
      </c>
      <c r="F48" s="877">
        <v>1102360</v>
      </c>
      <c r="G48" s="878">
        <v>0</v>
      </c>
      <c r="H48" s="830">
        <v>1019635</v>
      </c>
      <c r="I48" s="831">
        <v>1500</v>
      </c>
      <c r="J48" s="832">
        <f t="shared" si="1"/>
        <v>1.4711146635805949E-3</v>
      </c>
    </row>
    <row r="49" spans="1:10" hidden="1" x14ac:dyDescent="0.25">
      <c r="A49" s="858" t="s">
        <v>165</v>
      </c>
      <c r="B49" s="859" t="s">
        <v>166</v>
      </c>
      <c r="C49" s="876">
        <v>0</v>
      </c>
      <c r="D49" s="830">
        <f t="shared" si="15"/>
        <v>0</v>
      </c>
      <c r="E49" s="831">
        <v>0</v>
      </c>
      <c r="F49" s="877">
        <v>0</v>
      </c>
      <c r="G49" s="878">
        <v>0</v>
      </c>
      <c r="H49" s="830">
        <v>0</v>
      </c>
      <c r="I49" s="831">
        <v>0</v>
      </c>
      <c r="J49" s="832" t="str">
        <f t="shared" si="1"/>
        <v/>
      </c>
    </row>
    <row r="50" spans="1:10" s="884" customFormat="1" x14ac:dyDescent="0.2">
      <c r="A50" s="879" t="s">
        <v>167</v>
      </c>
      <c r="B50" s="880" t="s">
        <v>368</v>
      </c>
      <c r="C50" s="881">
        <v>0</v>
      </c>
      <c r="D50" s="833">
        <f>C50+245500</f>
        <v>245500</v>
      </c>
      <c r="E50" s="834">
        <v>225500</v>
      </c>
      <c r="F50" s="882">
        <v>245500</v>
      </c>
      <c r="G50" s="883">
        <v>239990</v>
      </c>
      <c r="H50" s="833">
        <v>251990</v>
      </c>
      <c r="I50" s="834">
        <v>251990</v>
      </c>
      <c r="J50" s="835">
        <f t="shared" si="1"/>
        <v>1</v>
      </c>
    </row>
    <row r="51" spans="1:10" s="884" customFormat="1" x14ac:dyDescent="0.2">
      <c r="A51" s="879" t="s">
        <v>168</v>
      </c>
      <c r="B51" s="880" t="s">
        <v>369</v>
      </c>
      <c r="C51" s="881">
        <v>1056101</v>
      </c>
      <c r="D51" s="833">
        <f>C51-245500-8000+77550</f>
        <v>880151</v>
      </c>
      <c r="E51" s="834">
        <v>156009</v>
      </c>
      <c r="F51" s="882">
        <v>880151</v>
      </c>
      <c r="G51" s="883">
        <v>240095</v>
      </c>
      <c r="H51" s="833">
        <v>873661</v>
      </c>
      <c r="I51" s="834">
        <v>408440</v>
      </c>
      <c r="J51" s="835">
        <f t="shared" si="1"/>
        <v>0.4675039860998717</v>
      </c>
    </row>
    <row r="52" spans="1:10" s="866" customFormat="1" x14ac:dyDescent="0.25">
      <c r="A52" s="717" t="s">
        <v>569</v>
      </c>
      <c r="B52" s="718" t="s">
        <v>566</v>
      </c>
      <c r="C52" s="863">
        <f>SUM(C45:C51)</f>
        <v>10085182</v>
      </c>
      <c r="D52" s="820">
        <f t="shared" ref="D52:I52" si="16">SUM(D45:D51)</f>
        <v>10154732</v>
      </c>
      <c r="E52" s="821">
        <f t="shared" si="16"/>
        <v>4685156</v>
      </c>
      <c r="F52" s="864">
        <f t="shared" si="16"/>
        <v>10154732</v>
      </c>
      <c r="G52" s="865">
        <f t="shared" si="16"/>
        <v>5910263</v>
      </c>
      <c r="H52" s="820">
        <f t="shared" si="16"/>
        <v>10154732</v>
      </c>
      <c r="I52" s="821">
        <f t="shared" si="16"/>
        <v>8280119</v>
      </c>
      <c r="J52" s="829">
        <f t="shared" si="1"/>
        <v>0.81539512810382386</v>
      </c>
    </row>
    <row r="53" spans="1:10" x14ac:dyDescent="0.25">
      <c r="A53" s="858" t="s">
        <v>170</v>
      </c>
      <c r="B53" s="859" t="s">
        <v>172</v>
      </c>
      <c r="C53" s="876">
        <v>50000</v>
      </c>
      <c r="D53" s="830">
        <f t="shared" ref="D53:D54" si="17">C53</f>
        <v>50000</v>
      </c>
      <c r="E53" s="831">
        <v>0</v>
      </c>
      <c r="F53" s="877">
        <v>50000</v>
      </c>
      <c r="G53" s="878">
        <v>0</v>
      </c>
      <c r="H53" s="830">
        <v>50000</v>
      </c>
      <c r="I53" s="831">
        <v>0</v>
      </c>
      <c r="J53" s="832">
        <f t="shared" si="1"/>
        <v>0</v>
      </c>
    </row>
    <row r="54" spans="1:10" hidden="1" x14ac:dyDescent="0.25">
      <c r="A54" s="858" t="s">
        <v>171</v>
      </c>
      <c r="B54" s="859" t="s">
        <v>173</v>
      </c>
      <c r="C54" s="876">
        <v>0</v>
      </c>
      <c r="D54" s="830">
        <f t="shared" si="17"/>
        <v>0</v>
      </c>
      <c r="E54" s="831">
        <v>0</v>
      </c>
      <c r="F54" s="877">
        <v>0</v>
      </c>
      <c r="G54" s="878">
        <v>0</v>
      </c>
      <c r="H54" s="830">
        <v>0</v>
      </c>
      <c r="I54" s="831">
        <v>0</v>
      </c>
      <c r="J54" s="832" t="str">
        <f t="shared" si="1"/>
        <v/>
      </c>
    </row>
    <row r="55" spans="1:10" s="866" customFormat="1" x14ac:dyDescent="0.25">
      <c r="A55" s="717" t="s">
        <v>174</v>
      </c>
      <c r="B55" s="718" t="s">
        <v>567</v>
      </c>
      <c r="C55" s="863">
        <f>SUM(C53:C54)</f>
        <v>50000</v>
      </c>
      <c r="D55" s="820">
        <f t="shared" ref="D55:I55" si="18">SUM(D53:D54)</f>
        <v>50000</v>
      </c>
      <c r="E55" s="821">
        <f t="shared" si="18"/>
        <v>0</v>
      </c>
      <c r="F55" s="864">
        <f t="shared" si="18"/>
        <v>50000</v>
      </c>
      <c r="G55" s="865">
        <f t="shared" si="18"/>
        <v>0</v>
      </c>
      <c r="H55" s="820">
        <f t="shared" si="18"/>
        <v>50000</v>
      </c>
      <c r="I55" s="821">
        <f t="shared" si="18"/>
        <v>0</v>
      </c>
      <c r="J55" s="822">
        <f t="shared" si="1"/>
        <v>0</v>
      </c>
    </row>
    <row r="56" spans="1:10" x14ac:dyDescent="0.25">
      <c r="A56" s="858" t="s">
        <v>175</v>
      </c>
      <c r="B56" s="859" t="s">
        <v>180</v>
      </c>
      <c r="C56" s="876">
        <v>3093115</v>
      </c>
      <c r="D56" s="830">
        <f t="shared" ref="D56:D59" si="19">C56</f>
        <v>3093115</v>
      </c>
      <c r="E56" s="831">
        <v>1230404</v>
      </c>
      <c r="F56" s="877">
        <v>3093115</v>
      </c>
      <c r="G56" s="878">
        <v>1575365</v>
      </c>
      <c r="H56" s="830">
        <v>3093115</v>
      </c>
      <c r="I56" s="831">
        <v>2301527</v>
      </c>
      <c r="J56" s="832">
        <f t="shared" si="1"/>
        <v>0.74408064362301429</v>
      </c>
    </row>
    <row r="57" spans="1:10" hidden="1" x14ac:dyDescent="0.25">
      <c r="A57" s="858" t="s">
        <v>176</v>
      </c>
      <c r="B57" s="859" t="s">
        <v>181</v>
      </c>
      <c r="C57" s="876">
        <v>0</v>
      </c>
      <c r="D57" s="830">
        <f t="shared" si="19"/>
        <v>0</v>
      </c>
      <c r="E57" s="831">
        <v>0</v>
      </c>
      <c r="F57" s="877">
        <v>0</v>
      </c>
      <c r="G57" s="878">
        <v>0</v>
      </c>
      <c r="H57" s="830">
        <v>0</v>
      </c>
      <c r="I57" s="831">
        <v>0</v>
      </c>
      <c r="J57" s="832" t="str">
        <f t="shared" si="1"/>
        <v/>
      </c>
    </row>
    <row r="58" spans="1:10" hidden="1" x14ac:dyDescent="0.25">
      <c r="A58" s="858" t="s">
        <v>177</v>
      </c>
      <c r="B58" s="859" t="s">
        <v>182</v>
      </c>
      <c r="C58" s="876">
        <v>0</v>
      </c>
      <c r="D58" s="830">
        <f t="shared" si="19"/>
        <v>0</v>
      </c>
      <c r="E58" s="831">
        <v>0</v>
      </c>
      <c r="F58" s="877">
        <v>0</v>
      </c>
      <c r="G58" s="878">
        <v>0</v>
      </c>
      <c r="H58" s="830">
        <v>0</v>
      </c>
      <c r="I58" s="831">
        <v>0</v>
      </c>
      <c r="J58" s="832" t="str">
        <f t="shared" si="1"/>
        <v/>
      </c>
    </row>
    <row r="59" spans="1:10" hidden="1" x14ac:dyDescent="0.25">
      <c r="A59" s="858" t="s">
        <v>178</v>
      </c>
      <c r="B59" s="859" t="s">
        <v>183</v>
      </c>
      <c r="C59" s="876">
        <v>0</v>
      </c>
      <c r="D59" s="830">
        <f t="shared" si="19"/>
        <v>0</v>
      </c>
      <c r="E59" s="831">
        <v>0</v>
      </c>
      <c r="F59" s="877">
        <v>0</v>
      </c>
      <c r="G59" s="878">
        <v>0</v>
      </c>
      <c r="H59" s="830">
        <v>0</v>
      </c>
      <c r="I59" s="831">
        <v>0</v>
      </c>
      <c r="J59" s="832" t="str">
        <f t="shared" si="1"/>
        <v/>
      </c>
    </row>
    <row r="60" spans="1:10" x14ac:dyDescent="0.25">
      <c r="A60" s="858" t="s">
        <v>179</v>
      </c>
      <c r="B60" s="859" t="s">
        <v>184</v>
      </c>
      <c r="C60" s="876">
        <v>0</v>
      </c>
      <c r="D60" s="830">
        <f>C60+8000</f>
        <v>8000</v>
      </c>
      <c r="E60" s="831">
        <v>1022</v>
      </c>
      <c r="F60" s="877">
        <v>8000</v>
      </c>
      <c r="G60" s="878">
        <v>1957</v>
      </c>
      <c r="H60" s="830">
        <v>8000</v>
      </c>
      <c r="I60" s="831">
        <v>3221</v>
      </c>
      <c r="J60" s="832">
        <f t="shared" si="1"/>
        <v>0.40262500000000001</v>
      </c>
    </row>
    <row r="61" spans="1:10" s="866" customFormat="1" x14ac:dyDescent="0.25">
      <c r="A61" s="717" t="s">
        <v>185</v>
      </c>
      <c r="B61" s="718" t="s">
        <v>568</v>
      </c>
      <c r="C61" s="863">
        <f>SUM(C56:C60)</f>
        <v>3093115</v>
      </c>
      <c r="D61" s="820">
        <f t="shared" ref="D61:I61" si="20">SUM(D56:D60)</f>
        <v>3101115</v>
      </c>
      <c r="E61" s="821">
        <f t="shared" si="20"/>
        <v>1231426</v>
      </c>
      <c r="F61" s="864">
        <f t="shared" si="20"/>
        <v>3101115</v>
      </c>
      <c r="G61" s="865">
        <f t="shared" si="20"/>
        <v>1577322</v>
      </c>
      <c r="H61" s="820">
        <f t="shared" si="20"/>
        <v>3101115</v>
      </c>
      <c r="I61" s="821">
        <f t="shared" si="20"/>
        <v>2304748</v>
      </c>
      <c r="J61" s="822">
        <f t="shared" si="1"/>
        <v>0.74319978459360581</v>
      </c>
    </row>
    <row r="62" spans="1:10" x14ac:dyDescent="0.25">
      <c r="A62" s="740" t="s">
        <v>186</v>
      </c>
      <c r="B62" s="741" t="s">
        <v>187</v>
      </c>
      <c r="C62" s="867">
        <f>SUM(C61,C55,C52,C44,C41)</f>
        <v>14957781</v>
      </c>
      <c r="D62" s="823">
        <f t="shared" ref="D62:I62" si="21">SUM(D61,D55,D52,D44,D41)</f>
        <v>15035331</v>
      </c>
      <c r="E62" s="824">
        <f t="shared" si="21"/>
        <v>6192673</v>
      </c>
      <c r="F62" s="868">
        <f t="shared" si="21"/>
        <v>15035331</v>
      </c>
      <c r="G62" s="869">
        <f t="shared" si="21"/>
        <v>7931454</v>
      </c>
      <c r="H62" s="823">
        <f t="shared" si="21"/>
        <v>15035331</v>
      </c>
      <c r="I62" s="824">
        <f t="shared" si="21"/>
        <v>11765073</v>
      </c>
      <c r="J62" s="825">
        <f t="shared" si="1"/>
        <v>0.78249511101551406</v>
      </c>
    </row>
    <row r="63" spans="1:10" x14ac:dyDescent="0.25">
      <c r="A63" s="740" t="s">
        <v>203</v>
      </c>
      <c r="B63" s="741" t="s">
        <v>240</v>
      </c>
      <c r="C63" s="867">
        <v>0</v>
      </c>
      <c r="D63" s="823">
        <v>0</v>
      </c>
      <c r="E63" s="824">
        <v>0</v>
      </c>
      <c r="F63" s="868">
        <v>0</v>
      </c>
      <c r="G63" s="869">
        <v>0</v>
      </c>
      <c r="H63" s="823">
        <v>0</v>
      </c>
      <c r="I63" s="824">
        <v>0</v>
      </c>
      <c r="J63" s="836" t="str">
        <f t="shared" si="1"/>
        <v/>
      </c>
    </row>
    <row r="64" spans="1:10" s="885" customFormat="1" hidden="1" x14ac:dyDescent="0.25">
      <c r="A64" s="858" t="s">
        <v>204</v>
      </c>
      <c r="B64" s="859" t="s">
        <v>205</v>
      </c>
      <c r="C64" s="876">
        <v>0</v>
      </c>
      <c r="D64" s="830">
        <f>C64</f>
        <v>0</v>
      </c>
      <c r="E64" s="831">
        <v>0</v>
      </c>
      <c r="F64" s="877">
        <v>0</v>
      </c>
      <c r="G64" s="878">
        <v>0</v>
      </c>
      <c r="H64" s="830">
        <v>0</v>
      </c>
      <c r="I64" s="831">
        <v>0</v>
      </c>
      <c r="J64" s="832" t="str">
        <f t="shared" si="1"/>
        <v/>
      </c>
    </row>
    <row r="65" spans="1:10" s="558" customFormat="1" hidden="1" x14ac:dyDescent="0.25">
      <c r="A65" s="886" t="s">
        <v>206</v>
      </c>
      <c r="B65" s="859" t="s">
        <v>237</v>
      </c>
      <c r="C65" s="876">
        <v>0</v>
      </c>
      <c r="D65" s="830">
        <f>C65</f>
        <v>0</v>
      </c>
      <c r="E65" s="831">
        <v>0</v>
      </c>
      <c r="F65" s="877">
        <v>0</v>
      </c>
      <c r="G65" s="878">
        <v>0</v>
      </c>
      <c r="H65" s="830">
        <v>0</v>
      </c>
      <c r="I65" s="831">
        <v>0</v>
      </c>
      <c r="J65" s="832" t="str">
        <f t="shared" si="1"/>
        <v/>
      </c>
    </row>
    <row r="66" spans="1:10" s="885" customFormat="1" hidden="1" x14ac:dyDescent="0.25">
      <c r="A66" s="858" t="s">
        <v>208</v>
      </c>
      <c r="B66" s="859" t="s">
        <v>238</v>
      </c>
      <c r="C66" s="876">
        <v>0</v>
      </c>
      <c r="D66" s="830">
        <f t="shared" ref="D66:D68" si="22">C66</f>
        <v>0</v>
      </c>
      <c r="E66" s="831">
        <v>0</v>
      </c>
      <c r="F66" s="877">
        <v>0</v>
      </c>
      <c r="G66" s="878">
        <v>0</v>
      </c>
      <c r="H66" s="830">
        <v>0</v>
      </c>
      <c r="I66" s="831">
        <v>0</v>
      </c>
      <c r="J66" s="832" t="str">
        <f t="shared" si="1"/>
        <v/>
      </c>
    </row>
    <row r="67" spans="1:10" hidden="1" x14ac:dyDescent="0.25">
      <c r="A67" s="858" t="s">
        <v>210</v>
      </c>
      <c r="B67" s="859" t="s">
        <v>239</v>
      </c>
      <c r="C67" s="876">
        <v>0</v>
      </c>
      <c r="D67" s="830">
        <f t="shared" si="22"/>
        <v>0</v>
      </c>
      <c r="E67" s="831">
        <v>0</v>
      </c>
      <c r="F67" s="877">
        <v>0</v>
      </c>
      <c r="G67" s="878">
        <v>0</v>
      </c>
      <c r="H67" s="830">
        <v>0</v>
      </c>
      <c r="I67" s="831">
        <v>0</v>
      </c>
      <c r="J67" s="832" t="str">
        <f t="shared" si="1"/>
        <v/>
      </c>
    </row>
    <row r="68" spans="1:10" hidden="1" x14ac:dyDescent="0.25">
      <c r="A68" s="858" t="s">
        <v>547</v>
      </c>
      <c r="B68" s="859" t="s">
        <v>211</v>
      </c>
      <c r="C68" s="876">
        <v>0</v>
      </c>
      <c r="D68" s="830">
        <f t="shared" si="22"/>
        <v>0</v>
      </c>
      <c r="E68" s="831">
        <v>0</v>
      </c>
      <c r="F68" s="877">
        <v>0</v>
      </c>
      <c r="G68" s="878">
        <v>0</v>
      </c>
      <c r="H68" s="830">
        <v>0</v>
      </c>
      <c r="I68" s="831">
        <v>0</v>
      </c>
      <c r="J68" s="832" t="str">
        <f t="shared" si="1"/>
        <v/>
      </c>
    </row>
    <row r="69" spans="1:10" x14ac:dyDescent="0.25">
      <c r="A69" s="740" t="s">
        <v>212</v>
      </c>
      <c r="B69" s="741" t="s">
        <v>213</v>
      </c>
      <c r="C69" s="867">
        <f t="shared" ref="C69" si="23">SUM(C64:C68)</f>
        <v>0</v>
      </c>
      <c r="D69" s="823">
        <f t="shared" ref="D69" si="24">SUM(D64:D68)</f>
        <v>0</v>
      </c>
      <c r="E69" s="824">
        <f t="shared" ref="E69" si="25">SUM(E64:E68)</f>
        <v>0</v>
      </c>
      <c r="F69" s="868">
        <f t="shared" ref="F69" si="26">SUM(F64:F68)</f>
        <v>0</v>
      </c>
      <c r="G69" s="869">
        <f t="shared" ref="G69" si="27">SUM(G64:G68)</f>
        <v>0</v>
      </c>
      <c r="H69" s="823">
        <f t="shared" ref="H69" si="28">SUM(H64:H68)</f>
        <v>0</v>
      </c>
      <c r="I69" s="824">
        <f t="shared" ref="I69" si="29">SUM(I64:I68)</f>
        <v>0</v>
      </c>
      <c r="J69" s="825" t="str">
        <f t="shared" ref="J69:J132" si="30">IF(OR(H69="",H69=0),"",I69/H69)</f>
        <v/>
      </c>
    </row>
    <row r="70" spans="1:10" x14ac:dyDescent="0.25">
      <c r="A70" s="740" t="s">
        <v>194</v>
      </c>
      <c r="B70" s="741" t="s">
        <v>241</v>
      </c>
      <c r="C70" s="867">
        <v>289999</v>
      </c>
      <c r="D70" s="823">
        <f>C70</f>
        <v>289999</v>
      </c>
      <c r="E70" s="824">
        <v>32639</v>
      </c>
      <c r="F70" s="868">
        <v>289999</v>
      </c>
      <c r="G70" s="869">
        <v>32639</v>
      </c>
      <c r="H70" s="823">
        <v>289999</v>
      </c>
      <c r="I70" s="824">
        <v>181975</v>
      </c>
      <c r="J70" s="836">
        <f t="shared" si="30"/>
        <v>0.62750216380056478</v>
      </c>
    </row>
    <row r="71" spans="1:10" x14ac:dyDescent="0.25">
      <c r="A71" s="740" t="s">
        <v>197</v>
      </c>
      <c r="B71" s="741" t="s">
        <v>242</v>
      </c>
      <c r="C71" s="867">
        <v>0</v>
      </c>
      <c r="D71" s="823">
        <v>0</v>
      </c>
      <c r="E71" s="824">
        <v>0</v>
      </c>
      <c r="F71" s="868">
        <v>0</v>
      </c>
      <c r="G71" s="869">
        <v>0</v>
      </c>
      <c r="H71" s="823">
        <v>0</v>
      </c>
      <c r="I71" s="824">
        <v>0</v>
      </c>
      <c r="J71" s="836" t="str">
        <f t="shared" si="30"/>
        <v/>
      </c>
    </row>
    <row r="72" spans="1:10" hidden="1" x14ac:dyDescent="0.25">
      <c r="A72" s="858" t="s">
        <v>198</v>
      </c>
      <c r="B72" s="870" t="s">
        <v>244</v>
      </c>
      <c r="C72" s="860">
        <v>0</v>
      </c>
      <c r="D72" s="817">
        <f t="shared" ref="D72:D74" si="31">C72</f>
        <v>0</v>
      </c>
      <c r="E72" s="818">
        <v>0</v>
      </c>
      <c r="F72" s="861">
        <v>0</v>
      </c>
      <c r="G72" s="862">
        <v>0</v>
      </c>
      <c r="H72" s="817">
        <v>0</v>
      </c>
      <c r="I72" s="818">
        <v>0</v>
      </c>
      <c r="J72" s="819" t="str">
        <f t="shared" si="30"/>
        <v/>
      </c>
    </row>
    <row r="73" spans="1:10" hidden="1" x14ac:dyDescent="0.25">
      <c r="A73" s="858" t="s">
        <v>199</v>
      </c>
      <c r="B73" s="870" t="s">
        <v>245</v>
      </c>
      <c r="C73" s="860">
        <v>0</v>
      </c>
      <c r="D73" s="817">
        <f t="shared" si="31"/>
        <v>0</v>
      </c>
      <c r="E73" s="818">
        <v>0</v>
      </c>
      <c r="F73" s="861">
        <v>0</v>
      </c>
      <c r="G73" s="862">
        <v>0</v>
      </c>
      <c r="H73" s="817">
        <v>0</v>
      </c>
      <c r="I73" s="818">
        <v>0</v>
      </c>
      <c r="J73" s="819" t="str">
        <f t="shared" si="30"/>
        <v/>
      </c>
    </row>
    <row r="74" spans="1:10" hidden="1" x14ac:dyDescent="0.25">
      <c r="A74" s="858" t="s">
        <v>200</v>
      </c>
      <c r="B74" s="870" t="s">
        <v>246</v>
      </c>
      <c r="C74" s="860">
        <v>0</v>
      </c>
      <c r="D74" s="817">
        <f t="shared" si="31"/>
        <v>0</v>
      </c>
      <c r="E74" s="818">
        <v>0</v>
      </c>
      <c r="F74" s="861">
        <v>0</v>
      </c>
      <c r="G74" s="862">
        <v>0</v>
      </c>
      <c r="H74" s="817">
        <v>0</v>
      </c>
      <c r="I74" s="818">
        <v>0</v>
      </c>
      <c r="J74" s="819" t="str">
        <f t="shared" si="30"/>
        <v/>
      </c>
    </row>
    <row r="75" spans="1:10" ht="16.5" thickBot="1" x14ac:dyDescent="0.3">
      <c r="A75" s="758" t="s">
        <v>201</v>
      </c>
      <c r="B75" s="759" t="s">
        <v>243</v>
      </c>
      <c r="C75" s="887">
        <f>SUM(C72:C74)</f>
        <v>0</v>
      </c>
      <c r="D75" s="837">
        <f t="shared" ref="D75:I75" si="32">SUM(D72:D74)</f>
        <v>0</v>
      </c>
      <c r="E75" s="838">
        <f t="shared" si="32"/>
        <v>0</v>
      </c>
      <c r="F75" s="888">
        <f t="shared" si="32"/>
        <v>0</v>
      </c>
      <c r="G75" s="889">
        <f t="shared" si="32"/>
        <v>0</v>
      </c>
      <c r="H75" s="837">
        <f t="shared" si="32"/>
        <v>0</v>
      </c>
      <c r="I75" s="838">
        <f t="shared" si="32"/>
        <v>0</v>
      </c>
      <c r="J75" s="839" t="str">
        <f t="shared" si="30"/>
        <v/>
      </c>
    </row>
    <row r="76" spans="1:10" ht="16.5" thickBot="1" x14ac:dyDescent="0.3">
      <c r="A76" s="1357" t="s">
        <v>570</v>
      </c>
      <c r="B76" s="1361"/>
      <c r="C76" s="498">
        <f>SUM(C22,C28,C62,C63,C69,C70,C71,C75)</f>
        <v>70626433</v>
      </c>
      <c r="D76" s="499">
        <f t="shared" ref="D76:I76" si="33">SUM(D22,D28,D62,D63,D69,D70,D71,D75)</f>
        <v>70722624</v>
      </c>
      <c r="E76" s="502">
        <f t="shared" si="33"/>
        <v>30100464</v>
      </c>
      <c r="F76" s="501">
        <f t="shared" si="33"/>
        <v>70732903</v>
      </c>
      <c r="G76" s="500">
        <f t="shared" si="33"/>
        <v>44572327</v>
      </c>
      <c r="H76" s="499">
        <f t="shared" si="33"/>
        <v>70743126</v>
      </c>
      <c r="I76" s="502">
        <f t="shared" si="33"/>
        <v>64473291</v>
      </c>
      <c r="J76" s="503">
        <f t="shared" si="30"/>
        <v>0.91137181300130843</v>
      </c>
    </row>
    <row r="77" spans="1:10" hidden="1" x14ac:dyDescent="0.25">
      <c r="A77" s="853" t="s">
        <v>471</v>
      </c>
      <c r="B77" s="854" t="s">
        <v>472</v>
      </c>
      <c r="C77" s="890">
        <v>0</v>
      </c>
      <c r="D77" s="840">
        <f t="shared" ref="D77:D79" si="34">C77</f>
        <v>0</v>
      </c>
      <c r="E77" s="841">
        <v>0</v>
      </c>
      <c r="F77" s="891">
        <v>0</v>
      </c>
      <c r="G77" s="892">
        <v>0</v>
      </c>
      <c r="H77" s="840">
        <v>0</v>
      </c>
      <c r="I77" s="841">
        <v>0</v>
      </c>
      <c r="J77" s="842" t="str">
        <f t="shared" si="30"/>
        <v/>
      </c>
    </row>
    <row r="78" spans="1:10" hidden="1" x14ac:dyDescent="0.25">
      <c r="A78" s="858" t="s">
        <v>236</v>
      </c>
      <c r="B78" s="859" t="s">
        <v>61</v>
      </c>
      <c r="C78" s="876">
        <v>0</v>
      </c>
      <c r="D78" s="830">
        <f t="shared" si="34"/>
        <v>0</v>
      </c>
      <c r="E78" s="831">
        <v>0</v>
      </c>
      <c r="F78" s="877">
        <v>0</v>
      </c>
      <c r="G78" s="878">
        <v>0</v>
      </c>
      <c r="H78" s="830">
        <v>0</v>
      </c>
      <c r="I78" s="831">
        <v>0</v>
      </c>
      <c r="J78" s="832" t="str">
        <f t="shared" si="30"/>
        <v/>
      </c>
    </row>
    <row r="79" spans="1:10" hidden="1" x14ac:dyDescent="0.25">
      <c r="A79" s="893" t="s">
        <v>469</v>
      </c>
      <c r="B79" s="894" t="s">
        <v>470</v>
      </c>
      <c r="C79" s="895">
        <v>0</v>
      </c>
      <c r="D79" s="843">
        <f t="shared" si="34"/>
        <v>0</v>
      </c>
      <c r="E79" s="844">
        <v>0</v>
      </c>
      <c r="F79" s="896">
        <v>0</v>
      </c>
      <c r="G79" s="897">
        <v>0</v>
      </c>
      <c r="H79" s="843">
        <v>0</v>
      </c>
      <c r="I79" s="844">
        <v>0</v>
      </c>
      <c r="J79" s="845" t="str">
        <f t="shared" si="30"/>
        <v/>
      </c>
    </row>
    <row r="80" spans="1:10" ht="16.5" thickBot="1" x14ac:dyDescent="0.3">
      <c r="A80" s="758" t="s">
        <v>345</v>
      </c>
      <c r="B80" s="759" t="s">
        <v>572</v>
      </c>
      <c r="C80" s="760">
        <f t="shared" ref="C80" si="35">SUM(C77:C79)</f>
        <v>0</v>
      </c>
      <c r="D80" s="761">
        <f t="shared" ref="D80" si="36">SUM(D77:D79)</f>
        <v>0</v>
      </c>
      <c r="E80" s="762">
        <f t="shared" ref="E80" si="37">SUM(E77:E79)</f>
        <v>0</v>
      </c>
      <c r="F80" s="763">
        <f t="shared" ref="F80" si="38">SUM(F77:F79)</f>
        <v>0</v>
      </c>
      <c r="G80" s="762">
        <f t="shared" ref="G80" si="39">SUM(G77:G79)</f>
        <v>0</v>
      </c>
      <c r="H80" s="763">
        <f t="shared" ref="H80" si="40">SUM(H77:H79)</f>
        <v>0</v>
      </c>
      <c r="I80" s="764">
        <f t="shared" ref="I80" si="41">SUM(I77:I79)</f>
        <v>0</v>
      </c>
      <c r="J80" s="765" t="str">
        <f t="shared" si="30"/>
        <v/>
      </c>
    </row>
    <row r="81" spans="1:10" s="901" customFormat="1" ht="17.25" thickBot="1" x14ac:dyDescent="0.3">
      <c r="A81" s="1359" t="s">
        <v>571</v>
      </c>
      <c r="B81" s="1360"/>
      <c r="C81" s="898">
        <f>SUM(C80,C76)</f>
        <v>70626433</v>
      </c>
      <c r="D81" s="846">
        <f t="shared" ref="D81:I81" si="42">SUM(D80,D76)</f>
        <v>70722624</v>
      </c>
      <c r="E81" s="847">
        <f t="shared" si="42"/>
        <v>30100464</v>
      </c>
      <c r="F81" s="899">
        <f t="shared" si="42"/>
        <v>70732903</v>
      </c>
      <c r="G81" s="900">
        <f t="shared" si="42"/>
        <v>44572327</v>
      </c>
      <c r="H81" s="846">
        <f t="shared" si="42"/>
        <v>70743126</v>
      </c>
      <c r="I81" s="847">
        <f t="shared" si="42"/>
        <v>64473291</v>
      </c>
      <c r="J81" s="848">
        <f t="shared" si="30"/>
        <v>0.91137181300130843</v>
      </c>
    </row>
    <row r="82" spans="1:10" s="903" customFormat="1" ht="17.25" thickBot="1" x14ac:dyDescent="0.3">
      <c r="A82" s="902"/>
      <c r="B82" s="902"/>
      <c r="C82" s="849"/>
      <c r="D82" s="849"/>
      <c r="E82" s="849"/>
      <c r="F82" s="849"/>
      <c r="G82" s="849"/>
      <c r="H82" s="849"/>
      <c r="I82" s="849"/>
      <c r="J82" s="850"/>
    </row>
    <row r="83" spans="1:10" hidden="1" x14ac:dyDescent="0.25">
      <c r="A83" s="853" t="s">
        <v>312</v>
      </c>
      <c r="B83" s="854" t="s">
        <v>318</v>
      </c>
      <c r="C83" s="890">
        <v>0</v>
      </c>
      <c r="D83" s="840">
        <f t="shared" ref="D83:D88" si="43">C83</f>
        <v>0</v>
      </c>
      <c r="E83" s="841">
        <v>0</v>
      </c>
      <c r="F83" s="891">
        <v>0</v>
      </c>
      <c r="G83" s="892">
        <v>0</v>
      </c>
      <c r="H83" s="840">
        <v>0</v>
      </c>
      <c r="I83" s="841">
        <v>0</v>
      </c>
      <c r="J83" s="842" t="str">
        <f t="shared" si="30"/>
        <v/>
      </c>
    </row>
    <row r="84" spans="1:10" hidden="1" x14ac:dyDescent="0.25">
      <c r="A84" s="858" t="s">
        <v>313</v>
      </c>
      <c r="B84" s="859" t="s">
        <v>319</v>
      </c>
      <c r="C84" s="876">
        <v>0</v>
      </c>
      <c r="D84" s="830">
        <f t="shared" si="43"/>
        <v>0</v>
      </c>
      <c r="E84" s="831">
        <v>0</v>
      </c>
      <c r="F84" s="877">
        <v>0</v>
      </c>
      <c r="G84" s="878">
        <v>0</v>
      </c>
      <c r="H84" s="830">
        <v>0</v>
      </c>
      <c r="I84" s="831">
        <v>0</v>
      </c>
      <c r="J84" s="832" t="str">
        <f t="shared" si="30"/>
        <v/>
      </c>
    </row>
    <row r="85" spans="1:10" hidden="1" x14ac:dyDescent="0.25">
      <c r="A85" s="858" t="s">
        <v>314</v>
      </c>
      <c r="B85" s="859" t="s">
        <v>320</v>
      </c>
      <c r="C85" s="876">
        <v>0</v>
      </c>
      <c r="D85" s="830">
        <f t="shared" si="43"/>
        <v>0</v>
      </c>
      <c r="E85" s="831">
        <v>0</v>
      </c>
      <c r="F85" s="877">
        <v>0</v>
      </c>
      <c r="G85" s="878">
        <v>0</v>
      </c>
      <c r="H85" s="830">
        <v>0</v>
      </c>
      <c r="I85" s="831">
        <v>0</v>
      </c>
      <c r="J85" s="832" t="str">
        <f t="shared" si="30"/>
        <v/>
      </c>
    </row>
    <row r="86" spans="1:10" hidden="1" x14ac:dyDescent="0.25">
      <c r="A86" s="858" t="s">
        <v>315</v>
      </c>
      <c r="B86" s="859" t="s">
        <v>321</v>
      </c>
      <c r="C86" s="876">
        <v>0</v>
      </c>
      <c r="D86" s="830">
        <f t="shared" si="43"/>
        <v>0</v>
      </c>
      <c r="E86" s="831">
        <v>0</v>
      </c>
      <c r="F86" s="877">
        <v>0</v>
      </c>
      <c r="G86" s="878">
        <v>0</v>
      </c>
      <c r="H86" s="830">
        <v>0</v>
      </c>
      <c r="I86" s="831">
        <v>0</v>
      </c>
      <c r="J86" s="832" t="str">
        <f t="shared" si="30"/>
        <v/>
      </c>
    </row>
    <row r="87" spans="1:10" hidden="1" x14ac:dyDescent="0.25">
      <c r="A87" s="858" t="s">
        <v>316</v>
      </c>
      <c r="B87" s="859" t="s">
        <v>322</v>
      </c>
      <c r="C87" s="876">
        <v>0</v>
      </c>
      <c r="D87" s="830">
        <f t="shared" si="43"/>
        <v>0</v>
      </c>
      <c r="E87" s="831">
        <v>0</v>
      </c>
      <c r="F87" s="877">
        <v>0</v>
      </c>
      <c r="G87" s="878">
        <v>0</v>
      </c>
      <c r="H87" s="830">
        <v>0</v>
      </c>
      <c r="I87" s="831">
        <v>0</v>
      </c>
      <c r="J87" s="832" t="str">
        <f t="shared" si="30"/>
        <v/>
      </c>
    </row>
    <row r="88" spans="1:10" hidden="1" x14ac:dyDescent="0.25">
      <c r="A88" s="858" t="s">
        <v>317</v>
      </c>
      <c r="B88" s="859" t="s">
        <v>323</v>
      </c>
      <c r="C88" s="876">
        <v>0</v>
      </c>
      <c r="D88" s="830">
        <f t="shared" si="43"/>
        <v>0</v>
      </c>
      <c r="E88" s="831">
        <v>0</v>
      </c>
      <c r="F88" s="877">
        <v>0</v>
      </c>
      <c r="G88" s="878">
        <v>0</v>
      </c>
      <c r="H88" s="830">
        <v>0</v>
      </c>
      <c r="I88" s="831">
        <v>0</v>
      </c>
      <c r="J88" s="832" t="str">
        <f t="shared" si="30"/>
        <v/>
      </c>
    </row>
    <row r="89" spans="1:10" s="866" customFormat="1" hidden="1" x14ac:dyDescent="0.25">
      <c r="A89" s="717" t="s">
        <v>256</v>
      </c>
      <c r="B89" s="718" t="s">
        <v>250</v>
      </c>
      <c r="C89" s="863">
        <f>SUM(C83:C88)</f>
        <v>0</v>
      </c>
      <c r="D89" s="820">
        <f t="shared" ref="D89:I89" si="44">SUM(D83:D88)</f>
        <v>0</v>
      </c>
      <c r="E89" s="821">
        <f t="shared" si="44"/>
        <v>0</v>
      </c>
      <c r="F89" s="864">
        <f t="shared" si="44"/>
        <v>0</v>
      </c>
      <c r="G89" s="865">
        <f t="shared" si="44"/>
        <v>0</v>
      </c>
      <c r="H89" s="820">
        <f t="shared" si="44"/>
        <v>0</v>
      </c>
      <c r="I89" s="821">
        <f t="shared" si="44"/>
        <v>0</v>
      </c>
      <c r="J89" s="829" t="str">
        <f t="shared" si="30"/>
        <v/>
      </c>
    </row>
    <row r="90" spans="1:10" hidden="1" x14ac:dyDescent="0.25">
      <c r="A90" s="858"/>
      <c r="B90" s="904"/>
      <c r="C90" s="876">
        <v>0</v>
      </c>
      <c r="D90" s="830">
        <f t="shared" ref="D90:D94" si="45">C90</f>
        <v>0</v>
      </c>
      <c r="E90" s="831">
        <v>0</v>
      </c>
      <c r="F90" s="877">
        <v>0</v>
      </c>
      <c r="G90" s="878">
        <v>0</v>
      </c>
      <c r="H90" s="830">
        <v>0</v>
      </c>
      <c r="I90" s="831">
        <v>0</v>
      </c>
      <c r="J90" s="832" t="str">
        <f t="shared" si="30"/>
        <v/>
      </c>
    </row>
    <row r="91" spans="1:10" hidden="1" x14ac:dyDescent="0.25">
      <c r="A91" s="858"/>
      <c r="B91" s="859" t="s">
        <v>350</v>
      </c>
      <c r="C91" s="876">
        <v>0</v>
      </c>
      <c r="D91" s="830">
        <f t="shared" si="45"/>
        <v>0</v>
      </c>
      <c r="E91" s="831">
        <v>0</v>
      </c>
      <c r="F91" s="877">
        <v>0</v>
      </c>
      <c r="G91" s="878">
        <v>0</v>
      </c>
      <c r="H91" s="830">
        <v>0</v>
      </c>
      <c r="I91" s="831">
        <v>0</v>
      </c>
      <c r="J91" s="832" t="str">
        <f t="shared" si="30"/>
        <v/>
      </c>
    </row>
    <row r="92" spans="1:10" hidden="1" x14ac:dyDescent="0.25">
      <c r="A92" s="858"/>
      <c r="B92" s="859"/>
      <c r="C92" s="876">
        <v>0</v>
      </c>
      <c r="D92" s="830">
        <f t="shared" si="45"/>
        <v>0</v>
      </c>
      <c r="E92" s="831">
        <v>0</v>
      </c>
      <c r="F92" s="877">
        <v>0</v>
      </c>
      <c r="G92" s="878">
        <v>0</v>
      </c>
      <c r="H92" s="830">
        <v>0</v>
      </c>
      <c r="I92" s="831">
        <v>0</v>
      </c>
      <c r="J92" s="832" t="str">
        <f t="shared" si="30"/>
        <v/>
      </c>
    </row>
    <row r="93" spans="1:10" hidden="1" x14ac:dyDescent="0.25">
      <c r="A93" s="858"/>
      <c r="B93" s="859"/>
      <c r="C93" s="876">
        <v>0</v>
      </c>
      <c r="D93" s="830">
        <f t="shared" si="45"/>
        <v>0</v>
      </c>
      <c r="E93" s="831">
        <v>0</v>
      </c>
      <c r="F93" s="877">
        <v>0</v>
      </c>
      <c r="G93" s="878">
        <v>0</v>
      </c>
      <c r="H93" s="830">
        <v>0</v>
      </c>
      <c r="I93" s="831">
        <v>0</v>
      </c>
      <c r="J93" s="832" t="str">
        <f t="shared" si="30"/>
        <v/>
      </c>
    </row>
    <row r="94" spans="1:10" hidden="1" x14ac:dyDescent="0.25">
      <c r="A94" s="858"/>
      <c r="B94" s="859"/>
      <c r="C94" s="876">
        <v>0</v>
      </c>
      <c r="D94" s="830">
        <f t="shared" si="45"/>
        <v>0</v>
      </c>
      <c r="E94" s="831">
        <v>0</v>
      </c>
      <c r="F94" s="877">
        <v>0</v>
      </c>
      <c r="G94" s="878">
        <v>0</v>
      </c>
      <c r="H94" s="830">
        <v>0</v>
      </c>
      <c r="I94" s="831">
        <v>0</v>
      </c>
      <c r="J94" s="832" t="str">
        <f t="shared" si="30"/>
        <v/>
      </c>
    </row>
    <row r="95" spans="1:10" s="866" customFormat="1" hidden="1" x14ac:dyDescent="0.25">
      <c r="A95" s="717" t="s">
        <v>257</v>
      </c>
      <c r="B95" s="718" t="s">
        <v>251</v>
      </c>
      <c r="C95" s="863">
        <f>SUM(C90:C94)</f>
        <v>0</v>
      </c>
      <c r="D95" s="820">
        <f t="shared" ref="D95:I95" si="46">SUM(D90:D94)</f>
        <v>0</v>
      </c>
      <c r="E95" s="821">
        <f t="shared" si="46"/>
        <v>0</v>
      </c>
      <c r="F95" s="864">
        <f t="shared" si="46"/>
        <v>0</v>
      </c>
      <c r="G95" s="865">
        <f t="shared" si="46"/>
        <v>0</v>
      </c>
      <c r="H95" s="820">
        <f t="shared" si="46"/>
        <v>0</v>
      </c>
      <c r="I95" s="821">
        <f t="shared" si="46"/>
        <v>0</v>
      </c>
      <c r="J95" s="822" t="str">
        <f t="shared" si="30"/>
        <v/>
      </c>
    </row>
    <row r="96" spans="1:10" x14ac:dyDescent="0.25">
      <c r="A96" s="740" t="s">
        <v>249</v>
      </c>
      <c r="B96" s="741" t="s">
        <v>597</v>
      </c>
      <c r="C96" s="867">
        <f>SUM(C89,C95)</f>
        <v>0</v>
      </c>
      <c r="D96" s="823">
        <f t="shared" ref="D96:I96" si="47">SUM(D89,D95)</f>
        <v>0</v>
      </c>
      <c r="E96" s="824">
        <f t="shared" si="47"/>
        <v>0</v>
      </c>
      <c r="F96" s="868">
        <f t="shared" si="47"/>
        <v>0</v>
      </c>
      <c r="G96" s="869">
        <f t="shared" si="47"/>
        <v>0</v>
      </c>
      <c r="H96" s="823">
        <f t="shared" si="47"/>
        <v>0</v>
      </c>
      <c r="I96" s="824">
        <f t="shared" si="47"/>
        <v>0</v>
      </c>
      <c r="J96" s="836" t="str">
        <f t="shared" si="30"/>
        <v/>
      </c>
    </row>
    <row r="97" spans="1:10" hidden="1" x14ac:dyDescent="0.25">
      <c r="A97" s="858" t="s">
        <v>261</v>
      </c>
      <c r="B97" s="870" t="s">
        <v>255</v>
      </c>
      <c r="C97" s="860">
        <v>0</v>
      </c>
      <c r="D97" s="817">
        <v>0</v>
      </c>
      <c r="E97" s="818">
        <v>0</v>
      </c>
      <c r="F97" s="861">
        <v>0</v>
      </c>
      <c r="G97" s="862">
        <v>0</v>
      </c>
      <c r="H97" s="817">
        <v>0</v>
      </c>
      <c r="I97" s="818">
        <v>0</v>
      </c>
      <c r="J97" s="819" t="str">
        <f t="shared" si="30"/>
        <v/>
      </c>
    </row>
    <row r="98" spans="1:10" hidden="1" x14ac:dyDescent="0.25">
      <c r="A98" s="858" t="s">
        <v>259</v>
      </c>
      <c r="B98" s="870" t="s">
        <v>258</v>
      </c>
      <c r="C98" s="860">
        <v>0</v>
      </c>
      <c r="D98" s="817">
        <v>0</v>
      </c>
      <c r="E98" s="818">
        <v>0</v>
      </c>
      <c r="F98" s="861">
        <v>0</v>
      </c>
      <c r="G98" s="862">
        <v>0</v>
      </c>
      <c r="H98" s="817">
        <v>0</v>
      </c>
      <c r="I98" s="818">
        <v>0</v>
      </c>
      <c r="J98" s="819" t="str">
        <f t="shared" si="30"/>
        <v/>
      </c>
    </row>
    <row r="99" spans="1:10" x14ac:dyDescent="0.25">
      <c r="A99" s="740" t="s">
        <v>260</v>
      </c>
      <c r="B99" s="741" t="s">
        <v>598</v>
      </c>
      <c r="C99" s="867">
        <f>SUM(C97,C98)</f>
        <v>0</v>
      </c>
      <c r="D99" s="823">
        <f t="shared" ref="D99:I99" si="48">SUM(D97,D98)</f>
        <v>0</v>
      </c>
      <c r="E99" s="824">
        <f t="shared" si="48"/>
        <v>0</v>
      </c>
      <c r="F99" s="868">
        <f t="shared" si="48"/>
        <v>0</v>
      </c>
      <c r="G99" s="869">
        <f t="shared" si="48"/>
        <v>0</v>
      </c>
      <c r="H99" s="823">
        <f t="shared" si="48"/>
        <v>0</v>
      </c>
      <c r="I99" s="824">
        <f t="shared" si="48"/>
        <v>0</v>
      </c>
      <c r="J99" s="836" t="str">
        <f t="shared" si="30"/>
        <v/>
      </c>
    </row>
    <row r="100" spans="1:10" s="731" customFormat="1" hidden="1" x14ac:dyDescent="0.25">
      <c r="A100" s="717" t="s">
        <v>263</v>
      </c>
      <c r="B100" s="718" t="s">
        <v>575</v>
      </c>
      <c r="C100" s="863">
        <v>0</v>
      </c>
      <c r="D100" s="820">
        <f>C100</f>
        <v>0</v>
      </c>
      <c r="E100" s="821">
        <v>0</v>
      </c>
      <c r="F100" s="864">
        <v>0</v>
      </c>
      <c r="G100" s="865">
        <v>0</v>
      </c>
      <c r="H100" s="820">
        <v>0</v>
      </c>
      <c r="I100" s="821">
        <v>0</v>
      </c>
      <c r="J100" s="822" t="str">
        <f t="shared" si="30"/>
        <v/>
      </c>
    </row>
    <row r="101" spans="1:10" s="558" customFormat="1" hidden="1" x14ac:dyDescent="0.25">
      <c r="A101" s="858" t="s">
        <v>783</v>
      </c>
      <c r="B101" s="859" t="s">
        <v>576</v>
      </c>
      <c r="C101" s="876">
        <v>0</v>
      </c>
      <c r="D101" s="830">
        <f>C101</f>
        <v>0</v>
      </c>
      <c r="E101" s="831">
        <v>0</v>
      </c>
      <c r="F101" s="877">
        <v>0</v>
      </c>
      <c r="G101" s="878">
        <v>0</v>
      </c>
      <c r="H101" s="830">
        <v>0</v>
      </c>
      <c r="I101" s="831">
        <v>0</v>
      </c>
      <c r="J101" s="832" t="str">
        <f t="shared" si="30"/>
        <v/>
      </c>
    </row>
    <row r="102" spans="1:10" s="558" customFormat="1" hidden="1" x14ac:dyDescent="0.25">
      <c r="A102" s="858" t="s">
        <v>782</v>
      </c>
      <c r="B102" s="859" t="s">
        <v>426</v>
      </c>
      <c r="C102" s="876">
        <v>0</v>
      </c>
      <c r="D102" s="830">
        <f>C102</f>
        <v>0</v>
      </c>
      <c r="E102" s="831">
        <v>0</v>
      </c>
      <c r="F102" s="877">
        <v>0</v>
      </c>
      <c r="G102" s="878">
        <v>0</v>
      </c>
      <c r="H102" s="830">
        <v>0</v>
      </c>
      <c r="I102" s="831">
        <v>0</v>
      </c>
      <c r="J102" s="832" t="str">
        <f t="shared" si="30"/>
        <v/>
      </c>
    </row>
    <row r="103" spans="1:10" s="731" customFormat="1" hidden="1" x14ac:dyDescent="0.25">
      <c r="A103" s="717" t="s">
        <v>264</v>
      </c>
      <c r="B103" s="718" t="s">
        <v>586</v>
      </c>
      <c r="C103" s="863">
        <f>SUM(C101:C102)</f>
        <v>0</v>
      </c>
      <c r="D103" s="820">
        <f t="shared" ref="D103:I103" si="49">SUM(D101:D102)</f>
        <v>0</v>
      </c>
      <c r="E103" s="821">
        <f t="shared" si="49"/>
        <v>0</v>
      </c>
      <c r="F103" s="864">
        <f t="shared" si="49"/>
        <v>0</v>
      </c>
      <c r="G103" s="865">
        <f t="shared" si="49"/>
        <v>0</v>
      </c>
      <c r="H103" s="820">
        <f t="shared" si="49"/>
        <v>0</v>
      </c>
      <c r="I103" s="821">
        <f t="shared" si="49"/>
        <v>0</v>
      </c>
      <c r="J103" s="822" t="str">
        <f t="shared" si="30"/>
        <v/>
      </c>
    </row>
    <row r="104" spans="1:10" s="558" customFormat="1" hidden="1" x14ac:dyDescent="0.25">
      <c r="A104" s="858" t="s">
        <v>265</v>
      </c>
      <c r="B104" s="859" t="s">
        <v>429</v>
      </c>
      <c r="C104" s="876">
        <v>0</v>
      </c>
      <c r="D104" s="830">
        <f t="shared" ref="D104:D109" si="50">C104</f>
        <v>0</v>
      </c>
      <c r="E104" s="831">
        <v>0</v>
      </c>
      <c r="F104" s="877">
        <v>0</v>
      </c>
      <c r="G104" s="878">
        <v>0</v>
      </c>
      <c r="H104" s="830">
        <v>0</v>
      </c>
      <c r="I104" s="831">
        <v>0</v>
      </c>
      <c r="J104" s="832" t="str">
        <f t="shared" si="30"/>
        <v/>
      </c>
    </row>
    <row r="105" spans="1:10" s="558" customFormat="1" hidden="1" x14ac:dyDescent="0.25">
      <c r="A105" s="858" t="s">
        <v>266</v>
      </c>
      <c r="B105" s="859" t="s">
        <v>268</v>
      </c>
      <c r="C105" s="876">
        <v>0</v>
      </c>
      <c r="D105" s="830">
        <f>C105</f>
        <v>0</v>
      </c>
      <c r="E105" s="831">
        <v>0</v>
      </c>
      <c r="F105" s="877">
        <v>0</v>
      </c>
      <c r="G105" s="878">
        <v>0</v>
      </c>
      <c r="H105" s="830">
        <v>0</v>
      </c>
      <c r="I105" s="831">
        <v>0</v>
      </c>
      <c r="J105" s="832" t="str">
        <f t="shared" si="30"/>
        <v/>
      </c>
    </row>
    <row r="106" spans="1:10" s="558" customFormat="1" hidden="1" x14ac:dyDescent="0.25">
      <c r="A106" s="858" t="s">
        <v>267</v>
      </c>
      <c r="B106" s="859" t="s">
        <v>425</v>
      </c>
      <c r="C106" s="876">
        <v>0</v>
      </c>
      <c r="D106" s="830">
        <f t="shared" si="50"/>
        <v>0</v>
      </c>
      <c r="E106" s="831">
        <v>0</v>
      </c>
      <c r="F106" s="877">
        <v>0</v>
      </c>
      <c r="G106" s="878">
        <v>0</v>
      </c>
      <c r="H106" s="830">
        <v>0</v>
      </c>
      <c r="I106" s="831">
        <v>0</v>
      </c>
      <c r="J106" s="832" t="str">
        <f t="shared" si="30"/>
        <v/>
      </c>
    </row>
    <row r="107" spans="1:10" s="731" customFormat="1" hidden="1" x14ac:dyDescent="0.25">
      <c r="A107" s="717" t="s">
        <v>579</v>
      </c>
      <c r="B107" s="718" t="s">
        <v>580</v>
      </c>
      <c r="C107" s="863">
        <f>SUM(C104:C106)</f>
        <v>0</v>
      </c>
      <c r="D107" s="820">
        <f t="shared" ref="D107:I107" si="51">SUM(D104:D106)</f>
        <v>0</v>
      </c>
      <c r="E107" s="821">
        <f t="shared" si="51"/>
        <v>0</v>
      </c>
      <c r="F107" s="864">
        <f t="shared" si="51"/>
        <v>0</v>
      </c>
      <c r="G107" s="865">
        <f t="shared" si="51"/>
        <v>0</v>
      </c>
      <c r="H107" s="820">
        <f t="shared" si="51"/>
        <v>0</v>
      </c>
      <c r="I107" s="821">
        <f t="shared" si="51"/>
        <v>0</v>
      </c>
      <c r="J107" s="822" t="str">
        <f t="shared" si="30"/>
        <v/>
      </c>
    </row>
    <row r="108" spans="1:10" s="558" customFormat="1" hidden="1" x14ac:dyDescent="0.25">
      <c r="A108" s="858" t="s">
        <v>584</v>
      </c>
      <c r="B108" s="859" t="s">
        <v>577</v>
      </c>
      <c r="C108" s="876">
        <v>0</v>
      </c>
      <c r="D108" s="830">
        <f t="shared" si="50"/>
        <v>0</v>
      </c>
      <c r="E108" s="831">
        <v>0</v>
      </c>
      <c r="F108" s="877">
        <v>0</v>
      </c>
      <c r="G108" s="878">
        <v>0</v>
      </c>
      <c r="H108" s="830">
        <v>0</v>
      </c>
      <c r="I108" s="831">
        <v>0</v>
      </c>
      <c r="J108" s="832" t="str">
        <f t="shared" si="30"/>
        <v/>
      </c>
    </row>
    <row r="109" spans="1:10" s="558" customFormat="1" hidden="1" x14ac:dyDescent="0.25">
      <c r="A109" s="858" t="s">
        <v>585</v>
      </c>
      <c r="B109" s="859" t="s">
        <v>482</v>
      </c>
      <c r="C109" s="876">
        <v>0</v>
      </c>
      <c r="D109" s="830">
        <f t="shared" si="50"/>
        <v>0</v>
      </c>
      <c r="E109" s="831">
        <v>0</v>
      </c>
      <c r="F109" s="877">
        <v>0</v>
      </c>
      <c r="G109" s="878">
        <v>0</v>
      </c>
      <c r="H109" s="830">
        <v>0</v>
      </c>
      <c r="I109" s="831">
        <v>0</v>
      </c>
      <c r="J109" s="832" t="str">
        <f t="shared" si="30"/>
        <v/>
      </c>
    </row>
    <row r="110" spans="1:10" s="558" customFormat="1" hidden="1" x14ac:dyDescent="0.25">
      <c r="A110" s="858" t="s">
        <v>583</v>
      </c>
      <c r="B110" s="859" t="s">
        <v>582</v>
      </c>
      <c r="C110" s="876">
        <v>0</v>
      </c>
      <c r="D110" s="830">
        <f>C110</f>
        <v>0</v>
      </c>
      <c r="E110" s="831">
        <v>0</v>
      </c>
      <c r="F110" s="877">
        <v>0</v>
      </c>
      <c r="G110" s="878">
        <v>0</v>
      </c>
      <c r="H110" s="830">
        <v>0</v>
      </c>
      <c r="I110" s="831">
        <v>0</v>
      </c>
      <c r="J110" s="832" t="str">
        <f t="shared" si="30"/>
        <v/>
      </c>
    </row>
    <row r="111" spans="1:10" s="731" customFormat="1" hidden="1" x14ac:dyDescent="0.25">
      <c r="A111" s="717" t="s">
        <v>578</v>
      </c>
      <c r="B111" s="718" t="s">
        <v>581</v>
      </c>
      <c r="C111" s="863">
        <f>SUM(C108:C110)</f>
        <v>0</v>
      </c>
      <c r="D111" s="820">
        <f t="shared" ref="D111:I111" si="52">SUM(D108:D110)</f>
        <v>0</v>
      </c>
      <c r="E111" s="821">
        <f t="shared" si="52"/>
        <v>0</v>
      </c>
      <c r="F111" s="864">
        <f t="shared" si="52"/>
        <v>0</v>
      </c>
      <c r="G111" s="865">
        <f t="shared" si="52"/>
        <v>0</v>
      </c>
      <c r="H111" s="820">
        <f t="shared" si="52"/>
        <v>0</v>
      </c>
      <c r="I111" s="821">
        <f t="shared" si="52"/>
        <v>0</v>
      </c>
      <c r="J111" s="822" t="str">
        <f t="shared" si="30"/>
        <v/>
      </c>
    </row>
    <row r="112" spans="1:10" x14ac:dyDescent="0.25">
      <c r="A112" s="740" t="s">
        <v>269</v>
      </c>
      <c r="B112" s="741" t="s">
        <v>270</v>
      </c>
      <c r="C112" s="867">
        <f>SUM(C111,C107,C103,C100)</f>
        <v>0</v>
      </c>
      <c r="D112" s="823">
        <v>0</v>
      </c>
      <c r="E112" s="824">
        <v>0</v>
      </c>
      <c r="F112" s="868">
        <v>0</v>
      </c>
      <c r="G112" s="869">
        <v>0</v>
      </c>
      <c r="H112" s="823">
        <v>0</v>
      </c>
      <c r="I112" s="824">
        <v>0</v>
      </c>
      <c r="J112" s="825" t="str">
        <f t="shared" si="30"/>
        <v/>
      </c>
    </row>
    <row r="113" spans="1:10" hidden="1" x14ac:dyDescent="0.25">
      <c r="A113" s="858" t="s">
        <v>273</v>
      </c>
      <c r="B113" s="859" t="s">
        <v>610</v>
      </c>
      <c r="C113" s="876">
        <v>0</v>
      </c>
      <c r="D113" s="830">
        <f t="shared" ref="D113:D121" si="53">C113</f>
        <v>0</v>
      </c>
      <c r="E113" s="831">
        <v>0</v>
      </c>
      <c r="F113" s="877">
        <v>0</v>
      </c>
      <c r="G113" s="878">
        <v>0</v>
      </c>
      <c r="H113" s="830">
        <v>0</v>
      </c>
      <c r="I113" s="831">
        <v>0</v>
      </c>
      <c r="J113" s="832" t="str">
        <f t="shared" si="30"/>
        <v/>
      </c>
    </row>
    <row r="114" spans="1:10" hidden="1" x14ac:dyDescent="0.25">
      <c r="A114" s="858" t="s">
        <v>274</v>
      </c>
      <c r="B114" s="859" t="s">
        <v>428</v>
      </c>
      <c r="C114" s="876">
        <v>0</v>
      </c>
      <c r="D114" s="830">
        <f t="shared" si="53"/>
        <v>0</v>
      </c>
      <c r="E114" s="831">
        <v>0</v>
      </c>
      <c r="F114" s="877">
        <v>0</v>
      </c>
      <c r="G114" s="878">
        <v>0</v>
      </c>
      <c r="H114" s="830">
        <v>0</v>
      </c>
      <c r="I114" s="831">
        <v>0</v>
      </c>
      <c r="J114" s="832" t="str">
        <f t="shared" si="30"/>
        <v/>
      </c>
    </row>
    <row r="115" spans="1:10" hidden="1" x14ac:dyDescent="0.25">
      <c r="A115" s="858" t="s">
        <v>275</v>
      </c>
      <c r="B115" s="859" t="s">
        <v>611</v>
      </c>
      <c r="C115" s="876">
        <v>0</v>
      </c>
      <c r="D115" s="830">
        <f t="shared" si="53"/>
        <v>0</v>
      </c>
      <c r="E115" s="831">
        <v>0</v>
      </c>
      <c r="F115" s="877">
        <v>0</v>
      </c>
      <c r="G115" s="878">
        <v>0</v>
      </c>
      <c r="H115" s="830">
        <v>0</v>
      </c>
      <c r="I115" s="831">
        <v>0</v>
      </c>
      <c r="J115" s="832" t="str">
        <f t="shared" si="30"/>
        <v/>
      </c>
    </row>
    <row r="116" spans="1:10" hidden="1" x14ac:dyDescent="0.25">
      <c r="A116" s="858" t="s">
        <v>276</v>
      </c>
      <c r="B116" s="859" t="s">
        <v>612</v>
      </c>
      <c r="C116" s="876">
        <v>0</v>
      </c>
      <c r="D116" s="830">
        <f t="shared" si="53"/>
        <v>0</v>
      </c>
      <c r="E116" s="831">
        <v>0</v>
      </c>
      <c r="F116" s="877">
        <v>0</v>
      </c>
      <c r="G116" s="878">
        <v>0</v>
      </c>
      <c r="H116" s="830">
        <v>0</v>
      </c>
      <c r="I116" s="831">
        <v>0</v>
      </c>
      <c r="J116" s="832" t="str">
        <f t="shared" si="30"/>
        <v/>
      </c>
    </row>
    <row r="117" spans="1:10" x14ac:dyDescent="0.25">
      <c r="A117" s="858" t="s">
        <v>277</v>
      </c>
      <c r="B117" s="859" t="s">
        <v>281</v>
      </c>
      <c r="C117" s="876">
        <v>1443200</v>
      </c>
      <c r="D117" s="830">
        <f t="shared" si="53"/>
        <v>1443200</v>
      </c>
      <c r="E117" s="831">
        <v>901180</v>
      </c>
      <c r="F117" s="877">
        <v>1443200</v>
      </c>
      <c r="G117" s="878">
        <v>1258140</v>
      </c>
      <c r="H117" s="830">
        <v>1443200</v>
      </c>
      <c r="I117" s="831">
        <v>1746972</v>
      </c>
      <c r="J117" s="832">
        <f t="shared" si="30"/>
        <v>1.2104850332594235</v>
      </c>
    </row>
    <row r="118" spans="1:10" hidden="1" x14ac:dyDescent="0.25">
      <c r="A118" s="858" t="s">
        <v>278</v>
      </c>
      <c r="B118" s="859" t="s">
        <v>324</v>
      </c>
      <c r="C118" s="876">
        <v>0</v>
      </c>
      <c r="D118" s="830">
        <f t="shared" si="53"/>
        <v>0</v>
      </c>
      <c r="E118" s="831">
        <v>0</v>
      </c>
      <c r="F118" s="877">
        <v>0</v>
      </c>
      <c r="G118" s="878">
        <v>0</v>
      </c>
      <c r="H118" s="830">
        <v>0</v>
      </c>
      <c r="I118" s="831">
        <v>0</v>
      </c>
      <c r="J118" s="832" t="str">
        <f t="shared" si="30"/>
        <v/>
      </c>
    </row>
    <row r="119" spans="1:10" hidden="1" x14ac:dyDescent="0.25">
      <c r="A119" s="858" t="s">
        <v>282</v>
      </c>
      <c r="B119" s="859" t="s">
        <v>613</v>
      </c>
      <c r="C119" s="876">
        <v>0</v>
      </c>
      <c r="D119" s="830">
        <f t="shared" si="53"/>
        <v>0</v>
      </c>
      <c r="E119" s="831">
        <v>0</v>
      </c>
      <c r="F119" s="877">
        <v>0</v>
      </c>
      <c r="G119" s="878">
        <v>0</v>
      </c>
      <c r="H119" s="830">
        <v>0</v>
      </c>
      <c r="I119" s="831">
        <v>0</v>
      </c>
      <c r="J119" s="832" t="str">
        <f t="shared" si="30"/>
        <v/>
      </c>
    </row>
    <row r="120" spans="1:10" hidden="1" x14ac:dyDescent="0.25">
      <c r="A120" s="858" t="s">
        <v>284</v>
      </c>
      <c r="B120" s="859" t="s">
        <v>614</v>
      </c>
      <c r="C120" s="876">
        <v>0</v>
      </c>
      <c r="D120" s="830">
        <f t="shared" si="53"/>
        <v>0</v>
      </c>
      <c r="E120" s="831">
        <v>0</v>
      </c>
      <c r="F120" s="877">
        <v>0</v>
      </c>
      <c r="G120" s="878">
        <v>0</v>
      </c>
      <c r="H120" s="830">
        <v>0</v>
      </c>
      <c r="I120" s="831">
        <v>0</v>
      </c>
      <c r="J120" s="832" t="str">
        <f t="shared" si="30"/>
        <v/>
      </c>
    </row>
    <row r="121" spans="1:10" x14ac:dyDescent="0.25">
      <c r="A121" s="858" t="s">
        <v>588</v>
      </c>
      <c r="B121" s="859" t="s">
        <v>286</v>
      </c>
      <c r="C121" s="876">
        <v>0</v>
      </c>
      <c r="D121" s="830">
        <f t="shared" si="53"/>
        <v>0</v>
      </c>
      <c r="E121" s="831">
        <v>2868</v>
      </c>
      <c r="F121" s="877">
        <v>0</v>
      </c>
      <c r="G121" s="878">
        <v>3537</v>
      </c>
      <c r="H121" s="830">
        <v>0</v>
      </c>
      <c r="I121" s="831">
        <v>3989</v>
      </c>
      <c r="J121" s="832" t="str">
        <f t="shared" si="30"/>
        <v/>
      </c>
    </row>
    <row r="122" spans="1:10" x14ac:dyDescent="0.25">
      <c r="A122" s="740" t="s">
        <v>271</v>
      </c>
      <c r="B122" s="741" t="s">
        <v>272</v>
      </c>
      <c r="C122" s="867">
        <f t="shared" ref="C122" si="54">SUM(C113:C121)</f>
        <v>1443200</v>
      </c>
      <c r="D122" s="823">
        <f t="shared" ref="D122" si="55">SUM(D113:D121)</f>
        <v>1443200</v>
      </c>
      <c r="E122" s="824">
        <f t="shared" ref="E122" si="56">SUM(E113:E121)</f>
        <v>904048</v>
      </c>
      <c r="F122" s="868">
        <f t="shared" ref="F122" si="57">SUM(F113:F121)</f>
        <v>1443200</v>
      </c>
      <c r="G122" s="869">
        <f t="shared" ref="G122" si="58">SUM(G113:G121)</f>
        <v>1261677</v>
      </c>
      <c r="H122" s="823">
        <f t="shared" ref="H122" si="59">SUM(H113:H121)</f>
        <v>1443200</v>
      </c>
      <c r="I122" s="824">
        <f t="shared" ref="I122" si="60">SUM(I113:I121)</f>
        <v>1750961</v>
      </c>
      <c r="J122" s="825">
        <f t="shared" si="30"/>
        <v>1.213249029933481</v>
      </c>
    </row>
    <row r="123" spans="1:10" hidden="1" x14ac:dyDescent="0.25">
      <c r="A123" s="858" t="s">
        <v>287</v>
      </c>
      <c r="B123" s="870" t="s">
        <v>289</v>
      </c>
      <c r="C123" s="860">
        <v>0</v>
      </c>
      <c r="D123" s="817">
        <f t="shared" ref="D123:D124" si="61">C123</f>
        <v>0</v>
      </c>
      <c r="E123" s="818">
        <v>0</v>
      </c>
      <c r="F123" s="861">
        <v>0</v>
      </c>
      <c r="G123" s="862">
        <v>0</v>
      </c>
      <c r="H123" s="817">
        <v>0</v>
      </c>
      <c r="I123" s="818">
        <v>0</v>
      </c>
      <c r="J123" s="819" t="str">
        <f t="shared" si="30"/>
        <v/>
      </c>
    </row>
    <row r="124" spans="1:10" hidden="1" x14ac:dyDescent="0.25">
      <c r="A124" s="858" t="s">
        <v>288</v>
      </c>
      <c r="B124" s="870" t="s">
        <v>290</v>
      </c>
      <c r="C124" s="860">
        <v>0</v>
      </c>
      <c r="D124" s="817">
        <f t="shared" si="61"/>
        <v>0</v>
      </c>
      <c r="E124" s="818">
        <v>0</v>
      </c>
      <c r="F124" s="861">
        <v>0</v>
      </c>
      <c r="G124" s="862">
        <v>0</v>
      </c>
      <c r="H124" s="817">
        <v>0</v>
      </c>
      <c r="I124" s="818">
        <v>0</v>
      </c>
      <c r="J124" s="819" t="str">
        <f t="shared" si="30"/>
        <v/>
      </c>
    </row>
    <row r="125" spans="1:10" x14ac:dyDescent="0.25">
      <c r="A125" s="740" t="s">
        <v>291</v>
      </c>
      <c r="B125" s="741" t="s">
        <v>292</v>
      </c>
      <c r="C125" s="867">
        <f>SUM(C123:C124)</f>
        <v>0</v>
      </c>
      <c r="D125" s="823">
        <f t="shared" ref="D125:I125" si="62">SUM(D123:D124)</f>
        <v>0</v>
      </c>
      <c r="E125" s="824">
        <f t="shared" si="62"/>
        <v>0</v>
      </c>
      <c r="F125" s="868">
        <f t="shared" si="62"/>
        <v>0</v>
      </c>
      <c r="G125" s="869">
        <f t="shared" si="62"/>
        <v>0</v>
      </c>
      <c r="H125" s="823">
        <f t="shared" si="62"/>
        <v>0</v>
      </c>
      <c r="I125" s="824">
        <f t="shared" si="62"/>
        <v>0</v>
      </c>
      <c r="J125" s="836" t="str">
        <f t="shared" si="30"/>
        <v/>
      </c>
    </row>
    <row r="126" spans="1:10" hidden="1" x14ac:dyDescent="0.25">
      <c r="A126" s="858" t="s">
        <v>293</v>
      </c>
      <c r="B126" s="870" t="s">
        <v>294</v>
      </c>
      <c r="C126" s="860">
        <v>0</v>
      </c>
      <c r="D126" s="817">
        <f t="shared" ref="D126:D127" si="63">C126</f>
        <v>0</v>
      </c>
      <c r="E126" s="818">
        <v>0</v>
      </c>
      <c r="F126" s="861">
        <v>0</v>
      </c>
      <c r="G126" s="862">
        <v>0</v>
      </c>
      <c r="H126" s="817">
        <v>0</v>
      </c>
      <c r="I126" s="818">
        <v>0</v>
      </c>
      <c r="J126" s="819" t="str">
        <f t="shared" si="30"/>
        <v/>
      </c>
    </row>
    <row r="127" spans="1:10" hidden="1" x14ac:dyDescent="0.25">
      <c r="A127" s="858" t="s">
        <v>590</v>
      </c>
      <c r="B127" s="870" t="s">
        <v>295</v>
      </c>
      <c r="C127" s="860">
        <v>0</v>
      </c>
      <c r="D127" s="817">
        <f t="shared" si="63"/>
        <v>0</v>
      </c>
      <c r="E127" s="818">
        <v>0</v>
      </c>
      <c r="F127" s="861">
        <v>0</v>
      </c>
      <c r="G127" s="862">
        <v>0</v>
      </c>
      <c r="H127" s="817">
        <v>0</v>
      </c>
      <c r="I127" s="818">
        <v>0</v>
      </c>
      <c r="J127" s="819" t="str">
        <f t="shared" si="30"/>
        <v/>
      </c>
    </row>
    <row r="128" spans="1:10" x14ac:dyDescent="0.25">
      <c r="A128" s="740" t="s">
        <v>296</v>
      </c>
      <c r="B128" s="741" t="s">
        <v>589</v>
      </c>
      <c r="C128" s="867">
        <f>SUM(C126:C127)</f>
        <v>0</v>
      </c>
      <c r="D128" s="823">
        <f t="shared" ref="D128:I128" si="64">SUM(D126:D127)</f>
        <v>0</v>
      </c>
      <c r="E128" s="824">
        <f t="shared" si="64"/>
        <v>0</v>
      </c>
      <c r="F128" s="868">
        <f t="shared" si="64"/>
        <v>0</v>
      </c>
      <c r="G128" s="869">
        <f t="shared" si="64"/>
        <v>0</v>
      </c>
      <c r="H128" s="823">
        <f t="shared" si="64"/>
        <v>0</v>
      </c>
      <c r="I128" s="824">
        <f t="shared" si="64"/>
        <v>0</v>
      </c>
      <c r="J128" s="836" t="str">
        <f t="shared" si="30"/>
        <v/>
      </c>
    </row>
    <row r="129" spans="1:10" hidden="1" x14ac:dyDescent="0.25">
      <c r="A129" s="858" t="s">
        <v>300</v>
      </c>
      <c r="B129" s="870" t="s">
        <v>301</v>
      </c>
      <c r="C129" s="860">
        <v>0</v>
      </c>
      <c r="D129" s="817">
        <f t="shared" ref="D129:D130" si="65">C129</f>
        <v>0</v>
      </c>
      <c r="E129" s="818">
        <v>0</v>
      </c>
      <c r="F129" s="861">
        <v>0</v>
      </c>
      <c r="G129" s="862">
        <v>0</v>
      </c>
      <c r="H129" s="817">
        <v>0</v>
      </c>
      <c r="I129" s="818">
        <v>0</v>
      </c>
      <c r="J129" s="819" t="str">
        <f t="shared" si="30"/>
        <v/>
      </c>
    </row>
    <row r="130" spans="1:10" hidden="1" x14ac:dyDescent="0.25">
      <c r="A130" s="858" t="s">
        <v>592</v>
      </c>
      <c r="B130" s="870" t="s">
        <v>302</v>
      </c>
      <c r="C130" s="860">
        <v>0</v>
      </c>
      <c r="D130" s="817">
        <f t="shared" si="65"/>
        <v>0</v>
      </c>
      <c r="E130" s="818">
        <v>0</v>
      </c>
      <c r="F130" s="861">
        <v>0</v>
      </c>
      <c r="G130" s="862">
        <v>0</v>
      </c>
      <c r="H130" s="817">
        <v>0</v>
      </c>
      <c r="I130" s="818">
        <v>0</v>
      </c>
      <c r="J130" s="819" t="str">
        <f t="shared" si="30"/>
        <v/>
      </c>
    </row>
    <row r="131" spans="1:10" ht="16.5" thickBot="1" x14ac:dyDescent="0.3">
      <c r="A131" s="758" t="s">
        <v>297</v>
      </c>
      <c r="B131" s="759" t="s">
        <v>596</v>
      </c>
      <c r="C131" s="887">
        <f>SUM(C129:C130)</f>
        <v>0</v>
      </c>
      <c r="D131" s="837">
        <f t="shared" ref="D131:I131" si="66">SUM(D129:D130)</f>
        <v>0</v>
      </c>
      <c r="E131" s="838">
        <f t="shared" si="66"/>
        <v>0</v>
      </c>
      <c r="F131" s="888">
        <f t="shared" si="66"/>
        <v>0</v>
      </c>
      <c r="G131" s="889">
        <f t="shared" si="66"/>
        <v>0</v>
      </c>
      <c r="H131" s="837">
        <f t="shared" si="66"/>
        <v>0</v>
      </c>
      <c r="I131" s="838">
        <f t="shared" si="66"/>
        <v>0</v>
      </c>
      <c r="J131" s="839" t="str">
        <f t="shared" si="30"/>
        <v/>
      </c>
    </row>
    <row r="132" spans="1:10" ht="16.5" thickBot="1" x14ac:dyDescent="0.3">
      <c r="A132" s="1357" t="s">
        <v>593</v>
      </c>
      <c r="B132" s="1361"/>
      <c r="C132" s="498">
        <f t="shared" ref="C132:I132" si="67">SUM(C96,C99,C112,C122,C125,C128,C131)</f>
        <v>1443200</v>
      </c>
      <c r="D132" s="499">
        <f t="shared" si="67"/>
        <v>1443200</v>
      </c>
      <c r="E132" s="502">
        <f t="shared" si="67"/>
        <v>904048</v>
      </c>
      <c r="F132" s="501">
        <f t="shared" si="67"/>
        <v>1443200</v>
      </c>
      <c r="G132" s="500">
        <f t="shared" si="67"/>
        <v>1261677</v>
      </c>
      <c r="H132" s="499">
        <f t="shared" si="67"/>
        <v>1443200</v>
      </c>
      <c r="I132" s="502">
        <f t="shared" si="67"/>
        <v>1750961</v>
      </c>
      <c r="J132" s="503">
        <f t="shared" si="30"/>
        <v>1.213249029933481</v>
      </c>
    </row>
    <row r="133" spans="1:10" hidden="1" x14ac:dyDescent="0.25">
      <c r="A133" s="853" t="s">
        <v>304</v>
      </c>
      <c r="B133" s="854" t="s">
        <v>303</v>
      </c>
      <c r="C133" s="890">
        <v>0</v>
      </c>
      <c r="D133" s="840">
        <f t="shared" ref="D133:D136" si="68">C133</f>
        <v>0</v>
      </c>
      <c r="E133" s="841">
        <v>0</v>
      </c>
      <c r="F133" s="891">
        <v>0</v>
      </c>
      <c r="G133" s="892">
        <v>0</v>
      </c>
      <c r="H133" s="840">
        <v>0</v>
      </c>
      <c r="I133" s="841">
        <v>0</v>
      </c>
      <c r="J133" s="842" t="str">
        <f t="shared" ref="J133:J138" si="69">IF(OR(H133="",H133=0),"",I133/H133)</f>
        <v/>
      </c>
    </row>
    <row r="134" spans="1:10" x14ac:dyDescent="0.25">
      <c r="A134" s="858" t="s">
        <v>305</v>
      </c>
      <c r="B134" s="859" t="s">
        <v>306</v>
      </c>
      <c r="C134" s="876">
        <v>0</v>
      </c>
      <c r="D134" s="830">
        <f>C134+77550</f>
        <v>77550</v>
      </c>
      <c r="E134" s="831">
        <v>77550</v>
      </c>
      <c r="F134" s="877">
        <v>77550</v>
      </c>
      <c r="G134" s="878">
        <v>77550</v>
      </c>
      <c r="H134" s="830">
        <v>77550</v>
      </c>
      <c r="I134" s="831">
        <v>77550</v>
      </c>
      <c r="J134" s="832">
        <f t="shared" si="69"/>
        <v>1</v>
      </c>
    </row>
    <row r="135" spans="1:10" x14ac:dyDescent="0.25">
      <c r="A135" s="858" t="s">
        <v>307</v>
      </c>
      <c r="B135" s="859" t="s">
        <v>61</v>
      </c>
      <c r="C135" s="876">
        <v>69183233</v>
      </c>
      <c r="D135" s="830">
        <f>C135+18641</f>
        <v>69201874</v>
      </c>
      <c r="E135" s="831">
        <v>30592654</v>
      </c>
      <c r="F135" s="877">
        <v>69212153</v>
      </c>
      <c r="G135" s="878">
        <v>43604709</v>
      </c>
      <c r="H135" s="830">
        <v>69222376</v>
      </c>
      <c r="I135" s="831">
        <v>63235426</v>
      </c>
      <c r="J135" s="832">
        <f t="shared" si="69"/>
        <v>0.91351134783353871</v>
      </c>
    </row>
    <row r="136" spans="1:10" hidden="1" x14ac:dyDescent="0.25">
      <c r="A136" s="858" t="s">
        <v>308</v>
      </c>
      <c r="B136" s="859" t="s">
        <v>309</v>
      </c>
      <c r="C136" s="876">
        <v>0</v>
      </c>
      <c r="D136" s="830">
        <f t="shared" si="68"/>
        <v>0</v>
      </c>
      <c r="E136" s="831">
        <v>0</v>
      </c>
      <c r="F136" s="877">
        <v>0</v>
      </c>
      <c r="G136" s="878">
        <v>0</v>
      </c>
      <c r="H136" s="830">
        <v>0</v>
      </c>
      <c r="I136" s="831">
        <v>0</v>
      </c>
      <c r="J136" s="832" t="str">
        <f t="shared" si="69"/>
        <v/>
      </c>
    </row>
    <row r="137" spans="1:10" ht="16.5" thickBot="1" x14ac:dyDescent="0.3">
      <c r="A137" s="758" t="s">
        <v>344</v>
      </c>
      <c r="B137" s="759" t="s">
        <v>594</v>
      </c>
      <c r="C137" s="887">
        <f>SUM(C133:C136)</f>
        <v>69183233</v>
      </c>
      <c r="D137" s="837">
        <f t="shared" ref="D137:I137" si="70">SUM(D133:D136)</f>
        <v>69279424</v>
      </c>
      <c r="E137" s="838">
        <f t="shared" si="70"/>
        <v>30670204</v>
      </c>
      <c r="F137" s="888">
        <f t="shared" si="70"/>
        <v>69289703</v>
      </c>
      <c r="G137" s="889">
        <f t="shared" si="70"/>
        <v>43682259</v>
      </c>
      <c r="H137" s="837">
        <f t="shared" si="70"/>
        <v>69299926</v>
      </c>
      <c r="I137" s="838">
        <f t="shared" si="70"/>
        <v>63312976</v>
      </c>
      <c r="J137" s="851">
        <f t="shared" si="69"/>
        <v>0.91360813285716924</v>
      </c>
    </row>
    <row r="138" spans="1:10" s="901" customFormat="1" ht="17.25" thickBot="1" x14ac:dyDescent="0.3">
      <c r="A138" s="1359" t="s">
        <v>595</v>
      </c>
      <c r="B138" s="1360"/>
      <c r="C138" s="898">
        <f>SUM(C137,C132)</f>
        <v>70626433</v>
      </c>
      <c r="D138" s="846">
        <f t="shared" ref="D138:I138" si="71">SUM(D137,D132)</f>
        <v>70722624</v>
      </c>
      <c r="E138" s="847">
        <f t="shared" si="71"/>
        <v>31574252</v>
      </c>
      <c r="F138" s="899">
        <f t="shared" si="71"/>
        <v>70732903</v>
      </c>
      <c r="G138" s="900">
        <f t="shared" si="71"/>
        <v>44943936</v>
      </c>
      <c r="H138" s="846">
        <f t="shared" si="71"/>
        <v>70743126</v>
      </c>
      <c r="I138" s="847">
        <f t="shared" si="71"/>
        <v>65063937</v>
      </c>
      <c r="J138" s="848">
        <f t="shared" si="69"/>
        <v>0.91972097755476623</v>
      </c>
    </row>
    <row r="140" spans="1:10" ht="16.5" thickBot="1" x14ac:dyDescent="0.3"/>
    <row r="141" spans="1:10" ht="17.25" thickBot="1" x14ac:dyDescent="0.3">
      <c r="A141" s="1341" t="s">
        <v>103</v>
      </c>
      <c r="B141" s="1342"/>
      <c r="C141" s="905">
        <v>11</v>
      </c>
      <c r="D141" s="906"/>
      <c r="E141" s="907"/>
      <c r="F141" s="852"/>
      <c r="G141" s="852"/>
      <c r="H141" s="852"/>
      <c r="I141" s="852"/>
      <c r="J141" s="436"/>
    </row>
  </sheetData>
  <sheetProtection algorithmName="SHA-512" hashValue="bitH1mtAqhZYTEmhWVgjpnz+2scw7yWxZ+DvSXOG6WBiYHKgSvh9OULe8u/DX/Fh+R6XxthiI0MO0hRDKjFizQ==" saltValue="tTr9nj9e4GnUMRiRXO3mQg==" spinCount="100000" sheet="1" formatCells="0" formatColumns="0" formatRows="0" insertColumns="0" insertRows="0" insertHyperlinks="0" deleteColumns="0" deleteRows="0" sort="0" autoFilter="0" pivotTables="0"/>
  <mergeCells count="18">
    <mergeCell ref="J1:J3"/>
    <mergeCell ref="B1:B3"/>
    <mergeCell ref="A1:A3"/>
    <mergeCell ref="C1:C3"/>
    <mergeCell ref="D1:E1"/>
    <mergeCell ref="D2:D3"/>
    <mergeCell ref="E2:E3"/>
    <mergeCell ref="H1:I1"/>
    <mergeCell ref="H2:H3"/>
    <mergeCell ref="I2:I3"/>
    <mergeCell ref="F1:G1"/>
    <mergeCell ref="F2:F3"/>
    <mergeCell ref="G2:G3"/>
    <mergeCell ref="A138:B138"/>
    <mergeCell ref="A132:B132"/>
    <mergeCell ref="A81:B81"/>
    <mergeCell ref="A76:B76"/>
    <mergeCell ref="A141:B141"/>
  </mergeCells>
  <phoneticPr fontId="2" type="noConversion"/>
  <printOptions horizontalCentered="1"/>
  <pageMargins left="0.59055118110236227" right="0.59055118110236227" top="1.0236220472440944" bottom="0.78740157480314965" header="0.39370078740157483" footer="0.51181102362204722"/>
  <pageSetup paperSize="9" scale="52" orientation="portrait" r:id="rId1"/>
  <headerFooter>
    <oddHeader>&amp;L&amp;"Arial,Normál"&amp;12Levél Községi
Önkormányzat&amp;C&amp;"Arial,Félkövér"&amp;14ZÁRSZÁMADÁSI RENDELET - 2019. év
Óvoda&amp;R&amp;"Arial,Normál" 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8"/>
  <sheetViews>
    <sheetView tabSelected="1" workbookViewId="0">
      <pane ySplit="2" topLeftCell="A3" activePane="bottomLeft" state="frozen"/>
      <selection activeCell="A3" sqref="A3:J3"/>
      <selection pane="bottomLeft" activeCell="A3" sqref="A3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.75" x14ac:dyDescent="0.25">
      <c r="A1" s="10"/>
      <c r="B1" s="1380" t="s">
        <v>12</v>
      </c>
      <c r="C1" s="1381"/>
      <c r="D1" s="1381"/>
      <c r="E1" s="1381"/>
      <c r="F1" s="1381"/>
      <c r="G1" s="1382"/>
      <c r="H1" s="1383">
        <v>2019</v>
      </c>
      <c r="I1" s="1384"/>
      <c r="J1" s="1384"/>
      <c r="K1" s="1384"/>
      <c r="L1" s="1384"/>
      <c r="M1" s="1385"/>
    </row>
    <row r="2" spans="1:13" ht="15.75" x14ac:dyDescent="0.25">
      <c r="A2" s="10"/>
      <c r="B2" s="119"/>
      <c r="C2" s="120"/>
      <c r="D2" s="120"/>
      <c r="E2" s="120"/>
      <c r="F2" s="120"/>
      <c r="G2" s="121"/>
      <c r="H2" s="1386" t="s">
        <v>57</v>
      </c>
      <c r="I2" s="1387"/>
      <c r="J2" s="1387"/>
      <c r="K2" s="1387"/>
      <c r="L2" s="1387"/>
      <c r="M2" s="1388"/>
    </row>
    <row r="3" spans="1:13" ht="15.75" x14ac:dyDescent="0.25">
      <c r="A3" s="11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12" t="s">
        <v>50</v>
      </c>
      <c r="H3" s="6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5" t="s">
        <v>50</v>
      </c>
    </row>
    <row r="4" spans="1:13" ht="15.75" x14ac:dyDescent="0.25">
      <c r="A4" s="1" t="s">
        <v>486</v>
      </c>
      <c r="B4" s="13"/>
      <c r="C4" s="1"/>
      <c r="D4" s="1"/>
      <c r="E4" s="19">
        <f>B4*C4*D4</f>
        <v>0</v>
      </c>
      <c r="F4" s="19">
        <f>E4*0.27</f>
        <v>0</v>
      </c>
      <c r="G4" s="3">
        <f>SUM(E4:F4)</f>
        <v>0</v>
      </c>
      <c r="H4" s="13">
        <v>17</v>
      </c>
      <c r="I4" s="1">
        <v>220</v>
      </c>
      <c r="J4" s="1">
        <v>550</v>
      </c>
      <c r="K4" s="19">
        <v>2055503</v>
      </c>
      <c r="L4" s="19">
        <v>554986</v>
      </c>
      <c r="M4" s="3">
        <f>SUM(K4:L4)</f>
        <v>2610489</v>
      </c>
    </row>
    <row r="5" spans="1:13" ht="15.75" x14ac:dyDescent="0.25">
      <c r="A5" s="1" t="s">
        <v>431</v>
      </c>
      <c r="B5" s="13"/>
      <c r="C5" s="1"/>
      <c r="D5" s="1"/>
      <c r="E5" s="19">
        <f>B5*C5*D5</f>
        <v>0</v>
      </c>
      <c r="F5" s="19">
        <f>E5*0.27</f>
        <v>0</v>
      </c>
      <c r="G5" s="3">
        <f>SUM(E5:F5)</f>
        <v>0</v>
      </c>
      <c r="H5" s="13"/>
      <c r="I5" s="1"/>
      <c r="J5" s="1"/>
      <c r="K5" s="19">
        <f>H5*I5*J5</f>
        <v>0</v>
      </c>
      <c r="L5" s="19"/>
      <c r="M5" s="3">
        <f>SUM(K5:L5)</f>
        <v>0</v>
      </c>
    </row>
    <row r="6" spans="1:13" ht="15.75" x14ac:dyDescent="0.25">
      <c r="A6" s="1" t="s">
        <v>430</v>
      </c>
      <c r="B6" s="13"/>
      <c r="C6" s="1"/>
      <c r="D6" s="1"/>
      <c r="E6" s="19">
        <f>B6*C6*D6</f>
        <v>0</v>
      </c>
      <c r="F6" s="19">
        <f>E6*0.27</f>
        <v>0</v>
      </c>
      <c r="G6" s="3">
        <f>SUM(E6:F6)</f>
        <v>0</v>
      </c>
      <c r="H6" s="13">
        <v>37</v>
      </c>
      <c r="I6" s="1">
        <v>220</v>
      </c>
      <c r="J6" s="1">
        <v>550</v>
      </c>
      <c r="K6" s="19">
        <f>H6*I6*J6</f>
        <v>4477000</v>
      </c>
      <c r="L6" s="19">
        <f>K6*0.27</f>
        <v>1208790</v>
      </c>
      <c r="M6" s="3">
        <f>SUM(K6:L6)</f>
        <v>5685790</v>
      </c>
    </row>
    <row r="7" spans="1:13" ht="15.75" x14ac:dyDescent="0.25">
      <c r="A7" s="14" t="s">
        <v>24</v>
      </c>
      <c r="B7" s="9">
        <f>SUM(B4:B6)</f>
        <v>0</v>
      </c>
      <c r="C7" s="14"/>
      <c r="D7" s="14"/>
      <c r="E7" s="20">
        <f>SUM(E4:E6)</f>
        <v>0</v>
      </c>
      <c r="F7" s="20">
        <f>SUM(F4:F6)</f>
        <v>0</v>
      </c>
      <c r="G7" s="2">
        <f>SUM(G4:G6)</f>
        <v>0</v>
      </c>
      <c r="H7" s="9">
        <f>SUM(H4:H6)</f>
        <v>54</v>
      </c>
      <c r="I7" s="14"/>
      <c r="J7" s="14"/>
      <c r="K7" s="20">
        <f>SUM(K4:K6)</f>
        <v>6532503</v>
      </c>
      <c r="L7" s="20">
        <v>1763776</v>
      </c>
      <c r="M7" s="2">
        <f>SUM(M4:M6)</f>
        <v>8296279</v>
      </c>
    </row>
    <row r="8" spans="1:13" ht="15.75" x14ac:dyDescent="0.25">
      <c r="A8" s="1"/>
      <c r="B8" s="13"/>
      <c r="C8" s="1"/>
      <c r="D8" s="1"/>
      <c r="E8" s="1"/>
      <c r="F8" s="1"/>
      <c r="G8" s="3"/>
      <c r="H8" s="13"/>
      <c r="I8" s="1"/>
      <c r="J8" s="1"/>
      <c r="K8" s="1"/>
      <c r="L8" s="1"/>
      <c r="M8" s="3"/>
    </row>
    <row r="9" spans="1:13" ht="15.75" x14ac:dyDescent="0.25">
      <c r="A9" s="1" t="s">
        <v>432</v>
      </c>
      <c r="B9" s="13"/>
      <c r="C9" s="1"/>
      <c r="D9" s="1"/>
      <c r="E9" s="19">
        <f>B9*C9*D9</f>
        <v>0</v>
      </c>
      <c r="F9" s="19">
        <f>E9*0.27</f>
        <v>0</v>
      </c>
      <c r="G9" s="3">
        <f>SUM(E9:F9)</f>
        <v>0</v>
      </c>
      <c r="H9" s="13">
        <v>38</v>
      </c>
      <c r="I9" s="1">
        <v>185</v>
      </c>
      <c r="J9" s="1">
        <v>567</v>
      </c>
      <c r="K9" s="19">
        <v>3985663</v>
      </c>
      <c r="L9" s="19">
        <f>K9*0.27</f>
        <v>1076129.01</v>
      </c>
      <c r="M9" s="3">
        <f>SUM(K9:L9)</f>
        <v>5061792.01</v>
      </c>
    </row>
    <row r="10" spans="1:13" ht="15.75" x14ac:dyDescent="0.25">
      <c r="A10" s="1" t="s">
        <v>433</v>
      </c>
      <c r="B10" s="13"/>
      <c r="C10" s="1"/>
      <c r="D10" s="1"/>
      <c r="E10" s="19">
        <f>B10*C10*D10</f>
        <v>0</v>
      </c>
      <c r="F10" s="19">
        <f>E10*0.27</f>
        <v>0</v>
      </c>
      <c r="G10" s="3">
        <f>SUM(E10:F10)</f>
        <v>0</v>
      </c>
      <c r="H10" s="13">
        <v>50</v>
      </c>
      <c r="I10" s="1">
        <v>185</v>
      </c>
      <c r="J10" s="1">
        <v>470</v>
      </c>
      <c r="K10" s="19">
        <f>H10*I10*J10</f>
        <v>4347500</v>
      </c>
      <c r="L10" s="19">
        <f>K10*0.27</f>
        <v>1173825</v>
      </c>
      <c r="M10" s="3">
        <f>SUM(K10:L10)</f>
        <v>5521325</v>
      </c>
    </row>
    <row r="11" spans="1:13" ht="15.75" x14ac:dyDescent="0.25">
      <c r="A11" s="1" t="s">
        <v>25</v>
      </c>
      <c r="B11" s="13"/>
      <c r="C11" s="1"/>
      <c r="D11" s="1"/>
      <c r="E11" s="19">
        <f>B11*C11*D11</f>
        <v>0</v>
      </c>
      <c r="F11" s="19">
        <f>E11*0.27</f>
        <v>0</v>
      </c>
      <c r="G11" s="3">
        <f>SUM(E11:F11)</f>
        <v>0</v>
      </c>
      <c r="H11" s="13"/>
      <c r="I11" s="1"/>
      <c r="J11" s="1"/>
      <c r="K11" s="19">
        <f>H11*I11*J11</f>
        <v>0</v>
      </c>
      <c r="L11" s="19">
        <f>K11*0.27</f>
        <v>0</v>
      </c>
      <c r="M11" s="3">
        <f>SUM(K11:L11)</f>
        <v>0</v>
      </c>
    </row>
    <row r="12" spans="1:13" ht="15.75" x14ac:dyDescent="0.25">
      <c r="A12" s="1" t="s">
        <v>26</v>
      </c>
      <c r="B12" s="13"/>
      <c r="C12" s="1"/>
      <c r="D12" s="1"/>
      <c r="E12" s="19">
        <f>B12*C12*D12</f>
        <v>0</v>
      </c>
      <c r="F12" s="19">
        <f>E12*0.27</f>
        <v>0</v>
      </c>
      <c r="G12" s="3">
        <f>SUM(E12:F12)</f>
        <v>0</v>
      </c>
      <c r="H12" s="13"/>
      <c r="I12" s="1"/>
      <c r="J12" s="1"/>
      <c r="K12" s="19">
        <f>H12*I12*J12</f>
        <v>0</v>
      </c>
      <c r="L12" s="19">
        <f>K12*0.27</f>
        <v>0</v>
      </c>
      <c r="M12" s="3">
        <f>SUM(K12:L12)</f>
        <v>0</v>
      </c>
    </row>
    <row r="13" spans="1:13" ht="15.75" x14ac:dyDescent="0.25">
      <c r="A13" s="14" t="s">
        <v>27</v>
      </c>
      <c r="B13" s="9">
        <f>SUM(B9:B12)</f>
        <v>0</v>
      </c>
      <c r="C13" s="14"/>
      <c r="D13" s="14"/>
      <c r="E13" s="20">
        <f>SUM(E9:E12)</f>
        <v>0</v>
      </c>
      <c r="F13" s="20">
        <f>SUM(F9:F12)</f>
        <v>0</v>
      </c>
      <c r="G13" s="2">
        <f>SUM(G9:G12)</f>
        <v>0</v>
      </c>
      <c r="H13" s="9">
        <f>SUM(H9:H12)</f>
        <v>88</v>
      </c>
      <c r="I13" s="14"/>
      <c r="J13" s="14"/>
      <c r="K13" s="20">
        <f>SUM(K9:K12)</f>
        <v>8333163</v>
      </c>
      <c r="L13" s="20">
        <f>SUM(L9:L12)</f>
        <v>2249954.0099999998</v>
      </c>
      <c r="M13" s="2">
        <f>SUM(M9:M12)</f>
        <v>10583117.01</v>
      </c>
    </row>
    <row r="14" spans="1:13" ht="15.75" hidden="1" x14ac:dyDescent="0.25">
      <c r="A14" s="1"/>
      <c r="B14" s="13"/>
      <c r="C14" s="1"/>
      <c r="D14" s="1"/>
      <c r="E14" s="1"/>
      <c r="F14" s="1"/>
      <c r="G14" s="3"/>
      <c r="H14" s="13"/>
      <c r="I14" s="1"/>
      <c r="J14" s="1"/>
      <c r="K14" s="1"/>
      <c r="L14" s="1"/>
      <c r="M14" s="3"/>
    </row>
    <row r="15" spans="1:13" ht="15.75" hidden="1" x14ac:dyDescent="0.25">
      <c r="A15" s="1" t="s">
        <v>44</v>
      </c>
      <c r="B15" s="13"/>
      <c r="C15" s="1"/>
      <c r="D15" s="1"/>
      <c r="E15" s="19">
        <f>B15*C15*D15</f>
        <v>0</v>
      </c>
      <c r="F15" s="19">
        <f>E15*0.27</f>
        <v>0</v>
      </c>
      <c r="G15" s="3">
        <f>SUM(E15:F15)</f>
        <v>0</v>
      </c>
      <c r="H15" s="13"/>
      <c r="I15" s="1"/>
      <c r="J15" s="1"/>
      <c r="K15" s="19">
        <f>H15*I15*J15</f>
        <v>0</v>
      </c>
      <c r="L15" s="19">
        <f>K15*0.27</f>
        <v>0</v>
      </c>
      <c r="M15" s="3">
        <f>SUM(K15:L15)</f>
        <v>0</v>
      </c>
    </row>
    <row r="16" spans="1:13" ht="15.75" hidden="1" x14ac:dyDescent="0.25">
      <c r="A16" s="14" t="s">
        <v>45</v>
      </c>
      <c r="B16" s="9">
        <f>SUM(B15)</f>
        <v>0</v>
      </c>
      <c r="C16" s="9">
        <f>SUM(C15)</f>
        <v>0</v>
      </c>
      <c r="D16" s="9">
        <f>SUM(D15)</f>
        <v>0</v>
      </c>
      <c r="E16" s="7">
        <f>SUM(E15)</f>
        <v>0</v>
      </c>
      <c r="F16" s="7">
        <f>SUM(F15)</f>
        <v>0</v>
      </c>
      <c r="G16" s="2">
        <f>SUM(E16:F16)</f>
        <v>0</v>
      </c>
      <c r="H16" s="9">
        <f>SUM(H15)</f>
        <v>0</v>
      </c>
      <c r="I16" s="9">
        <f>SUM(I15)</f>
        <v>0</v>
      </c>
      <c r="J16" s="9">
        <f>SUM(J15)</f>
        <v>0</v>
      </c>
      <c r="K16" s="4">
        <f>SUM(K15)</f>
        <v>0</v>
      </c>
      <c r="L16" s="7">
        <f>SUM(L15)</f>
        <v>0</v>
      </c>
      <c r="M16" s="2">
        <f>SUM(K16:L16)</f>
        <v>0</v>
      </c>
    </row>
    <row r="17" spans="1:13" ht="15.75" hidden="1" x14ac:dyDescent="0.25">
      <c r="A17" s="1"/>
      <c r="B17" s="13"/>
      <c r="C17" s="1"/>
      <c r="D17" s="1"/>
      <c r="E17" s="1"/>
      <c r="F17" s="1"/>
      <c r="G17" s="3"/>
      <c r="H17" s="13"/>
      <c r="I17" s="1"/>
      <c r="J17" s="1"/>
      <c r="K17" s="1"/>
      <c r="L17" s="1"/>
      <c r="M17" s="3"/>
    </row>
    <row r="18" spans="1:13" ht="15.75" hidden="1" x14ac:dyDescent="0.25">
      <c r="A18" s="15" t="s">
        <v>28</v>
      </c>
      <c r="B18" s="13"/>
      <c r="C18" s="1"/>
      <c r="D18" s="1"/>
      <c r="E18" s="1"/>
      <c r="F18" s="1"/>
      <c r="G18" s="3"/>
      <c r="H18" s="13"/>
      <c r="I18" s="1"/>
      <c r="J18" s="1"/>
      <c r="K18" s="1"/>
      <c r="L18" s="1"/>
      <c r="M18" s="3"/>
    </row>
    <row r="19" spans="1:13" ht="15.75" hidden="1" x14ac:dyDescent="0.25">
      <c r="A19" s="1" t="s">
        <v>29</v>
      </c>
      <c r="B19" s="13"/>
      <c r="C19" s="23"/>
      <c r="D19" s="1"/>
      <c r="E19" s="19">
        <f>B19*C19*D19</f>
        <v>0</v>
      </c>
      <c r="F19" s="19">
        <f>E19*0.27</f>
        <v>0</v>
      </c>
      <c r="G19" s="3">
        <f>SUM(E19:F19)</f>
        <v>0</v>
      </c>
      <c r="H19" s="13"/>
      <c r="I19" s="23"/>
      <c r="J19" s="1"/>
      <c r="K19" s="19">
        <f>H19*I19*J19</f>
        <v>0</v>
      </c>
      <c r="L19" s="19">
        <f>K19*0.27</f>
        <v>0</v>
      </c>
      <c r="M19" s="3">
        <f>SUM(K19:L19)</f>
        <v>0</v>
      </c>
    </row>
    <row r="20" spans="1:13" ht="15.75" hidden="1" x14ac:dyDescent="0.25">
      <c r="A20" s="1" t="s">
        <v>30</v>
      </c>
      <c r="B20" s="13"/>
      <c r="C20" s="1"/>
      <c r="D20" s="1"/>
      <c r="E20" s="19">
        <f>B20*C20*D20</f>
        <v>0</v>
      </c>
      <c r="F20" s="19">
        <f>E20*0.27</f>
        <v>0</v>
      </c>
      <c r="G20" s="3">
        <f>SUM(E20:F20)</f>
        <v>0</v>
      </c>
      <c r="H20" s="13"/>
      <c r="I20" s="1"/>
      <c r="J20" s="1"/>
      <c r="K20" s="19">
        <f>H20*I20*J20</f>
        <v>0</v>
      </c>
      <c r="L20" s="19">
        <f>K20*0.27</f>
        <v>0</v>
      </c>
      <c r="M20" s="3">
        <f>SUM(K20:L20)</f>
        <v>0</v>
      </c>
    </row>
    <row r="21" spans="1:13" ht="15.75" hidden="1" x14ac:dyDescent="0.25">
      <c r="A21" s="14" t="s">
        <v>31</v>
      </c>
      <c r="B21" s="9">
        <f>SUM(B19:B20)</f>
        <v>0</v>
      </c>
      <c r="C21" s="14"/>
      <c r="D21" s="14"/>
      <c r="E21" s="20">
        <f>SUM(E19:E20)</f>
        <v>0</v>
      </c>
      <c r="F21" s="20">
        <f>SUM(F19:F20)</f>
        <v>0</v>
      </c>
      <c r="G21" s="2">
        <f>SUM(E21:F21)</f>
        <v>0</v>
      </c>
      <c r="H21" s="9">
        <f>SUM(H19:H20)</f>
        <v>0</v>
      </c>
      <c r="I21" s="14"/>
      <c r="J21" s="14"/>
      <c r="K21" s="20">
        <f>SUM(K19:K20)</f>
        <v>0</v>
      </c>
      <c r="L21" s="20">
        <f>SUM(L19:L20)</f>
        <v>0</v>
      </c>
      <c r="M21" s="2">
        <f>SUM(K21:L21)</f>
        <v>0</v>
      </c>
    </row>
    <row r="22" spans="1:13" ht="15.75" hidden="1" x14ac:dyDescent="0.25">
      <c r="A22" s="16"/>
      <c r="B22" s="17"/>
      <c r="C22" s="16"/>
      <c r="D22" s="16"/>
      <c r="E22" s="21"/>
      <c r="F22" s="21"/>
      <c r="G22" s="18"/>
      <c r="H22" s="17"/>
      <c r="I22" s="16"/>
      <c r="J22" s="16"/>
      <c r="K22" s="21"/>
      <c r="L22" s="21"/>
      <c r="M22" s="18"/>
    </row>
    <row r="23" spans="1:13" ht="15.75" hidden="1" x14ac:dyDescent="0.25">
      <c r="A23" s="14" t="s">
        <v>5</v>
      </c>
      <c r="B23" s="9">
        <v>0</v>
      </c>
      <c r="C23" s="14">
        <v>0</v>
      </c>
      <c r="D23" s="14">
        <v>0</v>
      </c>
      <c r="E23" s="20">
        <f>B23*C23*D23</f>
        <v>0</v>
      </c>
      <c r="F23" s="20">
        <f>E23*0.2</f>
        <v>0</v>
      </c>
      <c r="G23" s="2">
        <f>SUM(E23:F23)</f>
        <v>0</v>
      </c>
      <c r="H23" s="9"/>
      <c r="I23" s="14"/>
      <c r="J23" s="14"/>
      <c r="K23" s="20">
        <f>H23*I23*J23</f>
        <v>0</v>
      </c>
      <c r="L23" s="20">
        <f>K23*0.2</f>
        <v>0</v>
      </c>
      <c r="M23" s="2">
        <f>SUM(K23:L23)</f>
        <v>0</v>
      </c>
    </row>
    <row r="24" spans="1:13" ht="15.75" x14ac:dyDescent="0.25">
      <c r="A24" s="46" t="s">
        <v>32</v>
      </c>
      <c r="B24" s="2">
        <f>SUM(B7,B13,B21,B23,B16)</f>
        <v>0</v>
      </c>
      <c r="C24" s="2"/>
      <c r="D24" s="2"/>
      <c r="E24" s="2">
        <f>SUM(E7,E13,E21,E23,E16)</f>
        <v>0</v>
      </c>
      <c r="F24" s="2">
        <f>SUM(F7,F13,F21,F23,F16)</f>
        <v>0</v>
      </c>
      <c r="G24" s="2">
        <f>SUM(G7,G13,G21,G23,G16)</f>
        <v>0</v>
      </c>
      <c r="H24" s="2">
        <f>SUM(H7,H13,H21,H23,H16)</f>
        <v>142</v>
      </c>
      <c r="I24" s="2"/>
      <c r="J24" s="2"/>
      <c r="K24" s="2">
        <f>SUM(K7,K13,K21,K23,K16)</f>
        <v>14865666</v>
      </c>
      <c r="L24" s="2">
        <f>SUM(L7,L13,L21,L23,L16)</f>
        <v>4013730.01</v>
      </c>
      <c r="M24" s="2">
        <f>SUM(M7,M13,M21,M23,M16)</f>
        <v>18879396.009999998</v>
      </c>
    </row>
    <row r="25" spans="1:13" ht="15.75" x14ac:dyDescent="0.25">
      <c r="A25" s="1"/>
      <c r="B25" s="13"/>
      <c r="C25" s="1"/>
      <c r="D25" s="1"/>
      <c r="E25" s="1"/>
      <c r="F25" s="1"/>
      <c r="G25" s="3"/>
      <c r="H25" s="42" t="s">
        <v>63</v>
      </c>
      <c r="I25" s="43" t="s">
        <v>435</v>
      </c>
      <c r="J25" s="43" t="s">
        <v>9</v>
      </c>
      <c r="K25" s="43" t="s">
        <v>64</v>
      </c>
      <c r="L25" s="43"/>
      <c r="M25" s="44"/>
    </row>
    <row r="26" spans="1:13" ht="15.75" x14ac:dyDescent="0.25">
      <c r="A26" s="15" t="s">
        <v>487</v>
      </c>
      <c r="B26" s="13"/>
      <c r="C26" s="1"/>
      <c r="D26" s="1"/>
      <c r="E26" s="1"/>
      <c r="F26" s="1"/>
      <c r="G26" s="3"/>
      <c r="H26" s="13"/>
      <c r="I26" s="1"/>
      <c r="J26" s="1"/>
      <c r="K26" s="1"/>
      <c r="L26" s="1"/>
      <c r="M26" s="3"/>
    </row>
    <row r="27" spans="1:13" ht="15.75" x14ac:dyDescent="0.25">
      <c r="A27" s="1" t="s">
        <v>434</v>
      </c>
      <c r="B27" s="13"/>
      <c r="C27" s="1"/>
      <c r="D27" s="1"/>
      <c r="E27" s="19">
        <f>B27*C27*D27</f>
        <v>0</v>
      </c>
      <c r="F27" s="19">
        <f t="shared" ref="F27:F32" si="0">E27*0.27</f>
        <v>0</v>
      </c>
      <c r="G27" s="3">
        <f t="shared" ref="G27:G33" si="1">SUM(E27:F27)</f>
        <v>0</v>
      </c>
      <c r="H27" s="13">
        <v>17</v>
      </c>
      <c r="I27" s="1">
        <v>220</v>
      </c>
      <c r="J27" s="1">
        <v>390</v>
      </c>
      <c r="K27" s="19">
        <v>1462938</v>
      </c>
      <c r="L27" s="19"/>
      <c r="M27" s="3">
        <v>1462938</v>
      </c>
    </row>
    <row r="28" spans="1:13" ht="15.75" x14ac:dyDescent="0.25">
      <c r="A28" s="1" t="s">
        <v>479</v>
      </c>
      <c r="B28" s="13"/>
      <c r="C28" s="1"/>
      <c r="D28" s="1"/>
      <c r="E28" s="19">
        <f>B28*C28*D28</f>
        <v>0</v>
      </c>
      <c r="F28" s="19">
        <f t="shared" si="0"/>
        <v>0</v>
      </c>
      <c r="G28" s="3">
        <f t="shared" si="1"/>
        <v>0</v>
      </c>
      <c r="H28" s="13">
        <v>37</v>
      </c>
      <c r="I28" s="1">
        <v>220</v>
      </c>
      <c r="J28" s="1">
        <v>0</v>
      </c>
      <c r="K28" s="19">
        <f>H28*I28*J28</f>
        <v>0</v>
      </c>
      <c r="L28" s="19"/>
      <c r="M28" s="3">
        <f>K28*0.8</f>
        <v>0</v>
      </c>
    </row>
    <row r="29" spans="1:13" ht="15.75" hidden="1" x14ac:dyDescent="0.25">
      <c r="A29" s="1" t="s">
        <v>37</v>
      </c>
      <c r="B29" s="13"/>
      <c r="C29" s="1"/>
      <c r="D29" s="1"/>
      <c r="E29" s="19">
        <f>B29*C29*D29</f>
        <v>0</v>
      </c>
      <c r="F29" s="19">
        <f t="shared" si="0"/>
        <v>0</v>
      </c>
      <c r="G29" s="3">
        <f t="shared" si="1"/>
        <v>0</v>
      </c>
      <c r="H29" s="13"/>
      <c r="I29" s="1"/>
      <c r="J29" s="1"/>
      <c r="K29" s="19"/>
      <c r="L29" s="19"/>
      <c r="M29" s="3"/>
    </row>
    <row r="30" spans="1:13" ht="15.75" hidden="1" x14ac:dyDescent="0.25">
      <c r="A30" s="1" t="s">
        <v>38</v>
      </c>
      <c r="B30" s="13"/>
      <c r="C30" s="1"/>
      <c r="D30" s="1"/>
      <c r="E30" s="19">
        <f>B30*C30*D30</f>
        <v>0</v>
      </c>
      <c r="F30" s="19">
        <f t="shared" si="0"/>
        <v>0</v>
      </c>
      <c r="G30" s="3">
        <f t="shared" si="1"/>
        <v>0</v>
      </c>
      <c r="H30" s="13"/>
      <c r="I30" s="1"/>
      <c r="J30" s="1"/>
      <c r="K30" s="19"/>
      <c r="L30" s="19"/>
      <c r="M30" s="3"/>
    </row>
    <row r="31" spans="1:13" ht="15.75" hidden="1" x14ac:dyDescent="0.25">
      <c r="A31" s="1"/>
      <c r="B31" s="13"/>
      <c r="C31" s="1"/>
      <c r="D31" s="1"/>
      <c r="E31" s="19">
        <f>B31*C31*D31</f>
        <v>0</v>
      </c>
      <c r="F31" s="19">
        <f t="shared" si="0"/>
        <v>0</v>
      </c>
      <c r="G31" s="3">
        <f t="shared" si="1"/>
        <v>0</v>
      </c>
      <c r="H31" s="13"/>
      <c r="I31" s="1"/>
      <c r="J31" s="1"/>
      <c r="K31" s="19"/>
      <c r="L31" s="19"/>
      <c r="M31" s="3"/>
    </row>
    <row r="32" spans="1:13" ht="15.75" hidden="1" x14ac:dyDescent="0.25">
      <c r="A32" s="1" t="s">
        <v>40</v>
      </c>
      <c r="B32" s="13"/>
      <c r="C32" s="1"/>
      <c r="D32" s="1"/>
      <c r="E32" s="19"/>
      <c r="F32" s="19">
        <f t="shared" si="0"/>
        <v>0</v>
      </c>
      <c r="G32" s="3">
        <f t="shared" si="1"/>
        <v>0</v>
      </c>
      <c r="H32" s="13"/>
      <c r="I32" s="1"/>
      <c r="J32" s="1"/>
      <c r="K32" s="19"/>
      <c r="L32" s="19"/>
      <c r="M32" s="3"/>
    </row>
    <row r="33" spans="1:13" ht="15.75" hidden="1" x14ac:dyDescent="0.25">
      <c r="A33" s="1" t="s">
        <v>39</v>
      </c>
      <c r="B33" s="13"/>
      <c r="C33" s="1"/>
      <c r="D33" s="1"/>
      <c r="E33" s="19"/>
      <c r="F33" s="19">
        <f>B33*C33*D33*0.25</f>
        <v>0</v>
      </c>
      <c r="G33" s="3">
        <f t="shared" si="1"/>
        <v>0</v>
      </c>
      <c r="H33" s="13"/>
      <c r="I33" s="1"/>
      <c r="J33" s="1"/>
      <c r="K33" s="19"/>
      <c r="L33" s="19"/>
      <c r="M33" s="3"/>
    </row>
    <row r="34" spans="1:13" ht="15.75" x14ac:dyDescent="0.25">
      <c r="A34" s="1" t="s">
        <v>33</v>
      </c>
      <c r="B34" s="9">
        <f>SUM(B27:B33)</f>
        <v>0</v>
      </c>
      <c r="C34" s="14"/>
      <c r="D34" s="14"/>
      <c r="E34" s="20">
        <f>SUM(E27:E33)</f>
        <v>0</v>
      </c>
      <c r="F34" s="20">
        <f>SUM(F27:F33)</f>
        <v>0</v>
      </c>
      <c r="G34" s="2">
        <f>SUM(G27:G33)</f>
        <v>0</v>
      </c>
      <c r="H34" s="9">
        <f>SUM(H27:H33)</f>
        <v>54</v>
      </c>
      <c r="I34" s="14"/>
      <c r="J34" s="14"/>
      <c r="K34" s="20">
        <f>SUM(K27:K33)</f>
        <v>1462938</v>
      </c>
      <c r="L34" s="20"/>
      <c r="M34" s="2">
        <f>SUM(M27:M33)</f>
        <v>1462938</v>
      </c>
    </row>
    <row r="35" spans="1:13" ht="15.75" x14ac:dyDescent="0.25">
      <c r="A35" s="15" t="s">
        <v>488</v>
      </c>
      <c r="B35" s="13"/>
      <c r="C35" s="1"/>
      <c r="D35" s="1"/>
      <c r="E35" s="19"/>
      <c r="F35" s="19"/>
      <c r="G35" s="3"/>
      <c r="H35" s="13"/>
      <c r="I35" s="1"/>
      <c r="J35" s="1"/>
      <c r="K35" s="19"/>
      <c r="L35" s="19"/>
      <c r="M35" s="3"/>
    </row>
    <row r="36" spans="1:13" ht="15.75" x14ac:dyDescent="0.25">
      <c r="A36" s="1" t="s">
        <v>436</v>
      </c>
      <c r="B36" s="13"/>
      <c r="C36" s="1"/>
      <c r="D36" s="1"/>
      <c r="E36" s="19">
        <f t="shared" ref="E36:E43" si="2">B36*C36*D36</f>
        <v>0</v>
      </c>
      <c r="F36" s="19">
        <f t="shared" ref="F36:F43" si="3">E36*0.27</f>
        <v>0</v>
      </c>
      <c r="G36" s="3">
        <f t="shared" ref="G36:G44" si="4">SUM(E36:F36)</f>
        <v>0</v>
      </c>
      <c r="H36" s="13"/>
      <c r="I36" s="1"/>
      <c r="J36" s="1"/>
      <c r="K36" s="19"/>
      <c r="L36" s="19"/>
      <c r="M36" s="3">
        <f t="shared" ref="M36:M44" si="5">SUM(K36:L36)</f>
        <v>0</v>
      </c>
    </row>
    <row r="37" spans="1:13" ht="15.75" x14ac:dyDescent="0.25">
      <c r="A37" s="1" t="s">
        <v>437</v>
      </c>
      <c r="B37" s="13"/>
      <c r="C37" s="1"/>
      <c r="D37" s="1"/>
      <c r="E37" s="19">
        <f t="shared" si="2"/>
        <v>0</v>
      </c>
      <c r="F37" s="19">
        <f t="shared" si="3"/>
        <v>0</v>
      </c>
      <c r="G37" s="3">
        <f t="shared" si="4"/>
        <v>0</v>
      </c>
      <c r="H37" s="13">
        <v>29</v>
      </c>
      <c r="I37" s="1">
        <v>185</v>
      </c>
      <c r="J37" s="1">
        <v>337</v>
      </c>
      <c r="K37" s="19">
        <v>1810423</v>
      </c>
      <c r="L37" s="19">
        <v>488814</v>
      </c>
      <c r="M37" s="3">
        <v>2299237</v>
      </c>
    </row>
    <row r="38" spans="1:13" ht="15.75" x14ac:dyDescent="0.25">
      <c r="A38" s="1" t="s">
        <v>438</v>
      </c>
      <c r="B38" s="13"/>
      <c r="C38" s="1"/>
      <c r="D38" s="1"/>
      <c r="E38" s="19">
        <f t="shared" si="2"/>
        <v>0</v>
      </c>
      <c r="F38" s="19">
        <f t="shared" si="3"/>
        <v>0</v>
      </c>
      <c r="G38" s="3">
        <f t="shared" si="4"/>
        <v>0</v>
      </c>
      <c r="H38" s="13">
        <v>4</v>
      </c>
      <c r="I38" s="1">
        <v>185</v>
      </c>
      <c r="J38" s="1">
        <v>169</v>
      </c>
      <c r="K38" s="19">
        <v>124693</v>
      </c>
      <c r="L38" s="19">
        <v>33667</v>
      </c>
      <c r="M38" s="3">
        <v>158360</v>
      </c>
    </row>
    <row r="39" spans="1:13" ht="15.75" x14ac:dyDescent="0.25">
      <c r="A39" s="1" t="s">
        <v>439</v>
      </c>
      <c r="B39" s="13"/>
      <c r="C39" s="1"/>
      <c r="D39" s="1"/>
      <c r="E39" s="19">
        <f t="shared" si="2"/>
        <v>0</v>
      </c>
      <c r="F39" s="19">
        <f t="shared" si="3"/>
        <v>0</v>
      </c>
      <c r="G39" s="3">
        <f t="shared" si="4"/>
        <v>0</v>
      </c>
      <c r="H39" s="13">
        <v>5</v>
      </c>
      <c r="I39" s="1">
        <v>185</v>
      </c>
      <c r="J39" s="1">
        <v>0</v>
      </c>
      <c r="K39" s="19">
        <f>H39*I39*J39</f>
        <v>0</v>
      </c>
      <c r="L39" s="19"/>
      <c r="M39" s="3">
        <f t="shared" si="5"/>
        <v>0</v>
      </c>
    </row>
    <row r="40" spans="1:13" ht="15.75" x14ac:dyDescent="0.25">
      <c r="A40" s="1"/>
      <c r="B40" s="13"/>
      <c r="C40" s="1"/>
      <c r="D40" s="1"/>
      <c r="E40" s="19">
        <f t="shared" si="2"/>
        <v>0</v>
      </c>
      <c r="F40" s="19">
        <f t="shared" si="3"/>
        <v>0</v>
      </c>
      <c r="G40" s="3">
        <f t="shared" si="4"/>
        <v>0</v>
      </c>
      <c r="H40" s="13"/>
      <c r="I40" s="1"/>
      <c r="J40" s="1"/>
      <c r="K40" s="19"/>
      <c r="L40" s="19"/>
      <c r="M40" s="3"/>
    </row>
    <row r="41" spans="1:13" ht="15.75" x14ac:dyDescent="0.25">
      <c r="A41" s="1" t="s">
        <v>440</v>
      </c>
      <c r="B41" s="13"/>
      <c r="C41" s="1"/>
      <c r="D41" s="1"/>
      <c r="E41" s="19">
        <f t="shared" si="2"/>
        <v>0</v>
      </c>
      <c r="F41" s="19">
        <f t="shared" si="3"/>
        <v>0</v>
      </c>
      <c r="G41" s="3">
        <f t="shared" si="4"/>
        <v>0</v>
      </c>
      <c r="H41" s="13"/>
      <c r="I41" s="1"/>
      <c r="J41" s="1"/>
      <c r="K41" s="19"/>
      <c r="L41" s="19"/>
      <c r="M41" s="3">
        <f t="shared" si="5"/>
        <v>0</v>
      </c>
    </row>
    <row r="42" spans="1:13" ht="15.75" x14ac:dyDescent="0.25">
      <c r="A42" s="1" t="s">
        <v>441</v>
      </c>
      <c r="B42" s="13"/>
      <c r="C42" s="1"/>
      <c r="D42" s="1"/>
      <c r="E42" s="19">
        <f t="shared" si="2"/>
        <v>0</v>
      </c>
      <c r="F42" s="19">
        <f t="shared" si="3"/>
        <v>0</v>
      </c>
      <c r="G42" s="3">
        <f t="shared" si="4"/>
        <v>0</v>
      </c>
      <c r="H42" s="13">
        <v>36</v>
      </c>
      <c r="I42" s="1">
        <v>185</v>
      </c>
      <c r="J42" s="1">
        <v>255</v>
      </c>
      <c r="K42" s="19">
        <v>1701505</v>
      </c>
      <c r="L42" s="19">
        <v>459406</v>
      </c>
      <c r="M42" s="3">
        <v>2160911</v>
      </c>
    </row>
    <row r="43" spans="1:13" ht="15.75" x14ac:dyDescent="0.25">
      <c r="A43" s="45" t="s">
        <v>442</v>
      </c>
      <c r="B43" s="13"/>
      <c r="C43" s="1"/>
      <c r="D43" s="1"/>
      <c r="E43" s="19">
        <f t="shared" si="2"/>
        <v>0</v>
      </c>
      <c r="F43" s="19">
        <f t="shared" si="3"/>
        <v>0</v>
      </c>
      <c r="G43" s="3">
        <f t="shared" si="4"/>
        <v>0</v>
      </c>
      <c r="H43" s="13">
        <v>10</v>
      </c>
      <c r="I43" s="1">
        <v>185</v>
      </c>
      <c r="J43" s="1">
        <v>128</v>
      </c>
      <c r="K43" s="19">
        <v>235984</v>
      </c>
      <c r="L43" s="19">
        <v>63716</v>
      </c>
      <c r="M43" s="3">
        <v>299700</v>
      </c>
    </row>
    <row r="44" spans="1:13" ht="15.75" x14ac:dyDescent="0.25">
      <c r="A44" s="1" t="s">
        <v>443</v>
      </c>
      <c r="B44" s="13"/>
      <c r="C44" s="1"/>
      <c r="D44" s="1"/>
      <c r="E44" s="19"/>
      <c r="F44" s="19"/>
      <c r="G44" s="3">
        <f t="shared" si="4"/>
        <v>0</v>
      </c>
      <c r="H44" s="13">
        <v>4</v>
      </c>
      <c r="I44" s="1">
        <v>185</v>
      </c>
      <c r="J44" s="1">
        <v>0</v>
      </c>
      <c r="K44" s="19"/>
      <c r="L44" s="19"/>
      <c r="M44" s="3">
        <f t="shared" si="5"/>
        <v>0</v>
      </c>
    </row>
    <row r="45" spans="1:13" ht="15.75" x14ac:dyDescent="0.25">
      <c r="A45" s="14" t="s">
        <v>34</v>
      </c>
      <c r="B45" s="9">
        <f>SUM(B36:B44)</f>
        <v>0</v>
      </c>
      <c r="C45" s="14"/>
      <c r="D45" s="14"/>
      <c r="E45" s="20">
        <f>SUM(E36:E44)</f>
        <v>0</v>
      </c>
      <c r="F45" s="20">
        <f>SUM(F36:F44)</f>
        <v>0</v>
      </c>
      <c r="G45" s="2">
        <f>SUM(G36:G44)</f>
        <v>0</v>
      </c>
      <c r="H45" s="9">
        <f>SUM(H36:H44)</f>
        <v>88</v>
      </c>
      <c r="I45" s="14"/>
      <c r="J45" s="14"/>
      <c r="K45" s="20">
        <f>SUM(K36:K44)</f>
        <v>3872605</v>
      </c>
      <c r="L45" s="20">
        <f>SUM(L36:L44)</f>
        <v>1045603</v>
      </c>
      <c r="M45" s="2">
        <f>SUM(M36:M44)</f>
        <v>4918208</v>
      </c>
    </row>
    <row r="46" spans="1:13" ht="15.75" x14ac:dyDescent="0.25">
      <c r="A46" s="1"/>
      <c r="B46" s="13"/>
      <c r="C46" s="1"/>
      <c r="D46" s="1"/>
      <c r="E46" s="1"/>
      <c r="F46" s="1"/>
      <c r="G46" s="3"/>
      <c r="H46" s="13"/>
      <c r="I46" s="1"/>
      <c r="J46" s="1"/>
      <c r="K46" s="1"/>
      <c r="L46" s="1"/>
      <c r="M46" s="3"/>
    </row>
    <row r="47" spans="1:13" ht="15.75" hidden="1" x14ac:dyDescent="0.25">
      <c r="A47" s="1" t="s">
        <v>44</v>
      </c>
      <c r="B47" s="13"/>
      <c r="C47" s="1"/>
      <c r="D47" s="1"/>
      <c r="E47" s="19">
        <f>B47*C47*D47</f>
        <v>0</v>
      </c>
      <c r="F47" s="19">
        <f>E47*0.27</f>
        <v>0</v>
      </c>
      <c r="G47" s="3">
        <f t="shared" ref="G47:G52" si="6">SUM(E47:F47)</f>
        <v>0</v>
      </c>
      <c r="H47" s="13"/>
      <c r="I47" s="1"/>
      <c r="J47" s="1"/>
      <c r="K47" s="19">
        <f>H47*I47*J47</f>
        <v>0</v>
      </c>
      <c r="L47" s="19">
        <f>K47*0.27</f>
        <v>0</v>
      </c>
      <c r="M47" s="3">
        <f t="shared" ref="M47:M52" si="7">SUM(K47:L47)</f>
        <v>0</v>
      </c>
    </row>
    <row r="48" spans="1:13" ht="15.75" hidden="1" x14ac:dyDescent="0.25">
      <c r="A48" s="14" t="s">
        <v>42</v>
      </c>
      <c r="B48" s="9">
        <f>SUM(B47)</f>
        <v>0</v>
      </c>
      <c r="C48" s="9">
        <f>SUM(C47)</f>
        <v>0</v>
      </c>
      <c r="D48" s="9">
        <f>SUM(D47)</f>
        <v>0</v>
      </c>
      <c r="E48" s="7">
        <f>SUM(E47)</f>
        <v>0</v>
      </c>
      <c r="F48" s="7">
        <f>SUM(F47)</f>
        <v>0</v>
      </c>
      <c r="G48" s="2">
        <f t="shared" si="6"/>
        <v>0</v>
      </c>
      <c r="H48" s="9"/>
      <c r="I48" s="9">
        <f>SUM(I47)</f>
        <v>0</v>
      </c>
      <c r="J48" s="9">
        <f>SUM(J47)</f>
        <v>0</v>
      </c>
      <c r="K48" s="4">
        <f>SUM(K47)</f>
        <v>0</v>
      </c>
      <c r="L48" s="4">
        <f>SUM(L47)</f>
        <v>0</v>
      </c>
      <c r="M48" s="2">
        <f t="shared" si="7"/>
        <v>0</v>
      </c>
    </row>
    <row r="49" spans="1:13" ht="15.75" hidden="1" x14ac:dyDescent="0.25">
      <c r="A49" s="1"/>
      <c r="B49" s="13"/>
      <c r="C49" s="1"/>
      <c r="D49" s="1"/>
      <c r="E49" s="1"/>
      <c r="F49" s="1"/>
      <c r="G49" s="3">
        <f t="shared" si="6"/>
        <v>0</v>
      </c>
      <c r="H49" s="13"/>
      <c r="I49" s="1"/>
      <c r="J49" s="1"/>
      <c r="K49" s="1"/>
      <c r="L49" s="1"/>
      <c r="M49" s="3">
        <f t="shared" si="7"/>
        <v>0</v>
      </c>
    </row>
    <row r="50" spans="1:13" ht="15.75" hidden="1" x14ac:dyDescent="0.25">
      <c r="A50" s="15" t="s">
        <v>28</v>
      </c>
      <c r="B50" s="13"/>
      <c r="C50" s="1"/>
      <c r="D50" s="1"/>
      <c r="E50" s="1"/>
      <c r="F50" s="1"/>
      <c r="G50" s="3">
        <f t="shared" si="6"/>
        <v>0</v>
      </c>
      <c r="H50" s="13"/>
      <c r="I50" s="1"/>
      <c r="J50" s="1"/>
      <c r="K50" s="19">
        <f>H50*I50*J50</f>
        <v>0</v>
      </c>
      <c r="L50" s="19">
        <f>K50*0.27</f>
        <v>0</v>
      </c>
      <c r="M50" s="3">
        <f t="shared" si="7"/>
        <v>0</v>
      </c>
    </row>
    <row r="51" spans="1:13" ht="15.75" hidden="1" x14ac:dyDescent="0.25">
      <c r="A51" s="1" t="s">
        <v>29</v>
      </c>
      <c r="B51" s="13"/>
      <c r="C51" s="23"/>
      <c r="D51" s="1"/>
      <c r="E51" s="19">
        <f>B51*C51*D51</f>
        <v>0</v>
      </c>
      <c r="F51" s="19">
        <f>E51*0.27</f>
        <v>0</v>
      </c>
      <c r="G51" s="3">
        <f t="shared" si="6"/>
        <v>0</v>
      </c>
      <c r="H51" s="13"/>
      <c r="I51" s="22"/>
      <c r="J51" s="1"/>
      <c r="K51" s="19">
        <f>H51*I51*J51</f>
        <v>0</v>
      </c>
      <c r="L51" s="19">
        <f>K51*0.27</f>
        <v>0</v>
      </c>
      <c r="M51" s="3">
        <f t="shared" si="7"/>
        <v>0</v>
      </c>
    </row>
    <row r="52" spans="1:13" ht="15.75" hidden="1" x14ac:dyDescent="0.25">
      <c r="A52" s="1" t="s">
        <v>30</v>
      </c>
      <c r="B52" s="13"/>
      <c r="C52" s="1"/>
      <c r="D52" s="1"/>
      <c r="E52" s="19">
        <f>B52*C52*D52</f>
        <v>0</v>
      </c>
      <c r="F52" s="19">
        <f>E52*0.27</f>
        <v>0</v>
      </c>
      <c r="G52" s="3">
        <f t="shared" si="6"/>
        <v>0</v>
      </c>
      <c r="H52" s="13"/>
      <c r="I52" s="1"/>
      <c r="J52" s="1"/>
      <c r="K52" s="19">
        <f>H52*I52*J52</f>
        <v>0</v>
      </c>
      <c r="L52" s="19">
        <f>K52*0.27</f>
        <v>0</v>
      </c>
      <c r="M52" s="3">
        <f t="shared" si="7"/>
        <v>0</v>
      </c>
    </row>
    <row r="53" spans="1:13" ht="15.75" hidden="1" x14ac:dyDescent="0.25">
      <c r="A53" s="14" t="s">
        <v>35</v>
      </c>
      <c r="B53" s="9">
        <f>SUM(B51:B52)</f>
        <v>0</v>
      </c>
      <c r="C53" s="14"/>
      <c r="D53" s="14"/>
      <c r="E53" s="20">
        <f>SUM(E51:E52)</f>
        <v>0</v>
      </c>
      <c r="F53" s="20">
        <f>SUM(F51:F52)</f>
        <v>0</v>
      </c>
      <c r="G53" s="2">
        <f>SUM(G51:G52)</f>
        <v>0</v>
      </c>
      <c r="H53" s="9">
        <f>SUM(H51:H52)</f>
        <v>0</v>
      </c>
      <c r="I53" s="14"/>
      <c r="J53" s="14"/>
      <c r="K53" s="20">
        <f>SUM(K50:K52)</f>
        <v>0</v>
      </c>
      <c r="L53" s="20">
        <f>SUM(L50:L52)</f>
        <v>0</v>
      </c>
      <c r="M53" s="2">
        <f>SUM(M51:M52)</f>
        <v>0</v>
      </c>
    </row>
    <row r="54" spans="1:13" ht="15.75" hidden="1" x14ac:dyDescent="0.25">
      <c r="A54" s="14"/>
      <c r="B54" s="9"/>
      <c r="C54" s="14"/>
      <c r="D54" s="14"/>
      <c r="E54" s="20"/>
      <c r="F54" s="20"/>
      <c r="G54" s="2"/>
      <c r="H54" s="9"/>
      <c r="I54" s="14"/>
      <c r="J54" s="14"/>
      <c r="K54" s="20"/>
      <c r="L54" s="20"/>
      <c r="M54" s="2"/>
    </row>
    <row r="55" spans="1:13" ht="15.75" hidden="1" x14ac:dyDescent="0.25">
      <c r="A55" s="1"/>
      <c r="B55" s="13"/>
      <c r="C55" s="1"/>
      <c r="D55" s="1"/>
      <c r="E55" s="19">
        <f>B55*C55*D55</f>
        <v>0</v>
      </c>
      <c r="F55" s="19">
        <f>E55*0.27</f>
        <v>0</v>
      </c>
      <c r="G55" s="2">
        <f>SUM(E55+F55)</f>
        <v>0</v>
      </c>
      <c r="H55" s="13"/>
      <c r="I55" s="1"/>
      <c r="J55" s="1"/>
      <c r="K55" s="19">
        <f>H55*I55*J55</f>
        <v>0</v>
      </c>
      <c r="L55" s="19">
        <f>K55*0.27</f>
        <v>0</v>
      </c>
      <c r="M55" s="2">
        <f>SUM(K55+L55)</f>
        <v>0</v>
      </c>
    </row>
    <row r="56" spans="1:13" ht="15.75" hidden="1" x14ac:dyDescent="0.25">
      <c r="A56" s="14"/>
      <c r="B56" s="9"/>
      <c r="C56" s="14"/>
      <c r="D56" s="14"/>
      <c r="E56" s="20">
        <f>B56*C56*D56</f>
        <v>0</v>
      </c>
      <c r="F56" s="20">
        <f>E56*0.27</f>
        <v>0</v>
      </c>
      <c r="G56" s="2">
        <f>SUM(E56+F56)</f>
        <v>0</v>
      </c>
      <c r="H56" s="9"/>
      <c r="I56" s="14"/>
      <c r="J56" s="14"/>
      <c r="K56" s="20">
        <f>H56*I56*J56</f>
        <v>0</v>
      </c>
      <c r="L56" s="20">
        <f>K56*0.27</f>
        <v>0</v>
      </c>
      <c r="M56" s="2">
        <f>SUM(K56+L56)</f>
        <v>0</v>
      </c>
    </row>
    <row r="57" spans="1:13" ht="15.75" hidden="1" x14ac:dyDescent="0.25">
      <c r="A57" s="14"/>
      <c r="B57" s="9"/>
      <c r="C57" s="14"/>
      <c r="D57" s="14"/>
      <c r="E57" s="20"/>
      <c r="F57" s="20"/>
      <c r="G57" s="2"/>
      <c r="H57" s="9"/>
      <c r="I57" s="14"/>
      <c r="J57" s="14"/>
      <c r="K57" s="20"/>
      <c r="L57" s="20"/>
      <c r="M57" s="2"/>
    </row>
    <row r="58" spans="1:13" ht="15.75" x14ac:dyDescent="0.25">
      <c r="A58" s="46" t="s">
        <v>36</v>
      </c>
      <c r="B58" s="46">
        <f>SUM(B34,B45,B53,B56,B48,B55)</f>
        <v>0</v>
      </c>
      <c r="C58" s="46"/>
      <c r="D58" s="46"/>
      <c r="E58" s="46">
        <f>SUM(E34,E45,E53,E56,E48,E55)</f>
        <v>0</v>
      </c>
      <c r="F58" s="47">
        <f>SUM(F34,F45,F53,F56,F48,F55)</f>
        <v>0</v>
      </c>
      <c r="G58" s="48">
        <f>SUM(G34,G45,G53,G56,G48,G55)</f>
        <v>0</v>
      </c>
      <c r="H58" s="46">
        <f>SUM(H34,H45,H53,H56,H48,H55)</f>
        <v>142</v>
      </c>
      <c r="I58" s="46"/>
      <c r="J58" s="46"/>
      <c r="K58" s="2">
        <f>SUM(K34,K45,K53,K56,K48,K55)</f>
        <v>5335543</v>
      </c>
      <c r="L58" s="2">
        <f>SUM(L34,L45,L53,L56,L48,L55)</f>
        <v>1045603</v>
      </c>
      <c r="M58" s="2">
        <f>SUM(M34,M45,M53,M56,M48,M55)</f>
        <v>6381146</v>
      </c>
    </row>
  </sheetData>
  <sheetProtection algorithmName="SHA-512" hashValue="Bt6o5jRd1SKCL9c/5T4LgURLZAW1FajvaNIeIrN9MdOdl8w4C08zohLUWKt0GgJPpnu2OcqrASJs81zcQXCnIg==" saltValue="dO9U+qDRHEyVsz94nzq3HQ==" spinCount="100000" sheet="1" formatCells="0" formatColumns="0" formatRows="0" insertColumns="0" insertRows="0" insertHyperlinks="0" deleteColumns="0" deleteRows="0" sort="0" autoFilter="0" pivotTables="0"/>
  <mergeCells count="3">
    <mergeCell ref="B1:G1"/>
    <mergeCell ref="H1:M1"/>
    <mergeCell ref="H2:M2"/>
  </mergeCells>
  <printOptions horizontalCentered="1"/>
  <pageMargins left="0.59055118110236227" right="0.59055118110236227" top="1.69" bottom="0.98425196850393704" header="0.51181102362204722" footer="0.51181102362204722"/>
  <pageSetup paperSize="9" scale="83" orientation="portrait" r:id="rId1"/>
  <headerFooter>
    <oddHeader>&amp;L&amp;"Arial,Normál"Levél Községi
Önkormányzat&amp;C&amp;"Arial,Félkövér"&amp;12ZÁRSZÁMADÁSI RENDELET - 2019. év
Levélfalvi Manók Napköziotthonos Óvoda 
Élelmezési kiadások
és bevételek terve&amp;R&amp;"Arial,Normál"&amp;9 11.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sqref="A1:D1"/>
    </sheetView>
  </sheetViews>
  <sheetFormatPr defaultRowHeight="12.75" x14ac:dyDescent="0.2"/>
  <cols>
    <col min="1" max="1" width="33.28515625" customWidth="1"/>
    <col min="2" max="2" width="13" customWidth="1"/>
    <col min="3" max="3" width="12.28515625" customWidth="1"/>
  </cols>
  <sheetData>
    <row r="1" spans="1:5" x14ac:dyDescent="0.2">
      <c r="A1" s="1389" t="s">
        <v>499</v>
      </c>
      <c r="B1" s="1389"/>
      <c r="C1" s="1389"/>
      <c r="D1" s="1389"/>
      <c r="E1" s="25"/>
    </row>
    <row r="2" spans="1:5" ht="13.5" thickBot="1" x14ac:dyDescent="0.25">
      <c r="A2" s="25"/>
      <c r="B2" s="25"/>
      <c r="C2" s="26"/>
      <c r="D2" s="25"/>
      <c r="E2" s="25"/>
    </row>
    <row r="3" spans="1:5" ht="13.5" thickBot="1" x14ac:dyDescent="0.25">
      <c r="A3" s="1390"/>
      <c r="B3" s="1392" t="s">
        <v>233</v>
      </c>
      <c r="C3" s="1392"/>
      <c r="D3" s="1392"/>
      <c r="E3" s="335"/>
    </row>
    <row r="4" spans="1:5" ht="13.5" thickBot="1" x14ac:dyDescent="0.25">
      <c r="A4" s="1391"/>
      <c r="B4" s="1393" t="s">
        <v>47</v>
      </c>
      <c r="C4" s="1394"/>
      <c r="D4" s="27" t="s">
        <v>376</v>
      </c>
      <c r="E4" s="26"/>
    </row>
    <row r="5" spans="1:5" ht="39" x14ac:dyDescent="0.25">
      <c r="A5" s="336"/>
      <c r="B5" s="28" t="s">
        <v>500</v>
      </c>
      <c r="C5" s="60" t="s">
        <v>501</v>
      </c>
      <c r="D5" s="29"/>
      <c r="E5" s="26"/>
    </row>
    <row r="6" spans="1:5" ht="15.75" x14ac:dyDescent="0.25">
      <c r="A6" s="31" t="s">
        <v>444</v>
      </c>
      <c r="B6" s="31">
        <v>9</v>
      </c>
      <c r="C6" s="31"/>
      <c r="D6" s="337">
        <v>9</v>
      </c>
      <c r="E6" s="25"/>
    </row>
    <row r="7" spans="1:5" ht="15.75" x14ac:dyDescent="0.25">
      <c r="A7" s="30" t="s">
        <v>447</v>
      </c>
      <c r="B7" s="30">
        <v>1</v>
      </c>
      <c r="C7" s="30"/>
      <c r="D7" s="338">
        <v>1</v>
      </c>
      <c r="E7" s="25"/>
    </row>
    <row r="8" spans="1:5" ht="15.75" x14ac:dyDescent="0.25">
      <c r="A8" s="30" t="s">
        <v>445</v>
      </c>
      <c r="B8" s="30">
        <v>1.5</v>
      </c>
      <c r="C8" s="30"/>
      <c r="D8" s="338">
        <v>1.5</v>
      </c>
      <c r="E8" s="25"/>
    </row>
    <row r="9" spans="1:5" ht="15.75" x14ac:dyDescent="0.25">
      <c r="A9" s="30" t="s">
        <v>446</v>
      </c>
      <c r="B9" s="30">
        <v>3</v>
      </c>
      <c r="C9" s="30"/>
      <c r="D9" s="338">
        <v>3</v>
      </c>
      <c r="E9" s="25"/>
    </row>
    <row r="10" spans="1:5" ht="15.75" x14ac:dyDescent="0.25">
      <c r="A10" s="30" t="s">
        <v>448</v>
      </c>
      <c r="B10" s="30">
        <v>2</v>
      </c>
      <c r="C10" s="30"/>
      <c r="D10" s="338">
        <v>2</v>
      </c>
      <c r="E10" s="25"/>
    </row>
    <row r="11" spans="1:5" ht="15.75" x14ac:dyDescent="0.25">
      <c r="A11" s="30" t="s">
        <v>449</v>
      </c>
      <c r="B11" s="30">
        <v>1</v>
      </c>
      <c r="C11" s="30"/>
      <c r="D11" s="338">
        <v>1</v>
      </c>
      <c r="E11" s="25"/>
    </row>
    <row r="12" spans="1:5" ht="34.5" customHeight="1" thickBot="1" x14ac:dyDescent="0.3">
      <c r="A12" s="339" t="s">
        <v>450</v>
      </c>
      <c r="B12" s="31">
        <v>11</v>
      </c>
      <c r="C12" s="31"/>
      <c r="D12" s="337">
        <v>11</v>
      </c>
      <c r="E12" s="25"/>
    </row>
    <row r="13" spans="1:5" ht="13.5" thickBot="1" x14ac:dyDescent="0.25">
      <c r="A13" s="27" t="s">
        <v>75</v>
      </c>
      <c r="B13" s="27">
        <v>20</v>
      </c>
      <c r="C13" s="27">
        <v>0</v>
      </c>
      <c r="D13" s="27">
        <v>20</v>
      </c>
      <c r="E13" s="26"/>
    </row>
    <row r="14" spans="1:5" x14ac:dyDescent="0.2">
      <c r="A14" s="25"/>
      <c r="B14" s="25"/>
      <c r="C14" s="25"/>
      <c r="D14" s="25"/>
      <c r="E14" s="25"/>
    </row>
    <row r="15" spans="1:5" x14ac:dyDescent="0.2">
      <c r="A15" s="25"/>
      <c r="B15" s="25"/>
      <c r="C15" s="25"/>
      <c r="D15" s="25"/>
      <c r="E15" s="25"/>
    </row>
    <row r="16" spans="1:5" x14ac:dyDescent="0.2">
      <c r="A16" s="25"/>
      <c r="B16" s="25"/>
      <c r="C16" s="25"/>
      <c r="D16" s="25"/>
      <c r="E16" s="25"/>
    </row>
    <row r="17" spans="1:5" x14ac:dyDescent="0.2">
      <c r="A17" s="25"/>
      <c r="B17" s="25"/>
      <c r="C17" s="25"/>
      <c r="D17" s="25"/>
      <c r="E17" s="25"/>
    </row>
  </sheetData>
  <sheetProtection algorithmName="SHA-512" hashValue="jiSZrySB0wURh0Q2J2DF3M56Zk1ajlqsk2gLi8z1ltruBYDbQEIBgtLv+zwC+XFfP6LXL1vO/mguWI4AuhsIKg==" saltValue="SVK8925UOfD9Q+EgwpKs2g==" spinCount="100000" sheet="1" formatCells="0" formatColumns="0" formatRows="0" insertColumns="0" insertRows="0" insertHyperlinks="0" deleteColumns="0" deleteRows="0" sort="0" autoFilter="0" pivotTables="0"/>
  <mergeCells count="4">
    <mergeCell ref="A1:D1"/>
    <mergeCell ref="A3:A4"/>
    <mergeCell ref="B3:D3"/>
    <mergeCell ref="B4:C4"/>
  </mergeCells>
  <printOptions horizontalCentered="1"/>
  <pageMargins left="0.59055118110236227" right="0.59055118110236227" top="1.2598425196850394" bottom="0.74803149606299213" header="0.43307086614173229" footer="0.31496062992125984"/>
  <pageSetup paperSize="9" orientation="portrait" horizontalDpi="120" verticalDpi="72" r:id="rId1"/>
  <headerFooter>
    <oddHeader>&amp;LLevél Községi
Önkormányzat&amp;C&amp;"Arial CE,Félkövér"&amp;11ZÁRSZÁMADÁSI RENDELET - 2019. év&amp;R&amp;8 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6"/>
  <sheetViews>
    <sheetView workbookViewId="0">
      <pane ySplit="2" topLeftCell="A3" activePane="bottomLeft" state="frozen"/>
      <selection activeCell="A3" sqref="A3:J3"/>
      <selection pane="bottomLeft" activeCell="A3" sqref="A3"/>
    </sheetView>
  </sheetViews>
  <sheetFormatPr defaultRowHeight="12.75" x14ac:dyDescent="0.2"/>
  <cols>
    <col min="1" max="1" width="42.28515625" bestFit="1" customWidth="1"/>
    <col min="2" max="5" width="11.85546875" style="327" bestFit="1" customWidth="1"/>
    <col min="6" max="6" width="13" style="327" bestFit="1" customWidth="1"/>
    <col min="7" max="12" width="11.85546875" style="327" bestFit="1" customWidth="1"/>
    <col min="13" max="14" width="13" style="327" bestFit="1" customWidth="1"/>
    <col min="15" max="15" width="11.140625" style="327" bestFit="1" customWidth="1"/>
  </cols>
  <sheetData>
    <row r="1" spans="1:15" ht="15" thickBot="1" x14ac:dyDescent="0.25">
      <c r="A1" s="340" t="s">
        <v>71</v>
      </c>
      <c r="B1" s="341" t="s">
        <v>76</v>
      </c>
      <c r="C1" s="341" t="s">
        <v>77</v>
      </c>
      <c r="D1" s="341" t="s">
        <v>78</v>
      </c>
      <c r="E1" s="341" t="s">
        <v>79</v>
      </c>
      <c r="F1" s="341" t="s">
        <v>80</v>
      </c>
      <c r="G1" s="341" t="s">
        <v>81</v>
      </c>
      <c r="H1" s="341" t="s">
        <v>82</v>
      </c>
      <c r="I1" s="341" t="s">
        <v>83</v>
      </c>
      <c r="J1" s="341" t="s">
        <v>84</v>
      </c>
      <c r="K1" s="341" t="s">
        <v>85</v>
      </c>
      <c r="L1" s="341" t="s">
        <v>86</v>
      </c>
      <c r="M1" s="341" t="s">
        <v>87</v>
      </c>
      <c r="N1" s="341" t="s">
        <v>50</v>
      </c>
    </row>
    <row r="2" spans="1:15" ht="15.75" thickBot="1" x14ac:dyDescent="0.25">
      <c r="A2" s="1395" t="s">
        <v>74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7"/>
    </row>
    <row r="3" spans="1:15" x14ac:dyDescent="0.2">
      <c r="A3" s="334" t="s">
        <v>451</v>
      </c>
      <c r="B3" s="333">
        <v>6468810</v>
      </c>
      <c r="C3" s="333">
        <v>6468810</v>
      </c>
      <c r="D3" s="333">
        <v>6468810</v>
      </c>
      <c r="E3" s="333">
        <v>6468810</v>
      </c>
      <c r="F3" s="333">
        <v>6468810</v>
      </c>
      <c r="G3" s="333">
        <v>6468810</v>
      </c>
      <c r="H3" s="333">
        <v>6468810</v>
      </c>
      <c r="I3" s="333">
        <v>6468810</v>
      </c>
      <c r="J3" s="333">
        <v>6468810</v>
      </c>
      <c r="K3" s="333">
        <v>6468810</v>
      </c>
      <c r="L3" s="333">
        <v>6468810</v>
      </c>
      <c r="M3" s="333">
        <v>6468819</v>
      </c>
      <c r="N3" s="333">
        <v>77625729</v>
      </c>
      <c r="O3" s="327">
        <v>77625729</v>
      </c>
    </row>
    <row r="4" spans="1:15" hidden="1" x14ac:dyDescent="0.2">
      <c r="A4" s="332" t="s">
        <v>452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27">
        <v>0</v>
      </c>
    </row>
    <row r="5" spans="1:15" x14ac:dyDescent="0.2">
      <c r="A5" s="332" t="s">
        <v>453</v>
      </c>
      <c r="B5" s="331"/>
      <c r="C5" s="331"/>
      <c r="D5" s="331">
        <v>833333</v>
      </c>
      <c r="E5" s="331">
        <v>200000</v>
      </c>
      <c r="F5" s="331">
        <v>100000</v>
      </c>
      <c r="G5" s="331"/>
      <c r="H5" s="331"/>
      <c r="I5" s="331"/>
      <c r="J5" s="331">
        <v>833333</v>
      </c>
      <c r="K5" s="331">
        <v>233334</v>
      </c>
      <c r="L5" s="331">
        <v>150000</v>
      </c>
      <c r="M5" s="331">
        <v>150000</v>
      </c>
      <c r="N5" s="331">
        <v>2500000</v>
      </c>
      <c r="O5" s="327">
        <v>2500000</v>
      </c>
    </row>
    <row r="6" spans="1:15" x14ac:dyDescent="0.2">
      <c r="A6" s="332" t="s">
        <v>454</v>
      </c>
      <c r="B6" s="331"/>
      <c r="C6" s="331"/>
      <c r="D6" s="331">
        <v>3500000</v>
      </c>
      <c r="E6" s="331"/>
      <c r="F6" s="331"/>
      <c r="G6" s="331"/>
      <c r="H6" s="331"/>
      <c r="I6" s="331"/>
      <c r="J6" s="331">
        <v>3000000</v>
      </c>
      <c r="K6" s="331"/>
      <c r="L6" s="331"/>
      <c r="M6" s="331"/>
      <c r="N6" s="331">
        <v>6500000</v>
      </c>
      <c r="O6" s="327">
        <v>6500000</v>
      </c>
    </row>
    <row r="7" spans="1:15" x14ac:dyDescent="0.2">
      <c r="A7" s="332" t="s">
        <v>68</v>
      </c>
      <c r="B7" s="331"/>
      <c r="C7" s="331"/>
      <c r="D7" s="331"/>
      <c r="E7" s="331"/>
      <c r="F7" s="331">
        <v>75000000</v>
      </c>
      <c r="G7" s="331"/>
      <c r="H7" s="331"/>
      <c r="I7" s="331"/>
      <c r="J7" s="331"/>
      <c r="K7" s="331"/>
      <c r="L7" s="331"/>
      <c r="M7" s="331">
        <v>75000000</v>
      </c>
      <c r="N7" s="331">
        <v>150000000</v>
      </c>
      <c r="O7" s="327">
        <v>150000000</v>
      </c>
    </row>
    <row r="8" spans="1:15" x14ac:dyDescent="0.2">
      <c r="A8" s="332" t="s">
        <v>426</v>
      </c>
      <c r="B8" s="331"/>
      <c r="C8" s="331"/>
      <c r="D8" s="331">
        <v>2100000</v>
      </c>
      <c r="E8" s="331"/>
      <c r="F8" s="331"/>
      <c r="G8" s="331"/>
      <c r="H8" s="331"/>
      <c r="I8" s="331"/>
      <c r="J8" s="331">
        <v>2100000</v>
      </c>
      <c r="K8" s="331"/>
      <c r="L8" s="331"/>
      <c r="M8" s="331"/>
      <c r="N8" s="331">
        <v>4200000</v>
      </c>
      <c r="O8" s="327">
        <v>4200000</v>
      </c>
    </row>
    <row r="9" spans="1:15" x14ac:dyDescent="0.2">
      <c r="A9" s="332" t="s">
        <v>425</v>
      </c>
      <c r="B9" s="331">
        <v>166666</v>
      </c>
      <c r="C9" s="331">
        <v>166666</v>
      </c>
      <c r="D9" s="331">
        <v>166666</v>
      </c>
      <c r="E9" s="331">
        <v>166666</v>
      </c>
      <c r="F9" s="331">
        <v>166666</v>
      </c>
      <c r="G9" s="331">
        <v>166666</v>
      </c>
      <c r="H9" s="331">
        <v>166666</v>
      </c>
      <c r="I9" s="331">
        <v>166666</v>
      </c>
      <c r="J9" s="331">
        <v>166666</v>
      </c>
      <c r="K9" s="331">
        <v>166666</v>
      </c>
      <c r="L9" s="331">
        <v>166670</v>
      </c>
      <c r="M9" s="331">
        <v>166670</v>
      </c>
      <c r="N9" s="331">
        <v>2000000</v>
      </c>
      <c r="O9" s="327">
        <v>2000000</v>
      </c>
    </row>
    <row r="10" spans="1:15" x14ac:dyDescent="0.2">
      <c r="A10" s="332" t="s">
        <v>455</v>
      </c>
      <c r="B10" s="331"/>
      <c r="C10" s="331"/>
      <c r="D10" s="331">
        <v>3000000</v>
      </c>
      <c r="E10" s="331"/>
      <c r="F10" s="331"/>
      <c r="G10" s="331"/>
      <c r="H10" s="331"/>
      <c r="I10" s="331"/>
      <c r="J10" s="331">
        <v>3000000</v>
      </c>
      <c r="K10" s="331"/>
      <c r="L10" s="331"/>
      <c r="M10" s="331"/>
      <c r="N10" s="331">
        <v>6000000</v>
      </c>
      <c r="O10" s="327">
        <v>6000000</v>
      </c>
    </row>
    <row r="11" spans="1:15" x14ac:dyDescent="0.2">
      <c r="A11" s="332" t="s">
        <v>386</v>
      </c>
      <c r="B11" s="331"/>
      <c r="C11" s="331"/>
      <c r="D11" s="331">
        <v>25000</v>
      </c>
      <c r="E11" s="331"/>
      <c r="F11" s="331"/>
      <c r="G11" s="331"/>
      <c r="H11" s="331"/>
      <c r="I11" s="331"/>
      <c r="J11" s="331">
        <v>25000</v>
      </c>
      <c r="K11" s="331"/>
      <c r="L11" s="331"/>
      <c r="M11" s="331"/>
      <c r="N11" s="331">
        <v>50000</v>
      </c>
      <c r="O11" s="327">
        <v>50000</v>
      </c>
    </row>
    <row r="12" spans="1:15" x14ac:dyDescent="0.2">
      <c r="A12" s="332" t="s">
        <v>484</v>
      </c>
      <c r="B12" s="331">
        <v>1000</v>
      </c>
      <c r="C12" s="331">
        <v>1000</v>
      </c>
      <c r="D12" s="331">
        <v>1000</v>
      </c>
      <c r="E12" s="331">
        <v>2000</v>
      </c>
      <c r="F12" s="331">
        <v>1000</v>
      </c>
      <c r="G12" s="331">
        <v>2000</v>
      </c>
      <c r="H12" s="331">
        <v>1000</v>
      </c>
      <c r="I12" s="331">
        <v>1000</v>
      </c>
      <c r="J12" s="331">
        <v>1000</v>
      </c>
      <c r="K12" s="331">
        <v>1000</v>
      </c>
      <c r="L12" s="331">
        <v>1000</v>
      </c>
      <c r="M12" s="331">
        <v>2000</v>
      </c>
      <c r="N12" s="331">
        <v>15000</v>
      </c>
      <c r="O12" s="327">
        <v>15000</v>
      </c>
    </row>
    <row r="13" spans="1:15" x14ac:dyDescent="0.2">
      <c r="A13" s="332" t="s">
        <v>88</v>
      </c>
      <c r="B13" s="331">
        <v>1154317</v>
      </c>
      <c r="C13" s="331">
        <v>1154317</v>
      </c>
      <c r="D13" s="331">
        <v>1154317</v>
      </c>
      <c r="E13" s="331">
        <v>1154317</v>
      </c>
      <c r="F13" s="331">
        <v>1154317</v>
      </c>
      <c r="G13" s="331">
        <v>1154317</v>
      </c>
      <c r="H13" s="331">
        <v>1154317</v>
      </c>
      <c r="I13" s="331">
        <v>1154317</v>
      </c>
      <c r="J13" s="331">
        <v>1154317</v>
      </c>
      <c r="K13" s="331">
        <v>1154317</v>
      </c>
      <c r="L13" s="331">
        <v>1154317</v>
      </c>
      <c r="M13" s="331">
        <v>1154320</v>
      </c>
      <c r="N13" s="331">
        <v>13851807</v>
      </c>
      <c r="O13" s="327">
        <v>13851807</v>
      </c>
    </row>
    <row r="14" spans="1:15" hidden="1" x14ac:dyDescent="0.2">
      <c r="A14" s="332" t="s">
        <v>332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>
        <v>0</v>
      </c>
      <c r="O14" s="327">
        <v>0</v>
      </c>
    </row>
    <row r="15" spans="1:15" hidden="1" x14ac:dyDescent="0.2">
      <c r="A15" s="332" t="s">
        <v>301</v>
      </c>
      <c r="B15" s="331">
        <v>0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>
        <v>0</v>
      </c>
      <c r="O15" s="327">
        <v>0</v>
      </c>
    </row>
    <row r="16" spans="1:15" x14ac:dyDescent="0.2">
      <c r="A16" s="332" t="s">
        <v>456</v>
      </c>
      <c r="B16" s="331"/>
      <c r="C16" s="331"/>
      <c r="D16" s="331"/>
      <c r="E16" s="331"/>
      <c r="F16" s="331"/>
      <c r="G16" s="331">
        <v>1443300</v>
      </c>
      <c r="H16" s="331"/>
      <c r="I16" s="331"/>
      <c r="J16" s="331"/>
      <c r="K16" s="331">
        <v>1443300</v>
      </c>
      <c r="L16" s="331"/>
      <c r="M16" s="331"/>
      <c r="N16" s="331">
        <v>2886600</v>
      </c>
      <c r="O16" s="327">
        <v>2886600</v>
      </c>
    </row>
    <row r="17" spans="1:15" x14ac:dyDescent="0.2">
      <c r="A17" s="332" t="s">
        <v>61</v>
      </c>
      <c r="B17" s="331">
        <v>5765269</v>
      </c>
      <c r="C17" s="331">
        <v>5765269</v>
      </c>
      <c r="D17" s="331">
        <v>5765269</v>
      </c>
      <c r="E17" s="331">
        <v>5765269</v>
      </c>
      <c r="F17" s="331">
        <v>5765269</v>
      </c>
      <c r="G17" s="331">
        <v>5765269</v>
      </c>
      <c r="H17" s="331">
        <v>5765269</v>
      </c>
      <c r="I17" s="331">
        <v>5765269</v>
      </c>
      <c r="J17" s="331">
        <v>5765269</v>
      </c>
      <c r="K17" s="331">
        <v>5765269</v>
      </c>
      <c r="L17" s="331">
        <v>5765269</v>
      </c>
      <c r="M17" s="331">
        <v>5765274</v>
      </c>
      <c r="N17" s="331">
        <v>69183233</v>
      </c>
      <c r="O17" s="327">
        <v>69183233</v>
      </c>
    </row>
    <row r="18" spans="1:15" x14ac:dyDescent="0.2">
      <c r="A18" s="332" t="s">
        <v>764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>
        <v>5000000</v>
      </c>
      <c r="M18" s="331"/>
      <c r="N18" s="331">
        <v>5000000</v>
      </c>
      <c r="O18" s="327">
        <v>5000000</v>
      </c>
    </row>
    <row r="19" spans="1:15" x14ac:dyDescent="0.2">
      <c r="A19" s="332" t="s">
        <v>494</v>
      </c>
      <c r="B19" s="331">
        <v>13678941</v>
      </c>
      <c r="C19" s="331">
        <v>13678941</v>
      </c>
      <c r="D19" s="331">
        <v>13678941</v>
      </c>
      <c r="E19" s="331">
        <v>13678941</v>
      </c>
      <c r="F19" s="331">
        <v>13678941</v>
      </c>
      <c r="G19" s="331">
        <v>13678941</v>
      </c>
      <c r="H19" s="331">
        <v>13678941</v>
      </c>
      <c r="I19" s="331">
        <v>13678941</v>
      </c>
      <c r="J19" s="331">
        <v>13678941</v>
      </c>
      <c r="K19" s="331">
        <v>13678941</v>
      </c>
      <c r="L19" s="331">
        <v>13678941</v>
      </c>
      <c r="M19" s="331">
        <v>13678941</v>
      </c>
      <c r="N19" s="331">
        <v>164147292</v>
      </c>
      <c r="O19" s="327">
        <v>164147292</v>
      </c>
    </row>
    <row r="20" spans="1:15" ht="13.5" thickBot="1" x14ac:dyDescent="0.25">
      <c r="A20" s="330" t="s">
        <v>763</v>
      </c>
      <c r="B20" s="329"/>
      <c r="C20" s="329"/>
      <c r="D20" s="329"/>
      <c r="E20" s="329">
        <v>460000</v>
      </c>
      <c r="F20" s="329"/>
      <c r="G20" s="329"/>
      <c r="H20" s="329"/>
      <c r="I20" s="329"/>
      <c r="J20" s="329"/>
      <c r="K20" s="329"/>
      <c r="L20" s="329"/>
      <c r="M20" s="329"/>
      <c r="N20" s="329">
        <v>460000</v>
      </c>
      <c r="O20" s="327">
        <v>460000</v>
      </c>
    </row>
    <row r="21" spans="1:15" ht="15.75" thickBot="1" x14ac:dyDescent="0.25">
      <c r="A21" s="342" t="s">
        <v>89</v>
      </c>
      <c r="B21" s="343">
        <v>27235003</v>
      </c>
      <c r="C21" s="343">
        <v>27235003</v>
      </c>
      <c r="D21" s="343">
        <v>36693336</v>
      </c>
      <c r="E21" s="343">
        <v>27896003</v>
      </c>
      <c r="F21" s="343">
        <v>102335003</v>
      </c>
      <c r="G21" s="343">
        <v>28679303</v>
      </c>
      <c r="H21" s="343">
        <v>27235003</v>
      </c>
      <c r="I21" s="343">
        <v>27235003</v>
      </c>
      <c r="J21" s="343">
        <v>36193336</v>
      </c>
      <c r="K21" s="343">
        <v>28911637</v>
      </c>
      <c r="L21" s="343">
        <v>32385007</v>
      </c>
      <c r="M21" s="343">
        <v>102386024</v>
      </c>
      <c r="N21" s="343">
        <v>504419661</v>
      </c>
      <c r="O21" s="327">
        <v>504419661</v>
      </c>
    </row>
    <row r="22" spans="1:15" ht="15.75" thickBot="1" x14ac:dyDescent="0.25">
      <c r="A22" s="1395" t="s">
        <v>74</v>
      </c>
      <c r="B22" s="1396"/>
      <c r="C22" s="1396"/>
      <c r="D22" s="1396"/>
      <c r="E22" s="1396"/>
      <c r="F22" s="1396"/>
      <c r="G22" s="1396"/>
      <c r="H22" s="1396"/>
      <c r="I22" s="1396"/>
      <c r="J22" s="1396"/>
      <c r="K22" s="1396"/>
      <c r="L22" s="1396"/>
      <c r="M22" s="1396"/>
      <c r="N22" s="1397"/>
    </row>
    <row r="23" spans="1:15" x14ac:dyDescent="0.2">
      <c r="A23" s="334" t="s">
        <v>0</v>
      </c>
      <c r="B23" s="333">
        <v>7248637</v>
      </c>
      <c r="C23" s="333">
        <v>7248637</v>
      </c>
      <c r="D23" s="333">
        <v>7248637</v>
      </c>
      <c r="E23" s="333">
        <v>7248637</v>
      </c>
      <c r="F23" s="333">
        <v>7248637</v>
      </c>
      <c r="G23" s="333">
        <v>7248637</v>
      </c>
      <c r="H23" s="333">
        <v>7248637</v>
      </c>
      <c r="I23" s="333">
        <v>7248637</v>
      </c>
      <c r="J23" s="333">
        <v>7248637</v>
      </c>
      <c r="K23" s="333">
        <v>7248637</v>
      </c>
      <c r="L23" s="333">
        <v>7248637</v>
      </c>
      <c r="M23" s="333">
        <v>7248637</v>
      </c>
      <c r="N23" s="333">
        <v>86983644</v>
      </c>
      <c r="O23" s="327">
        <v>86983644</v>
      </c>
    </row>
    <row r="24" spans="1:15" x14ac:dyDescent="0.2">
      <c r="A24" s="332" t="s">
        <v>90</v>
      </c>
      <c r="B24" s="331">
        <v>1448634</v>
      </c>
      <c r="C24" s="331">
        <v>1448634</v>
      </c>
      <c r="D24" s="331">
        <v>1448634</v>
      </c>
      <c r="E24" s="331">
        <v>1448634</v>
      </c>
      <c r="F24" s="331">
        <v>1448634</v>
      </c>
      <c r="G24" s="331">
        <v>1448634</v>
      </c>
      <c r="H24" s="331">
        <v>1448634</v>
      </c>
      <c r="I24" s="331">
        <v>1448634</v>
      </c>
      <c r="J24" s="331">
        <v>1448634</v>
      </c>
      <c r="K24" s="331">
        <v>1448634</v>
      </c>
      <c r="L24" s="331">
        <v>1448634</v>
      </c>
      <c r="M24" s="331">
        <v>1448634</v>
      </c>
      <c r="N24" s="331">
        <v>17383608</v>
      </c>
      <c r="O24" s="327">
        <v>17383608</v>
      </c>
    </row>
    <row r="25" spans="1:15" x14ac:dyDescent="0.2">
      <c r="A25" s="332" t="s">
        <v>91</v>
      </c>
      <c r="B25" s="331">
        <v>6645546</v>
      </c>
      <c r="C25" s="331">
        <v>6645546</v>
      </c>
      <c r="D25" s="331">
        <v>6645546</v>
      </c>
      <c r="E25" s="331">
        <v>6645546</v>
      </c>
      <c r="F25" s="331">
        <v>6645546</v>
      </c>
      <c r="G25" s="331">
        <v>6645546</v>
      </c>
      <c r="H25" s="331">
        <v>1645546</v>
      </c>
      <c r="I25" s="331">
        <v>2000000</v>
      </c>
      <c r="J25" s="331">
        <v>6645546</v>
      </c>
      <c r="K25" s="331">
        <v>6645546</v>
      </c>
      <c r="L25" s="331">
        <v>6645546</v>
      </c>
      <c r="M25" s="331">
        <v>16290017</v>
      </c>
      <c r="N25" s="331">
        <v>79745477</v>
      </c>
      <c r="O25" s="327">
        <v>79745477</v>
      </c>
    </row>
    <row r="26" spans="1:15" x14ac:dyDescent="0.2">
      <c r="A26" s="332" t="s">
        <v>92</v>
      </c>
      <c r="B26" s="331">
        <v>0</v>
      </c>
      <c r="C26" s="331">
        <v>0</v>
      </c>
      <c r="D26" s="331">
        <v>4596105</v>
      </c>
      <c r="E26" s="331">
        <v>0</v>
      </c>
      <c r="F26" s="331">
        <v>55000000</v>
      </c>
      <c r="G26" s="331">
        <v>3000000</v>
      </c>
      <c r="H26" s="331">
        <v>3000000</v>
      </c>
      <c r="I26" s="331"/>
      <c r="J26" s="331">
        <v>2500000</v>
      </c>
      <c r="K26" s="331"/>
      <c r="L26" s="331">
        <v>2200000</v>
      </c>
      <c r="M26" s="331">
        <v>29427240</v>
      </c>
      <c r="N26" s="331">
        <v>99077799</v>
      </c>
      <c r="O26" s="327">
        <v>99723345</v>
      </c>
    </row>
    <row r="27" spans="1:15" x14ac:dyDescent="0.2">
      <c r="A27" s="332" t="s">
        <v>93</v>
      </c>
      <c r="B27" s="331">
        <v>0</v>
      </c>
      <c r="C27" s="331">
        <v>0</v>
      </c>
      <c r="D27" s="331">
        <v>5000000</v>
      </c>
      <c r="E27" s="331">
        <v>4000000</v>
      </c>
      <c r="F27" s="331">
        <v>12000000</v>
      </c>
      <c r="G27" s="331">
        <v>6000000</v>
      </c>
      <c r="H27" s="331"/>
      <c r="I27" s="331"/>
      <c r="J27" s="331"/>
      <c r="K27" s="331"/>
      <c r="L27" s="331"/>
      <c r="M27" s="331">
        <v>10310978</v>
      </c>
      <c r="N27" s="331">
        <v>37310978</v>
      </c>
      <c r="O27" s="327">
        <v>37310978</v>
      </c>
    </row>
    <row r="28" spans="1:15" x14ac:dyDescent="0.2">
      <c r="A28" s="332" t="s">
        <v>94</v>
      </c>
      <c r="B28" s="331">
        <v>3033283</v>
      </c>
      <c r="C28" s="331">
        <v>3033283</v>
      </c>
      <c r="D28" s="331">
        <v>3033283</v>
      </c>
      <c r="E28" s="331">
        <v>3033283</v>
      </c>
      <c r="F28" s="331">
        <v>3033283</v>
      </c>
      <c r="G28" s="331">
        <v>3033283</v>
      </c>
      <c r="H28" s="331">
        <v>3033283</v>
      </c>
      <c r="I28" s="331"/>
      <c r="J28" s="331">
        <v>3033283</v>
      </c>
      <c r="K28" s="331">
        <v>3033283</v>
      </c>
      <c r="L28" s="331">
        <v>3033283</v>
      </c>
      <c r="M28" s="331">
        <v>6066572</v>
      </c>
      <c r="N28" s="331">
        <v>36399402</v>
      </c>
      <c r="O28" s="327">
        <v>36399402</v>
      </c>
    </row>
    <row r="29" spans="1:15" x14ac:dyDescent="0.2">
      <c r="A29" s="332" t="s">
        <v>72</v>
      </c>
      <c r="B29" s="331">
        <v>583400</v>
      </c>
      <c r="C29" s="331">
        <v>583400</v>
      </c>
      <c r="D29" s="331">
        <v>583400</v>
      </c>
      <c r="E29" s="331">
        <v>583400</v>
      </c>
      <c r="F29" s="331">
        <v>583400</v>
      </c>
      <c r="G29" s="331">
        <v>583400</v>
      </c>
      <c r="H29" s="331">
        <v>583400</v>
      </c>
      <c r="I29" s="331">
        <v>583400</v>
      </c>
      <c r="J29" s="331">
        <v>583400</v>
      </c>
      <c r="K29" s="331">
        <v>583400</v>
      </c>
      <c r="L29" s="331">
        <v>583400</v>
      </c>
      <c r="M29" s="331">
        <v>583400</v>
      </c>
      <c r="N29" s="331">
        <v>7000800</v>
      </c>
      <c r="O29" s="327">
        <v>7000800</v>
      </c>
    </row>
    <row r="30" spans="1:15" x14ac:dyDescent="0.2">
      <c r="A30" s="332" t="s">
        <v>485</v>
      </c>
      <c r="B30" s="331">
        <v>2601000</v>
      </c>
      <c r="C30" s="331">
        <v>1414768</v>
      </c>
      <c r="D30" s="331">
        <v>1414768</v>
      </c>
      <c r="E30" s="331">
        <v>1414768</v>
      </c>
      <c r="F30" s="331">
        <v>1414768</v>
      </c>
      <c r="G30" s="331">
        <v>1414768</v>
      </c>
      <c r="H30" s="331">
        <v>1414768</v>
      </c>
      <c r="I30" s="331">
        <v>1414768</v>
      </c>
      <c r="J30" s="331">
        <v>1414768</v>
      </c>
      <c r="K30" s="331">
        <v>1414768</v>
      </c>
      <c r="L30" s="331">
        <v>1414768</v>
      </c>
      <c r="M30" s="331">
        <v>1414773</v>
      </c>
      <c r="N30" s="331">
        <v>18163453</v>
      </c>
      <c r="O30" s="327">
        <v>18163453</v>
      </c>
    </row>
    <row r="31" spans="1:15" x14ac:dyDescent="0.2">
      <c r="A31" s="332" t="s">
        <v>476</v>
      </c>
      <c r="B31" s="331">
        <v>27702</v>
      </c>
      <c r="C31" s="331">
        <v>27703</v>
      </c>
      <c r="D31" s="331">
        <v>27702</v>
      </c>
      <c r="E31" s="331">
        <v>27703</v>
      </c>
      <c r="F31" s="331">
        <v>27703</v>
      </c>
      <c r="G31" s="331">
        <v>27703</v>
      </c>
      <c r="H31" s="331">
        <v>27703</v>
      </c>
      <c r="I31" s="331">
        <v>27703</v>
      </c>
      <c r="J31" s="331">
        <v>27703</v>
      </c>
      <c r="K31" s="331">
        <v>27703</v>
      </c>
      <c r="L31" s="331">
        <v>27703</v>
      </c>
      <c r="M31" s="331">
        <v>27703</v>
      </c>
      <c r="N31" s="331">
        <v>332434</v>
      </c>
      <c r="O31" s="327">
        <v>332434</v>
      </c>
    </row>
    <row r="32" spans="1:15" x14ac:dyDescent="0.2">
      <c r="A32" s="332" t="s">
        <v>478</v>
      </c>
      <c r="B32" s="331">
        <v>524833</v>
      </c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>
        <v>524833</v>
      </c>
      <c r="O32" s="327">
        <v>524833</v>
      </c>
    </row>
    <row r="33" spans="1:15" x14ac:dyDescent="0.2">
      <c r="A33" s="332" t="s">
        <v>61</v>
      </c>
      <c r="B33" s="331">
        <v>3765269</v>
      </c>
      <c r="C33" s="331">
        <v>5765269</v>
      </c>
      <c r="D33" s="331">
        <v>5765269</v>
      </c>
      <c r="E33" s="331">
        <v>5765269</v>
      </c>
      <c r="F33" s="331">
        <v>5765269</v>
      </c>
      <c r="G33" s="331">
        <v>5765269</v>
      </c>
      <c r="H33" s="331">
        <v>5765269</v>
      </c>
      <c r="I33" s="331">
        <v>5765269</v>
      </c>
      <c r="J33" s="331">
        <v>5765269</v>
      </c>
      <c r="K33" s="331">
        <v>5765269</v>
      </c>
      <c r="L33" s="331">
        <v>5765269</v>
      </c>
      <c r="M33" s="331">
        <v>7765269</v>
      </c>
      <c r="N33" s="331">
        <v>69183233</v>
      </c>
      <c r="O33" s="327">
        <v>69183228</v>
      </c>
    </row>
    <row r="34" spans="1:15" ht="13.5" thickBot="1" x14ac:dyDescent="0.25">
      <c r="A34" s="330" t="s">
        <v>46</v>
      </c>
      <c r="B34" s="329">
        <v>1356699</v>
      </c>
      <c r="C34" s="329"/>
      <c r="D34" s="329"/>
      <c r="E34" s="329"/>
      <c r="F34" s="329"/>
      <c r="G34" s="329"/>
      <c r="H34" s="329">
        <v>3426911</v>
      </c>
      <c r="I34" s="329">
        <v>7530390</v>
      </c>
      <c r="J34" s="329"/>
      <c r="K34" s="329"/>
      <c r="L34" s="329"/>
      <c r="M34" s="329">
        <v>40000000</v>
      </c>
      <c r="N34" s="329">
        <v>52314000</v>
      </c>
      <c r="O34" s="327">
        <v>52314000</v>
      </c>
    </row>
    <row r="35" spans="1:15" ht="15.75" thickBot="1" x14ac:dyDescent="0.25">
      <c r="A35" s="342" t="s">
        <v>95</v>
      </c>
      <c r="B35" s="343">
        <v>27235003</v>
      </c>
      <c r="C35" s="343">
        <v>26167240</v>
      </c>
      <c r="D35" s="343">
        <v>35763344</v>
      </c>
      <c r="E35" s="343">
        <v>30167240</v>
      </c>
      <c r="F35" s="343">
        <v>93167240</v>
      </c>
      <c r="G35" s="343">
        <v>35167240</v>
      </c>
      <c r="H35" s="343">
        <v>27594151</v>
      </c>
      <c r="I35" s="343">
        <v>26018801</v>
      </c>
      <c r="J35" s="343">
        <v>28667240</v>
      </c>
      <c r="K35" s="343">
        <v>26167240</v>
      </c>
      <c r="L35" s="343">
        <v>28367240</v>
      </c>
      <c r="M35" s="343">
        <v>120583223</v>
      </c>
      <c r="N35" s="343">
        <v>504419661</v>
      </c>
      <c r="O35" s="327">
        <v>505065202</v>
      </c>
    </row>
    <row r="36" spans="1:15" ht="15" thickBot="1" x14ac:dyDescent="0.25">
      <c r="A36" s="328" t="s">
        <v>96</v>
      </c>
      <c r="B36" s="344">
        <v>0</v>
      </c>
      <c r="C36" s="344">
        <v>1067763</v>
      </c>
      <c r="D36" s="344">
        <v>1997755</v>
      </c>
      <c r="E36" s="344">
        <v>-273482</v>
      </c>
      <c r="F36" s="344">
        <v>8894281</v>
      </c>
      <c r="G36" s="344">
        <v>2406344</v>
      </c>
      <c r="H36" s="344">
        <v>2047196</v>
      </c>
      <c r="I36" s="344">
        <v>3263398</v>
      </c>
      <c r="J36" s="344">
        <v>10789494</v>
      </c>
      <c r="K36" s="344">
        <v>13533891</v>
      </c>
      <c r="L36" s="344">
        <v>17551658</v>
      </c>
      <c r="M36" s="344">
        <v>-645541</v>
      </c>
      <c r="N36" s="344">
        <v>-645541</v>
      </c>
    </row>
  </sheetData>
  <sheetProtection algorithmName="SHA-512" hashValue="SQYPwt7bTNNppExw5iuhwMNyPxDRN0hNcDYYX37/8npay38ZkhIWjue2/q6nqch0Ox2rPGnfrGqf02bdPY4b3A==" saltValue="xWFaY04Oicu6i/eP/0T/jg==" spinCount="100000" sheet="1" formatCells="0" formatColumns="0" formatRows="0" insertColumns="0" insertRows="0" insertHyperlinks="0" deleteColumns="0" deleteRows="0" sort="0" autoFilter="0" pivotTables="0"/>
  <mergeCells count="2">
    <mergeCell ref="A2:N2"/>
    <mergeCell ref="A22:N22"/>
  </mergeCells>
  <printOptions horizontalCentered="1"/>
  <pageMargins left="0.39370078740157483" right="0.39370078740157483" top="1.1811023622047245" bottom="0.74803149606299213" header="0.35433070866141736" footer="0.31496062992125984"/>
  <pageSetup paperSize="9" scale="71" orientation="landscape" verticalDpi="0" r:id="rId1"/>
  <headerFooter>
    <oddHeader>&amp;L&amp;12Levél Községi Önkormányzat&amp;C&amp;"Arial CE,Félkövér"&amp;14ZÁRSZÁMADÁSI RENDELET - 2019. év
&amp;12Előirányzat-felhasználási terv&amp;R&amp;8 13.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5"/>
  <sheetViews>
    <sheetView workbookViewId="0">
      <selection sqref="A1:C3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3" x14ac:dyDescent="0.2">
      <c r="A1" s="1398" t="s">
        <v>498</v>
      </c>
      <c r="B1" s="1399"/>
      <c r="C1" s="1400"/>
    </row>
    <row r="2" spans="1:3" x14ac:dyDescent="0.2">
      <c r="A2" s="1401"/>
      <c r="B2" s="1402"/>
      <c r="C2" s="1403"/>
    </row>
    <row r="3" spans="1:3" ht="13.5" thickBot="1" x14ac:dyDescent="0.25">
      <c r="A3" s="1404"/>
      <c r="B3" s="1405"/>
      <c r="C3" s="1406"/>
    </row>
    <row r="4" spans="1:3" ht="15.75" thickBot="1" x14ac:dyDescent="0.3">
      <c r="A4" s="49" t="s">
        <v>462</v>
      </c>
      <c r="B4" s="49" t="s">
        <v>463</v>
      </c>
      <c r="C4" s="49" t="s">
        <v>765</v>
      </c>
    </row>
    <row r="5" spans="1:3" ht="15" x14ac:dyDescent="0.25">
      <c r="A5" s="50" t="s">
        <v>464</v>
      </c>
      <c r="B5" s="51" t="s">
        <v>444</v>
      </c>
      <c r="C5" s="52">
        <f>SUM(C6:C7)</f>
        <v>504419661</v>
      </c>
    </row>
    <row r="6" spans="1:3" ht="14.25" x14ac:dyDescent="0.2">
      <c r="A6" s="53" t="s">
        <v>465</v>
      </c>
      <c r="B6" s="54" t="s">
        <v>444</v>
      </c>
      <c r="C6" s="55">
        <f>'[1]Bevétel össz. - 3. mell.'!C56</f>
        <v>433793228</v>
      </c>
    </row>
    <row r="7" spans="1:3" ht="15" thickBot="1" x14ac:dyDescent="0.25">
      <c r="A7" s="56" t="s">
        <v>466</v>
      </c>
      <c r="B7" s="57" t="s">
        <v>450</v>
      </c>
      <c r="C7" s="58">
        <f>'[1]Bevétel össz. - 3. mell.'!G56</f>
        <v>70626433</v>
      </c>
    </row>
    <row r="8" spans="1:3" ht="16.5" thickBot="1" x14ac:dyDescent="0.3">
      <c r="A8" s="1407" t="s">
        <v>467</v>
      </c>
      <c r="B8" s="1408"/>
      <c r="C8" s="59">
        <f>SUM(C6:C7)</f>
        <v>504419661</v>
      </c>
    </row>
    <row r="9" spans="1:3" ht="15.75" x14ac:dyDescent="0.25">
      <c r="A9" s="345"/>
      <c r="B9" s="346"/>
      <c r="C9" s="347"/>
    </row>
    <row r="10" spans="1:3" ht="15.75" x14ac:dyDescent="0.25">
      <c r="A10" s="345"/>
      <c r="B10" s="346"/>
      <c r="C10" s="347"/>
    </row>
    <row r="11" spans="1:3" ht="15.75" x14ac:dyDescent="0.25">
      <c r="A11" s="345"/>
      <c r="B11" s="348"/>
      <c r="C11" s="347"/>
    </row>
    <row r="12" spans="1:3" ht="15" x14ac:dyDescent="0.25">
      <c r="A12" s="345"/>
      <c r="B12" s="349"/>
      <c r="C12" s="350"/>
    </row>
    <row r="13" spans="1:3" ht="15" x14ac:dyDescent="0.25">
      <c r="A13" s="349"/>
      <c r="B13" s="351"/>
      <c r="C13" s="347"/>
    </row>
    <row r="14" spans="1:3" ht="14.25" x14ac:dyDescent="0.2">
      <c r="A14" s="345"/>
      <c r="B14" s="345"/>
      <c r="C14" s="347"/>
    </row>
    <row r="15" spans="1:3" ht="14.25" x14ac:dyDescent="0.2">
      <c r="A15" s="345"/>
      <c r="B15" s="345"/>
      <c r="C15" s="347"/>
    </row>
    <row r="16" spans="1:3" ht="14.25" x14ac:dyDescent="0.2">
      <c r="A16" s="345"/>
      <c r="B16" s="345"/>
      <c r="C16" s="347"/>
    </row>
    <row r="17" spans="1:3" ht="14.25" x14ac:dyDescent="0.2">
      <c r="A17" s="345"/>
      <c r="B17" s="345"/>
      <c r="C17" s="347"/>
    </row>
    <row r="18" spans="1:3" ht="14.25" x14ac:dyDescent="0.2">
      <c r="A18" s="345"/>
      <c r="B18" s="345"/>
      <c r="C18" s="347"/>
    </row>
    <row r="19" spans="1:3" ht="14.25" x14ac:dyDescent="0.2">
      <c r="A19" s="345"/>
      <c r="B19" s="345"/>
      <c r="C19" s="347"/>
    </row>
    <row r="20" spans="1:3" ht="14.25" x14ac:dyDescent="0.2">
      <c r="A20" s="345"/>
      <c r="B20" s="345"/>
      <c r="C20" s="347"/>
    </row>
    <row r="21" spans="1:3" ht="14.25" x14ac:dyDescent="0.2">
      <c r="A21" s="345"/>
      <c r="B21" s="345"/>
      <c r="C21" s="347"/>
    </row>
    <row r="22" spans="1:3" ht="14.25" x14ac:dyDescent="0.2">
      <c r="A22" s="345"/>
      <c r="B22" s="345"/>
      <c r="C22" s="347"/>
    </row>
    <row r="23" spans="1:3" ht="14.25" x14ac:dyDescent="0.2">
      <c r="A23" s="345"/>
      <c r="B23" s="345"/>
      <c r="C23" s="347"/>
    </row>
    <row r="24" spans="1:3" ht="14.25" x14ac:dyDescent="0.2">
      <c r="A24" s="345"/>
      <c r="B24" s="345"/>
      <c r="C24" s="347"/>
    </row>
    <row r="25" spans="1:3" ht="14.25" x14ac:dyDescent="0.2">
      <c r="A25" s="345"/>
      <c r="B25" s="345"/>
      <c r="C25" s="347"/>
    </row>
    <row r="26" spans="1:3" ht="14.25" x14ac:dyDescent="0.2">
      <c r="A26" s="345"/>
      <c r="B26" s="345"/>
      <c r="C26" s="347"/>
    </row>
    <row r="27" spans="1:3" ht="15" x14ac:dyDescent="0.25">
      <c r="A27" s="345"/>
      <c r="B27" s="349"/>
      <c r="C27" s="350"/>
    </row>
    <row r="28" spans="1:3" ht="14.25" x14ac:dyDescent="0.2">
      <c r="A28" s="345"/>
      <c r="B28" s="345"/>
      <c r="C28" s="347"/>
    </row>
    <row r="29" spans="1:3" ht="14.25" x14ac:dyDescent="0.2">
      <c r="A29" s="345"/>
      <c r="B29" s="345"/>
      <c r="C29" s="347"/>
    </row>
    <row r="30" spans="1:3" ht="14.25" x14ac:dyDescent="0.2">
      <c r="A30" s="345"/>
      <c r="B30" s="345"/>
      <c r="C30" s="347"/>
    </row>
    <row r="31" spans="1:3" ht="15" x14ac:dyDescent="0.25">
      <c r="A31" s="345"/>
      <c r="B31" s="349"/>
      <c r="C31" s="350"/>
    </row>
    <row r="32" spans="1:3" ht="15" x14ac:dyDescent="0.25">
      <c r="A32" s="345"/>
      <c r="B32" s="345"/>
      <c r="C32" s="350"/>
    </row>
    <row r="33" spans="1:3" ht="15" x14ac:dyDescent="0.25">
      <c r="A33" s="349"/>
      <c r="B33" s="345"/>
      <c r="C33" s="350"/>
    </row>
    <row r="34" spans="1:3" ht="15" x14ac:dyDescent="0.25">
      <c r="A34" s="349"/>
      <c r="B34" s="345"/>
      <c r="C34" s="350"/>
    </row>
    <row r="35" spans="1:3" ht="15.75" x14ac:dyDescent="0.25">
      <c r="A35" s="349"/>
      <c r="C35" s="352"/>
    </row>
  </sheetData>
  <sheetProtection algorithmName="SHA-512" hashValue="pwsslePkqjkcNG9VccajF6KbhuGvghEIR9s75Vu6edg5VU7Pei0kVCMnfEd1vqRwIWtZ5scoMRXBq3ebODsPQw==" saltValue="XHyjzzNQiHSYwj0e7gifEg==" spinCount="100000" sheet="1" formatCells="0" formatColumns="0" formatRows="0" insertColumns="0" insertRows="0" insertHyperlinks="0" deleteColumns="0" deleteRows="0" sort="0" autoFilter="0" pivotTables="0"/>
  <mergeCells count="2">
    <mergeCell ref="A1:C3"/>
    <mergeCell ref="A8:B8"/>
  </mergeCells>
  <printOptions horizontalCentered="1"/>
  <pageMargins left="0.59055118110236227" right="0.59055118110236227" top="1.4173228346456694" bottom="0.74803149606299213" header="0.55118110236220474" footer="0.31496062992125984"/>
  <pageSetup paperSize="9" orientation="portrait" horizontalDpi="120" verticalDpi="72" r:id="rId1"/>
  <headerFooter>
    <oddHeader>&amp;LLevél Községi
Önkormányzat&amp;C&amp;"Arial CE,Félkövér"ZÁRSZÁMADÁSI RENDELET - 2019. év&amp;R&amp;8 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41"/>
  <sheetViews>
    <sheetView workbookViewId="0">
      <selection sqref="A1:E1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1409" t="s">
        <v>766</v>
      </c>
      <c r="B1" s="1409"/>
      <c r="C1" s="1409"/>
      <c r="D1" s="1409"/>
      <c r="E1" s="1409"/>
      <c r="F1" s="32"/>
    </row>
    <row r="2" spans="1:6" x14ac:dyDescent="0.2">
      <c r="A2" s="1409" t="s">
        <v>377</v>
      </c>
      <c r="B2" s="1409"/>
      <c r="C2" s="1409"/>
      <c r="D2" s="1409"/>
      <c r="E2" s="1409"/>
      <c r="F2" s="32"/>
    </row>
    <row r="3" spans="1:6" x14ac:dyDescent="0.2">
      <c r="E3" s="32"/>
      <c r="F3" s="32"/>
    </row>
    <row r="4" spans="1:6" ht="13.5" thickBot="1" x14ac:dyDescent="0.25">
      <c r="F4" s="32"/>
    </row>
    <row r="5" spans="1:6" ht="13.5" thickBot="1" x14ac:dyDescent="0.25">
      <c r="A5" s="353"/>
      <c r="B5" s="354">
        <v>2019</v>
      </c>
      <c r="C5" s="354">
        <v>2020</v>
      </c>
      <c r="D5" s="354">
        <v>2021</v>
      </c>
      <c r="E5" s="354">
        <v>2022</v>
      </c>
    </row>
    <row r="6" spans="1:6" x14ac:dyDescent="0.2">
      <c r="A6" s="33" t="s">
        <v>460</v>
      </c>
      <c r="B6" s="355">
        <v>77625729</v>
      </c>
      <c r="C6" s="355">
        <v>78000000</v>
      </c>
      <c r="D6" s="355">
        <v>79000000</v>
      </c>
      <c r="E6" s="355">
        <v>78500000</v>
      </c>
    </row>
    <row r="7" spans="1:6" ht="13.5" thickBot="1" x14ac:dyDescent="0.25">
      <c r="A7" s="34" t="s">
        <v>88</v>
      </c>
      <c r="B7" s="356">
        <v>13851807</v>
      </c>
      <c r="C7" s="356">
        <v>15000000</v>
      </c>
      <c r="D7" s="356">
        <v>16000000</v>
      </c>
      <c r="E7" s="356">
        <v>17000000</v>
      </c>
    </row>
    <row r="8" spans="1:6" ht="13.5" hidden="1" thickBot="1" x14ac:dyDescent="0.25">
      <c r="A8" s="34" t="s">
        <v>461</v>
      </c>
      <c r="B8" s="356">
        <v>0</v>
      </c>
      <c r="C8" s="356">
        <v>0</v>
      </c>
      <c r="D8" s="356">
        <v>0</v>
      </c>
      <c r="E8" s="356">
        <v>0</v>
      </c>
    </row>
    <row r="9" spans="1:6" ht="13.5" thickBot="1" x14ac:dyDescent="0.25">
      <c r="A9" s="357" t="s">
        <v>378</v>
      </c>
      <c r="B9" s="358">
        <v>91477536</v>
      </c>
      <c r="C9" s="358">
        <v>93000000</v>
      </c>
      <c r="D9" s="358">
        <v>95000000</v>
      </c>
      <c r="E9" s="358">
        <v>95500000</v>
      </c>
    </row>
    <row r="10" spans="1:6" hidden="1" x14ac:dyDescent="0.2">
      <c r="A10" s="34" t="s">
        <v>452</v>
      </c>
      <c r="B10" s="356">
        <v>0</v>
      </c>
      <c r="C10" s="356"/>
      <c r="D10" s="356"/>
      <c r="E10" s="356"/>
    </row>
    <row r="11" spans="1:6" ht="13.5" thickBot="1" x14ac:dyDescent="0.25">
      <c r="A11" s="34" t="s">
        <v>379</v>
      </c>
      <c r="B11" s="356">
        <v>2886600</v>
      </c>
      <c r="C11" s="356">
        <v>2886600</v>
      </c>
      <c r="D11" s="356">
        <v>2886600</v>
      </c>
      <c r="E11" s="356">
        <v>2886600</v>
      </c>
    </row>
    <row r="12" spans="1:6" ht="13.5" hidden="1" thickBot="1" x14ac:dyDescent="0.25">
      <c r="A12" s="35" t="s">
        <v>380</v>
      </c>
      <c r="B12" s="359">
        <v>460000</v>
      </c>
      <c r="C12" s="359"/>
      <c r="D12" s="359"/>
      <c r="E12" s="359"/>
    </row>
    <row r="13" spans="1:6" ht="13.5" thickBot="1" x14ac:dyDescent="0.25">
      <c r="A13" s="357" t="s">
        <v>381</v>
      </c>
      <c r="B13" s="358">
        <v>3346600</v>
      </c>
      <c r="C13" s="358">
        <v>2886600</v>
      </c>
      <c r="D13" s="358">
        <v>2886600</v>
      </c>
      <c r="E13" s="358">
        <v>2886600</v>
      </c>
    </row>
    <row r="14" spans="1:6" x14ac:dyDescent="0.2">
      <c r="A14" s="33" t="s">
        <v>382</v>
      </c>
      <c r="B14" s="355">
        <v>171265000</v>
      </c>
      <c r="C14" s="355">
        <v>195535000</v>
      </c>
      <c r="D14" s="355">
        <v>201715000</v>
      </c>
      <c r="E14" s="355">
        <v>208480000</v>
      </c>
    </row>
    <row r="15" spans="1:6" x14ac:dyDescent="0.2">
      <c r="A15" s="34" t="s">
        <v>459</v>
      </c>
      <c r="B15" s="356">
        <v>2500000</v>
      </c>
      <c r="C15" s="356">
        <v>2600000</v>
      </c>
      <c r="D15" s="356">
        <v>3000000</v>
      </c>
      <c r="E15" s="356">
        <v>3500000</v>
      </c>
    </row>
    <row r="16" spans="1:6" x14ac:dyDescent="0.2">
      <c r="A16" s="34" t="s">
        <v>385</v>
      </c>
      <c r="B16" s="356">
        <v>6500000</v>
      </c>
      <c r="C16" s="356">
        <v>8000000</v>
      </c>
      <c r="D16" s="356">
        <v>8000000</v>
      </c>
      <c r="E16" s="356">
        <v>9000000</v>
      </c>
    </row>
    <row r="17" spans="1:5" x14ac:dyDescent="0.2">
      <c r="A17" s="34" t="s">
        <v>383</v>
      </c>
      <c r="B17" s="356">
        <v>150000000</v>
      </c>
      <c r="C17" s="356">
        <v>170000000</v>
      </c>
      <c r="D17" s="356">
        <v>175000000</v>
      </c>
      <c r="E17" s="356">
        <v>180000000</v>
      </c>
    </row>
    <row r="18" spans="1:5" x14ac:dyDescent="0.2">
      <c r="A18" s="35" t="s">
        <v>457</v>
      </c>
      <c r="B18" s="356">
        <v>4200000</v>
      </c>
      <c r="C18" s="359">
        <v>4200000</v>
      </c>
      <c r="D18" s="359">
        <v>4500000</v>
      </c>
      <c r="E18" s="359">
        <v>4500000</v>
      </c>
    </row>
    <row r="19" spans="1:5" x14ac:dyDescent="0.2">
      <c r="A19" s="35" t="s">
        <v>384</v>
      </c>
      <c r="B19" s="356">
        <v>2000000</v>
      </c>
      <c r="C19" s="359">
        <v>2200000</v>
      </c>
      <c r="D19" s="359">
        <v>2500000</v>
      </c>
      <c r="E19" s="359">
        <v>2200000</v>
      </c>
    </row>
    <row r="20" spans="1:5" x14ac:dyDescent="0.2">
      <c r="A20" s="34" t="s">
        <v>69</v>
      </c>
      <c r="B20" s="356">
        <v>6000000</v>
      </c>
      <c r="C20" s="356">
        <v>8500000</v>
      </c>
      <c r="D20" s="356">
        <v>8500000</v>
      </c>
      <c r="E20" s="356">
        <v>9000000</v>
      </c>
    </row>
    <row r="21" spans="1:5" x14ac:dyDescent="0.2">
      <c r="A21" s="34" t="s">
        <v>386</v>
      </c>
      <c r="B21" s="356">
        <v>50000</v>
      </c>
      <c r="C21" s="356">
        <v>20000</v>
      </c>
      <c r="D21" s="356">
        <v>200000</v>
      </c>
      <c r="E21" s="356">
        <v>200000</v>
      </c>
    </row>
    <row r="22" spans="1:5" ht="13.5" thickBot="1" x14ac:dyDescent="0.25">
      <c r="A22" s="360" t="s">
        <v>482</v>
      </c>
      <c r="B22" s="361">
        <v>15000</v>
      </c>
      <c r="C22" s="361">
        <v>15000</v>
      </c>
      <c r="D22" s="361">
        <v>15000</v>
      </c>
      <c r="E22" s="361">
        <v>80000</v>
      </c>
    </row>
    <row r="23" spans="1:5" ht="13.5" thickBot="1" x14ac:dyDescent="0.25">
      <c r="A23" s="357" t="s">
        <v>387</v>
      </c>
      <c r="B23" s="358">
        <v>171265000</v>
      </c>
      <c r="C23" s="358">
        <v>195535000</v>
      </c>
      <c r="D23" s="358">
        <v>201715000</v>
      </c>
      <c r="E23" s="358">
        <v>208480000</v>
      </c>
    </row>
    <row r="24" spans="1:5" ht="13.5" thickBot="1" x14ac:dyDescent="0.25">
      <c r="A24" s="357" t="s">
        <v>61</v>
      </c>
      <c r="B24" s="358">
        <v>69183233</v>
      </c>
      <c r="C24" s="358">
        <v>70000000</v>
      </c>
      <c r="D24" s="358">
        <v>72000000</v>
      </c>
      <c r="E24" s="358">
        <v>74000000</v>
      </c>
    </row>
    <row r="25" spans="1:5" ht="13.5" thickBot="1" x14ac:dyDescent="0.25">
      <c r="A25" s="357" t="s">
        <v>495</v>
      </c>
      <c r="B25" s="358">
        <v>164147292</v>
      </c>
      <c r="C25" s="358"/>
      <c r="D25" s="358"/>
      <c r="E25" s="358"/>
    </row>
    <row r="26" spans="1:5" ht="13.5" thickBot="1" x14ac:dyDescent="0.25">
      <c r="A26" s="357" t="s">
        <v>764</v>
      </c>
      <c r="B26" s="358">
        <v>5000000</v>
      </c>
      <c r="C26" s="358"/>
      <c r="D26" s="358"/>
      <c r="E26" s="358"/>
    </row>
    <row r="27" spans="1:5" ht="16.5" customHeight="1" thickBot="1" x14ac:dyDescent="0.25">
      <c r="A27" s="362" t="s">
        <v>388</v>
      </c>
      <c r="B27" s="363">
        <v>504419661</v>
      </c>
      <c r="C27" s="363">
        <v>361421600</v>
      </c>
      <c r="D27" s="363">
        <v>371601600</v>
      </c>
      <c r="E27" s="363">
        <v>380866600</v>
      </c>
    </row>
    <row r="28" spans="1:5" ht="13.5" thickBot="1" x14ac:dyDescent="0.25">
      <c r="A28" s="39"/>
      <c r="B28" s="364"/>
      <c r="C28" s="364"/>
      <c r="D28" s="364"/>
      <c r="E28" s="364"/>
    </row>
    <row r="29" spans="1:5" ht="13.5" thickBot="1" x14ac:dyDescent="0.25">
      <c r="A29" s="353" t="s">
        <v>51</v>
      </c>
      <c r="B29" s="354">
        <v>2019</v>
      </c>
      <c r="C29" s="354">
        <v>2020</v>
      </c>
      <c r="D29" s="354">
        <v>2021</v>
      </c>
      <c r="E29" s="354">
        <v>2022</v>
      </c>
    </row>
    <row r="30" spans="1:5" x14ac:dyDescent="0.2">
      <c r="A30" s="365" t="s">
        <v>0</v>
      </c>
      <c r="B30" s="36">
        <v>86983644</v>
      </c>
      <c r="C30" s="36">
        <v>87000000</v>
      </c>
      <c r="D30" s="36">
        <v>89000000</v>
      </c>
      <c r="E30" s="36">
        <v>91000000</v>
      </c>
    </row>
    <row r="31" spans="1:5" x14ac:dyDescent="0.2">
      <c r="A31" s="34" t="s">
        <v>90</v>
      </c>
      <c r="B31" s="37">
        <v>17383608</v>
      </c>
      <c r="C31" s="37">
        <v>18500000</v>
      </c>
      <c r="D31" s="37">
        <v>18500000</v>
      </c>
      <c r="E31" s="37">
        <v>19000000</v>
      </c>
    </row>
    <row r="32" spans="1:5" x14ac:dyDescent="0.2">
      <c r="A32" s="34" t="s">
        <v>389</v>
      </c>
      <c r="B32" s="37">
        <v>79745477</v>
      </c>
      <c r="C32" s="37">
        <v>55000000</v>
      </c>
      <c r="D32" s="37">
        <v>87500000</v>
      </c>
      <c r="E32" s="37">
        <v>83000000</v>
      </c>
    </row>
    <row r="33" spans="1:5" x14ac:dyDescent="0.2">
      <c r="A33" s="38" t="s">
        <v>390</v>
      </c>
      <c r="B33" s="37">
        <v>7000800</v>
      </c>
      <c r="C33" s="37">
        <v>7500000</v>
      </c>
      <c r="D33" s="37">
        <v>7500000</v>
      </c>
      <c r="E33" s="37">
        <v>7650000</v>
      </c>
    </row>
    <row r="34" spans="1:5" x14ac:dyDescent="0.2">
      <c r="A34" s="38" t="s">
        <v>334</v>
      </c>
      <c r="B34" s="37">
        <v>54562855</v>
      </c>
      <c r="C34" s="37">
        <v>55000000</v>
      </c>
      <c r="D34" s="37">
        <v>55000000</v>
      </c>
      <c r="E34" s="37">
        <v>57000000</v>
      </c>
    </row>
    <row r="35" spans="1:5" x14ac:dyDescent="0.2">
      <c r="A35" s="38" t="s">
        <v>46</v>
      </c>
      <c r="B35" s="37">
        <v>52314000</v>
      </c>
      <c r="C35" s="37">
        <v>15421600</v>
      </c>
      <c r="D35" s="37">
        <v>10101600</v>
      </c>
      <c r="E35" s="37">
        <v>3000000</v>
      </c>
    </row>
    <row r="36" spans="1:5" x14ac:dyDescent="0.2">
      <c r="A36" s="38" t="s">
        <v>92</v>
      </c>
      <c r="B36" s="37">
        <v>99077799</v>
      </c>
      <c r="C36" s="37">
        <v>40000000</v>
      </c>
      <c r="D36" s="37">
        <v>20000000</v>
      </c>
      <c r="E36" s="37">
        <v>34716600</v>
      </c>
    </row>
    <row r="37" spans="1:5" x14ac:dyDescent="0.2">
      <c r="A37" s="38" t="s">
        <v>458</v>
      </c>
      <c r="B37" s="37">
        <v>37310978</v>
      </c>
      <c r="C37" s="37">
        <v>20000000</v>
      </c>
      <c r="D37" s="37">
        <v>20000000</v>
      </c>
      <c r="E37" s="37">
        <v>21000000</v>
      </c>
    </row>
    <row r="38" spans="1:5" x14ac:dyDescent="0.2">
      <c r="A38" s="38" t="s">
        <v>476</v>
      </c>
      <c r="B38" s="37">
        <v>332434</v>
      </c>
      <c r="C38" s="37"/>
      <c r="D38" s="37"/>
      <c r="E38" s="37"/>
    </row>
    <row r="39" spans="1:5" x14ac:dyDescent="0.2">
      <c r="A39" s="38" t="s">
        <v>478</v>
      </c>
      <c r="B39" s="37">
        <v>524833</v>
      </c>
      <c r="C39" s="37"/>
      <c r="D39" s="37"/>
      <c r="E39" s="37"/>
    </row>
    <row r="40" spans="1:5" ht="13.5" thickBot="1" x14ac:dyDescent="0.25">
      <c r="A40" s="366" t="s">
        <v>483</v>
      </c>
      <c r="B40" s="367">
        <v>69183233</v>
      </c>
      <c r="C40" s="367">
        <v>63000000</v>
      </c>
      <c r="D40" s="367">
        <v>64000000</v>
      </c>
      <c r="E40" s="367">
        <v>64500000</v>
      </c>
    </row>
    <row r="41" spans="1:5" ht="16.5" customHeight="1" thickBot="1" x14ac:dyDescent="0.25">
      <c r="A41" s="368" t="s">
        <v>391</v>
      </c>
      <c r="B41" s="368">
        <v>504419661</v>
      </c>
      <c r="C41" s="368">
        <v>361421600</v>
      </c>
      <c r="D41" s="368">
        <v>371601600</v>
      </c>
      <c r="E41" s="368">
        <v>380866600</v>
      </c>
    </row>
  </sheetData>
  <sheetProtection algorithmName="SHA-512" hashValue="zBoY+icMrjY0DGRMGpv7te6pD7mOmR9xfx/OEsgnJF7rGAi1winCQM71djHEf93+RDz/RGO/lyhz3ZzxRQqh0A==" saltValue="VOE08N/mZFIsC7Cg5Z79NQ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rintOptions horizontalCentered="1"/>
  <pageMargins left="0.59055118110236227" right="0.59055118110236227" top="1.0236220472440944" bottom="0.74803149606299213" header="0.31496062992125984" footer="0.31496062992125984"/>
  <pageSetup paperSize="9" orientation="portrait" horizontalDpi="120" verticalDpi="72" r:id="rId1"/>
  <headerFooter>
    <oddHeader>&amp;LLevél Községi
Önkormányzat&amp;C&amp;"Arial CE,Félkövér"ZÁRSZÁMADÁSI RENDELET - 2019. év
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"/>
  <sheetViews>
    <sheetView zoomScaleNormal="100" workbookViewId="0">
      <selection sqref="A1:J1"/>
    </sheetView>
  </sheetViews>
  <sheetFormatPr defaultRowHeight="12.75" x14ac:dyDescent="0.2"/>
  <cols>
    <col min="1" max="1" width="39.28515625" bestFit="1" customWidth="1"/>
    <col min="2" max="10" width="12.42578125" bestFit="1" customWidth="1"/>
  </cols>
  <sheetData>
    <row r="1" spans="1:10" x14ac:dyDescent="0.2">
      <c r="A1" s="1409" t="s">
        <v>392</v>
      </c>
      <c r="B1" s="1409"/>
      <c r="C1" s="1409"/>
      <c r="D1" s="1409"/>
      <c r="E1" s="1409"/>
      <c r="F1" s="1409"/>
      <c r="G1" s="1409"/>
      <c r="H1" s="1409"/>
      <c r="I1" s="1409"/>
      <c r="J1" s="1409"/>
    </row>
    <row r="2" spans="1:10" x14ac:dyDescent="0.2">
      <c r="A2" s="1409" t="s">
        <v>489</v>
      </c>
      <c r="B2" s="1409"/>
      <c r="C2" s="1409"/>
      <c r="D2" s="1409"/>
      <c r="E2" s="1409"/>
      <c r="F2" s="1409"/>
      <c r="G2" s="1409"/>
      <c r="H2" s="1409"/>
      <c r="I2" s="1409"/>
      <c r="J2" s="1409"/>
    </row>
    <row r="3" spans="1:10" x14ac:dyDescent="0.2">
      <c r="A3" s="1409" t="s">
        <v>393</v>
      </c>
      <c r="B3" s="1409"/>
      <c r="C3" s="1409"/>
      <c r="D3" s="1409"/>
      <c r="E3" s="1409"/>
      <c r="F3" s="1409"/>
      <c r="G3" s="1409"/>
      <c r="H3" s="1409"/>
      <c r="I3" s="1409"/>
      <c r="J3" s="1409"/>
    </row>
    <row r="4" spans="1:10" x14ac:dyDescent="0.2">
      <c r="A4" s="39"/>
    </row>
    <row r="5" spans="1:10" ht="13.5" thickBot="1" x14ac:dyDescent="0.25">
      <c r="B5" s="32"/>
      <c r="I5" s="1410"/>
      <c r="J5" s="1410"/>
    </row>
    <row r="6" spans="1:10" ht="16.5" thickBot="1" x14ac:dyDescent="0.3">
      <c r="A6" s="1411" t="s">
        <v>71</v>
      </c>
      <c r="B6" s="369">
        <v>2018</v>
      </c>
      <c r="C6" s="370">
        <v>2019</v>
      </c>
      <c r="D6" s="370">
        <v>2020</v>
      </c>
      <c r="E6" s="370">
        <v>2021</v>
      </c>
      <c r="F6" s="370">
        <v>2022</v>
      </c>
      <c r="G6" s="370">
        <v>2023</v>
      </c>
      <c r="H6" s="370">
        <v>2024</v>
      </c>
      <c r="I6" s="370">
        <v>2025</v>
      </c>
      <c r="J6" s="370" t="s">
        <v>490</v>
      </c>
    </row>
    <row r="7" spans="1:10" ht="16.5" thickBot="1" x14ac:dyDescent="0.3">
      <c r="A7" s="1411"/>
      <c r="B7" s="369" t="s">
        <v>394</v>
      </c>
      <c r="C7" s="369" t="s">
        <v>394</v>
      </c>
      <c r="D7" s="369" t="s">
        <v>394</v>
      </c>
      <c r="E7" s="369" t="s">
        <v>394</v>
      </c>
      <c r="F7" s="369" t="s">
        <v>394</v>
      </c>
      <c r="G7" s="369" t="s">
        <v>394</v>
      </c>
      <c r="H7" s="369" t="s">
        <v>394</v>
      </c>
      <c r="I7" s="369" t="s">
        <v>394</v>
      </c>
      <c r="J7" s="369" t="s">
        <v>394</v>
      </c>
    </row>
    <row r="8" spans="1:10" ht="15.75" x14ac:dyDescent="0.25">
      <c r="A8" s="371" t="s">
        <v>382</v>
      </c>
      <c r="B8" s="372">
        <f>[2]Önkormányzat!F116</f>
        <v>171265000</v>
      </c>
      <c r="C8" s="372">
        <v>161415000</v>
      </c>
      <c r="D8" s="372">
        <v>164565000</v>
      </c>
      <c r="E8" s="372">
        <v>174200000</v>
      </c>
      <c r="F8" s="372">
        <v>175000000</v>
      </c>
      <c r="G8" s="372">
        <v>176000000</v>
      </c>
      <c r="H8" s="372">
        <v>177500000</v>
      </c>
      <c r="I8" s="372">
        <v>178000000</v>
      </c>
      <c r="J8" s="372">
        <v>179000000</v>
      </c>
    </row>
    <row r="9" spans="1:10" ht="15.75" x14ac:dyDescent="0.25">
      <c r="A9" s="373" t="s">
        <v>395</v>
      </c>
      <c r="B9" s="374"/>
      <c r="C9" s="374"/>
      <c r="D9" s="374"/>
      <c r="E9" s="374"/>
      <c r="F9" s="374"/>
      <c r="G9" s="374"/>
      <c r="H9" s="374"/>
      <c r="I9" s="374"/>
      <c r="J9" s="374"/>
    </row>
    <row r="10" spans="1:10" ht="15.75" x14ac:dyDescent="0.25">
      <c r="A10" s="373" t="s">
        <v>396</v>
      </c>
      <c r="B10" s="374"/>
      <c r="C10" s="374"/>
      <c r="D10" s="374"/>
      <c r="E10" s="374"/>
      <c r="F10" s="374"/>
      <c r="G10" s="374"/>
      <c r="H10" s="374"/>
      <c r="I10" s="374"/>
      <c r="J10" s="374"/>
    </row>
    <row r="11" spans="1:10" ht="47.25" x14ac:dyDescent="0.25">
      <c r="A11" s="375" t="s">
        <v>397</v>
      </c>
      <c r="B11" s="376">
        <f>[2]Önkormányzat!F127</f>
        <v>460000</v>
      </c>
      <c r="C11" s="376"/>
      <c r="D11" s="376"/>
      <c r="E11" s="376"/>
      <c r="F11" s="376"/>
      <c r="G11" s="376"/>
      <c r="H11" s="376"/>
      <c r="I11" s="376"/>
      <c r="J11" s="374"/>
    </row>
    <row r="12" spans="1:10" ht="37.5" customHeight="1" x14ac:dyDescent="0.25">
      <c r="A12" s="377" t="s">
        <v>398</v>
      </c>
      <c r="B12" s="376"/>
      <c r="C12" s="376"/>
      <c r="D12" s="376"/>
      <c r="E12" s="376"/>
      <c r="F12" s="376"/>
      <c r="G12" s="376"/>
      <c r="H12" s="376"/>
      <c r="I12" s="376"/>
      <c r="J12" s="374"/>
    </row>
    <row r="13" spans="1:10" ht="39" customHeight="1" x14ac:dyDescent="0.25">
      <c r="A13" s="377" t="s">
        <v>399</v>
      </c>
      <c r="B13" s="376"/>
      <c r="C13" s="376"/>
      <c r="D13" s="376"/>
      <c r="E13" s="376"/>
      <c r="F13" s="376"/>
      <c r="G13" s="376"/>
      <c r="H13" s="376"/>
      <c r="I13" s="376"/>
      <c r="J13" s="374"/>
    </row>
    <row r="14" spans="1:10" ht="16.5" thickBot="1" x14ac:dyDescent="0.3">
      <c r="A14" s="40" t="s">
        <v>400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6.5" thickBot="1" x14ac:dyDescent="0.3">
      <c r="A15" s="378" t="s">
        <v>401</v>
      </c>
      <c r="B15" s="379">
        <f>SUM(B8:B14)</f>
        <v>171725000</v>
      </c>
      <c r="C15" s="379">
        <f t="shared" ref="C15:J15" si="0">SUM(C8:C14)</f>
        <v>161415000</v>
      </c>
      <c r="D15" s="379">
        <f t="shared" si="0"/>
        <v>164565000</v>
      </c>
      <c r="E15" s="379">
        <f t="shared" si="0"/>
        <v>174200000</v>
      </c>
      <c r="F15" s="379">
        <f t="shared" si="0"/>
        <v>175000000</v>
      </c>
      <c r="G15" s="379">
        <f t="shared" si="0"/>
        <v>176000000</v>
      </c>
      <c r="H15" s="379">
        <f t="shared" si="0"/>
        <v>177500000</v>
      </c>
      <c r="I15" s="379">
        <f t="shared" si="0"/>
        <v>178000000</v>
      </c>
      <c r="J15" s="379">
        <f t="shared" si="0"/>
        <v>179000000</v>
      </c>
    </row>
    <row r="16" spans="1:10" ht="16.5" thickBot="1" x14ac:dyDescent="0.3">
      <c r="A16" s="378" t="s">
        <v>402</v>
      </c>
      <c r="B16" s="379">
        <f>B15/2</f>
        <v>85862500</v>
      </c>
      <c r="C16" s="379">
        <f t="shared" ref="C16:J16" si="1">C15/2</f>
        <v>80707500</v>
      </c>
      <c r="D16" s="379">
        <f t="shared" si="1"/>
        <v>82282500</v>
      </c>
      <c r="E16" s="379">
        <f t="shared" si="1"/>
        <v>87100000</v>
      </c>
      <c r="F16" s="379">
        <f t="shared" si="1"/>
        <v>87500000</v>
      </c>
      <c r="G16" s="379">
        <f t="shared" si="1"/>
        <v>88000000</v>
      </c>
      <c r="H16" s="379">
        <f t="shared" si="1"/>
        <v>88750000</v>
      </c>
      <c r="I16" s="379">
        <f t="shared" si="1"/>
        <v>89000000</v>
      </c>
      <c r="J16" s="379">
        <f t="shared" si="1"/>
        <v>89500000</v>
      </c>
    </row>
  </sheetData>
  <sheetProtection algorithmName="SHA-512" hashValue="ETh6CR2gvNai2nqLiEaiTSnfbUt/qIWu+3CFCUYtTjZDgKJocNioJG4NsysOPfw5QHVVwDZcDgLQDg7Jn9i0tQ==" saltValue="HTze9ZKc3mOTik6eW+8Utw==" spinCount="100000"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I5:J5"/>
    <mergeCell ref="A6:A7"/>
  </mergeCells>
  <printOptions horizontalCentered="1"/>
  <pageMargins left="0.70866141732283472" right="0.70866141732283472" top="0.95" bottom="0.74803149606299213" header="0.31496062992125984" footer="0.31496062992125984"/>
  <pageSetup paperSize="9" scale="88" orientation="landscape" horizontalDpi="120" verticalDpi="72" r:id="rId1"/>
  <headerFooter>
    <oddHeader>&amp;LLevél Községi Önkormányzat&amp;C&amp;"Arial CE,Félkövér"&amp;12ZÁRSZÁMADÁSI RENDELET - 2019. év&amp;R16.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3E77-8CD7-457B-BFDB-0EA26605EA1C}">
  <sheetPr>
    <tabColor theme="3" tint="0.39997558519241921"/>
    <pageSetUpPr fitToPage="1"/>
  </sheetPr>
  <dimension ref="A1:B11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ColWidth="4.5703125" defaultRowHeight="12.75" x14ac:dyDescent="0.2"/>
  <cols>
    <col min="1" max="1" width="54.85546875" style="1138" bestFit="1" customWidth="1"/>
    <col min="2" max="2" width="12.42578125" style="1138" bestFit="1" customWidth="1"/>
    <col min="3" max="16384" width="4.5703125" style="1138"/>
  </cols>
  <sheetData>
    <row r="1" spans="1:2" ht="25.5" customHeight="1" thickBot="1" x14ac:dyDescent="0.25">
      <c r="A1" s="1412" t="s">
        <v>901</v>
      </c>
      <c r="B1" s="1412"/>
    </row>
    <row r="2" spans="1:2" ht="16.5" thickBot="1" x14ac:dyDescent="0.25">
      <c r="A2" s="1134" t="s">
        <v>71</v>
      </c>
      <c r="B2" s="1134" t="s">
        <v>839</v>
      </c>
    </row>
    <row r="3" spans="1:2" x14ac:dyDescent="0.2">
      <c r="A3" s="1150" t="s">
        <v>840</v>
      </c>
      <c r="B3" s="1151">
        <v>316597179</v>
      </c>
    </row>
    <row r="4" spans="1:2" x14ac:dyDescent="0.2">
      <c r="A4" s="1152" t="s">
        <v>841</v>
      </c>
      <c r="B4" s="1143">
        <v>284139272</v>
      </c>
    </row>
    <row r="5" spans="1:2" x14ac:dyDescent="0.2">
      <c r="A5" s="1153" t="s">
        <v>842</v>
      </c>
      <c r="B5" s="1144">
        <v>32457907</v>
      </c>
    </row>
    <row r="6" spans="1:2" x14ac:dyDescent="0.2">
      <c r="A6" s="1152" t="s">
        <v>843</v>
      </c>
      <c r="B6" s="1143">
        <v>191835519</v>
      </c>
    </row>
    <row r="7" spans="1:2" x14ac:dyDescent="0.2">
      <c r="A7" s="1152" t="s">
        <v>844</v>
      </c>
      <c r="B7" s="1143">
        <v>63845422</v>
      </c>
    </row>
    <row r="8" spans="1:2" x14ac:dyDescent="0.2">
      <c r="A8" s="1153" t="s">
        <v>845</v>
      </c>
      <c r="B8" s="1144">
        <v>127990097</v>
      </c>
    </row>
    <row r="9" spans="1:2" x14ac:dyDescent="0.2">
      <c r="A9" s="1154" t="s">
        <v>846</v>
      </c>
      <c r="B9" s="1145">
        <v>160448004</v>
      </c>
    </row>
    <row r="10" spans="1:2" ht="13.5" thickBot="1" x14ac:dyDescent="0.25">
      <c r="A10" s="1155" t="s">
        <v>847</v>
      </c>
      <c r="B10" s="1146">
        <v>160448004</v>
      </c>
    </row>
    <row r="11" spans="1:2" ht="15.75" thickBot="1" x14ac:dyDescent="0.25">
      <c r="A11" s="1156" t="s">
        <v>848</v>
      </c>
      <c r="B11" s="1147">
        <v>160448004</v>
      </c>
    </row>
  </sheetData>
  <sheetProtection algorithmName="SHA-512" hashValue="8pbCWNZ+BOmqu0pDxoEDHuZqAkrZPqwqKhL4pqQnEZbQYrqgOjfss6m3bOyqRoKyBR03lexmcSqnCOAQVTry0A==" saltValue="7Wr9yi22BTZypiSr4BqWaQ==" spinCount="100000" sheet="1"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74803149606299213" right="0.74803149606299213" top="1.2204724409448819" bottom="0.31496062992125984" header="0.43307086614173229" footer="0.19685039370078741"/>
  <pageSetup orientation="portrait" horizontalDpi="300" verticalDpi="300" r:id="rId1"/>
  <headerFooter alignWithMargins="0">
    <oddHeader xml:space="preserve">&amp;LLevél Községi
Önkormányzat&amp;C&amp;"Arial CE,Félkövér"&amp;12ZÁRSZÁMADÁSI RENDELET - 2019. év&amp;R&amp;9 17. melléklet&amp;10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578C-3624-464C-B773-036F80A7F6FC}">
  <sheetPr>
    <tabColor rgb="FFC00000"/>
    <pageSetUpPr fitToPage="1"/>
  </sheetPr>
  <dimension ref="A1:B10"/>
  <sheetViews>
    <sheetView workbookViewId="0">
      <pane ySplit="2" topLeftCell="A3" activePane="bottomLeft" state="frozen"/>
      <selection activeCell="A2" sqref="A2"/>
      <selection pane="bottomLeft" activeCell="B10" sqref="B10"/>
    </sheetView>
  </sheetViews>
  <sheetFormatPr defaultColWidth="8.85546875" defaultRowHeight="12.75" x14ac:dyDescent="0.2"/>
  <cols>
    <col min="1" max="1" width="62.85546875" style="1133" customWidth="1"/>
    <col min="2" max="2" width="10.7109375" style="1133" bestFit="1" customWidth="1"/>
    <col min="3" max="16384" width="8.85546875" style="1133"/>
  </cols>
  <sheetData>
    <row r="1" spans="1:2" ht="20.25" customHeight="1" thickBot="1" x14ac:dyDescent="0.25">
      <c r="A1" s="1413" t="s">
        <v>902</v>
      </c>
      <c r="B1" s="1413"/>
    </row>
    <row r="2" spans="1:2" ht="16.5" thickBot="1" x14ac:dyDescent="0.25">
      <c r="A2" s="1134" t="s">
        <v>71</v>
      </c>
      <c r="B2" s="1134" t="s">
        <v>839</v>
      </c>
    </row>
    <row r="3" spans="1:2" x14ac:dyDescent="0.2">
      <c r="A3" s="1157" t="s">
        <v>840</v>
      </c>
      <c r="B3" s="1142">
        <v>1750961</v>
      </c>
    </row>
    <row r="4" spans="1:2" x14ac:dyDescent="0.2">
      <c r="A4" s="1152" t="s">
        <v>841</v>
      </c>
      <c r="B4" s="1143">
        <v>64473291</v>
      </c>
    </row>
    <row r="5" spans="1:2" x14ac:dyDescent="0.2">
      <c r="A5" s="1153" t="s">
        <v>842</v>
      </c>
      <c r="B5" s="1144">
        <v>-62722330</v>
      </c>
    </row>
    <row r="6" spans="1:2" x14ac:dyDescent="0.2">
      <c r="A6" s="1152" t="s">
        <v>843</v>
      </c>
      <c r="B6" s="1143">
        <v>63312976</v>
      </c>
    </row>
    <row r="7" spans="1:2" x14ac:dyDescent="0.2">
      <c r="A7" s="1153" t="s">
        <v>845</v>
      </c>
      <c r="B7" s="1144">
        <v>63312976</v>
      </c>
    </row>
    <row r="8" spans="1:2" x14ac:dyDescent="0.2">
      <c r="A8" s="1154" t="s">
        <v>846</v>
      </c>
      <c r="B8" s="1145">
        <v>590646</v>
      </c>
    </row>
    <row r="9" spans="1:2" ht="13.5" thickBot="1" x14ac:dyDescent="0.25">
      <c r="A9" s="1155" t="s">
        <v>847</v>
      </c>
      <c r="B9" s="1146">
        <v>590646</v>
      </c>
    </row>
    <row r="10" spans="1:2" ht="16.5" thickBot="1" x14ac:dyDescent="0.25">
      <c r="A10" s="1158" t="s">
        <v>848</v>
      </c>
      <c r="B10" s="1136">
        <v>590646</v>
      </c>
    </row>
  </sheetData>
  <sheetProtection algorithmName="SHA-512" hashValue="Ec/z2tJ8mqb29YXCW9lG6vpRZSNwzb+zodz75gyjezAMnbG5F69S9E+kkMpgz5U9RuAO8wWRxrSepdSLiM6srA==" saltValue="DIf+3cW5QD+FbvbGY04bQw==" spinCount="100000" sheet="1"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74803149606299213" right="0.74803149606299213" top="1.23" bottom="0.31496062992125984" header="0.42" footer="0.19685039370078741"/>
  <pageSetup orientation="portrait" horizontalDpi="300" verticalDpi="300" r:id="rId1"/>
  <headerFooter alignWithMargins="0">
    <oddHeader xml:space="preserve">&amp;LLevél Községi
Önkormányzat&amp;C&amp;"Arial CE,Félkövér"&amp;12ZÁRSZÁMADÁSI RENDELET - 2019. év&amp;R&amp;9 18. melléklet&amp;10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3477-4D6B-4D11-AE43-60E0DC4E27E2}">
  <sheetPr>
    <tabColor theme="3" tint="0.39997558519241921"/>
    <pageSetUpPr fitToPage="1"/>
  </sheetPr>
  <dimension ref="A1:D69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2.75" x14ac:dyDescent="0.2"/>
  <cols>
    <col min="1" max="1" width="64.140625" style="1138" bestFit="1" customWidth="1"/>
    <col min="2" max="2" width="16.85546875" style="1138" bestFit="1" customWidth="1"/>
    <col min="3" max="3" width="20.140625" style="1138" bestFit="1" customWidth="1"/>
    <col min="4" max="4" width="17.5703125" style="1138" bestFit="1" customWidth="1"/>
    <col min="5" max="255" width="9.140625" style="1138"/>
    <col min="256" max="256" width="8.140625" style="1138" customWidth="1"/>
    <col min="257" max="257" width="41" style="1138" customWidth="1"/>
    <col min="258" max="260" width="32.85546875" style="1138" customWidth="1"/>
    <col min="261" max="511" width="9.140625" style="1138"/>
    <col min="512" max="512" width="8.140625" style="1138" customWidth="1"/>
    <col min="513" max="513" width="41" style="1138" customWidth="1"/>
    <col min="514" max="516" width="32.85546875" style="1138" customWidth="1"/>
    <col min="517" max="767" width="9.140625" style="1138"/>
    <col min="768" max="768" width="8.140625" style="1138" customWidth="1"/>
    <col min="769" max="769" width="41" style="1138" customWidth="1"/>
    <col min="770" max="772" width="32.85546875" style="1138" customWidth="1"/>
    <col min="773" max="1023" width="9.140625" style="1138"/>
    <col min="1024" max="1024" width="8.140625" style="1138" customWidth="1"/>
    <col min="1025" max="1025" width="41" style="1138" customWidth="1"/>
    <col min="1026" max="1028" width="32.85546875" style="1138" customWidth="1"/>
    <col min="1029" max="1279" width="9.140625" style="1138"/>
    <col min="1280" max="1280" width="8.140625" style="1138" customWidth="1"/>
    <col min="1281" max="1281" width="41" style="1138" customWidth="1"/>
    <col min="1282" max="1284" width="32.85546875" style="1138" customWidth="1"/>
    <col min="1285" max="1535" width="9.140625" style="1138"/>
    <col min="1536" max="1536" width="8.140625" style="1138" customWidth="1"/>
    <col min="1537" max="1537" width="41" style="1138" customWidth="1"/>
    <col min="1538" max="1540" width="32.85546875" style="1138" customWidth="1"/>
    <col min="1541" max="1791" width="9.140625" style="1138"/>
    <col min="1792" max="1792" width="8.140625" style="1138" customWidth="1"/>
    <col min="1793" max="1793" width="41" style="1138" customWidth="1"/>
    <col min="1794" max="1796" width="32.85546875" style="1138" customWidth="1"/>
    <col min="1797" max="2047" width="9.140625" style="1138"/>
    <col min="2048" max="2048" width="8.140625" style="1138" customWidth="1"/>
    <col min="2049" max="2049" width="41" style="1138" customWidth="1"/>
    <col min="2050" max="2052" width="32.85546875" style="1138" customWidth="1"/>
    <col min="2053" max="2303" width="9.140625" style="1138"/>
    <col min="2304" max="2304" width="8.140625" style="1138" customWidth="1"/>
    <col min="2305" max="2305" width="41" style="1138" customWidth="1"/>
    <col min="2306" max="2308" width="32.85546875" style="1138" customWidth="1"/>
    <col min="2309" max="2559" width="9.140625" style="1138"/>
    <col min="2560" max="2560" width="8.140625" style="1138" customWidth="1"/>
    <col min="2561" max="2561" width="41" style="1138" customWidth="1"/>
    <col min="2562" max="2564" width="32.85546875" style="1138" customWidth="1"/>
    <col min="2565" max="2815" width="9.140625" style="1138"/>
    <col min="2816" max="2816" width="8.140625" style="1138" customWidth="1"/>
    <col min="2817" max="2817" width="41" style="1138" customWidth="1"/>
    <col min="2818" max="2820" width="32.85546875" style="1138" customWidth="1"/>
    <col min="2821" max="3071" width="9.140625" style="1138"/>
    <col min="3072" max="3072" width="8.140625" style="1138" customWidth="1"/>
    <col min="3073" max="3073" width="41" style="1138" customWidth="1"/>
    <col min="3074" max="3076" width="32.85546875" style="1138" customWidth="1"/>
    <col min="3077" max="3327" width="9.140625" style="1138"/>
    <col min="3328" max="3328" width="8.140625" style="1138" customWidth="1"/>
    <col min="3329" max="3329" width="41" style="1138" customWidth="1"/>
    <col min="3330" max="3332" width="32.85546875" style="1138" customWidth="1"/>
    <col min="3333" max="3583" width="9.140625" style="1138"/>
    <col min="3584" max="3584" width="8.140625" style="1138" customWidth="1"/>
    <col min="3585" max="3585" width="41" style="1138" customWidth="1"/>
    <col min="3586" max="3588" width="32.85546875" style="1138" customWidth="1"/>
    <col min="3589" max="3839" width="9.140625" style="1138"/>
    <col min="3840" max="3840" width="8.140625" style="1138" customWidth="1"/>
    <col min="3841" max="3841" width="41" style="1138" customWidth="1"/>
    <col min="3842" max="3844" width="32.85546875" style="1138" customWidth="1"/>
    <col min="3845" max="4095" width="9.140625" style="1138"/>
    <col min="4096" max="4096" width="8.140625" style="1138" customWidth="1"/>
    <col min="4097" max="4097" width="41" style="1138" customWidth="1"/>
    <col min="4098" max="4100" width="32.85546875" style="1138" customWidth="1"/>
    <col min="4101" max="4351" width="9.140625" style="1138"/>
    <col min="4352" max="4352" width="8.140625" style="1138" customWidth="1"/>
    <col min="4353" max="4353" width="41" style="1138" customWidth="1"/>
    <col min="4354" max="4356" width="32.85546875" style="1138" customWidth="1"/>
    <col min="4357" max="4607" width="9.140625" style="1138"/>
    <col min="4608" max="4608" width="8.140625" style="1138" customWidth="1"/>
    <col min="4609" max="4609" width="41" style="1138" customWidth="1"/>
    <col min="4610" max="4612" width="32.85546875" style="1138" customWidth="1"/>
    <col min="4613" max="4863" width="9.140625" style="1138"/>
    <col min="4864" max="4864" width="8.140625" style="1138" customWidth="1"/>
    <col min="4865" max="4865" width="41" style="1138" customWidth="1"/>
    <col min="4866" max="4868" width="32.85546875" style="1138" customWidth="1"/>
    <col min="4869" max="5119" width="9.140625" style="1138"/>
    <col min="5120" max="5120" width="8.140625" style="1138" customWidth="1"/>
    <col min="5121" max="5121" width="41" style="1138" customWidth="1"/>
    <col min="5122" max="5124" width="32.85546875" style="1138" customWidth="1"/>
    <col min="5125" max="5375" width="9.140625" style="1138"/>
    <col min="5376" max="5376" width="8.140625" style="1138" customWidth="1"/>
    <col min="5377" max="5377" width="41" style="1138" customWidth="1"/>
    <col min="5378" max="5380" width="32.85546875" style="1138" customWidth="1"/>
    <col min="5381" max="5631" width="9.140625" style="1138"/>
    <col min="5632" max="5632" width="8.140625" style="1138" customWidth="1"/>
    <col min="5633" max="5633" width="41" style="1138" customWidth="1"/>
    <col min="5634" max="5636" width="32.85546875" style="1138" customWidth="1"/>
    <col min="5637" max="5887" width="9.140625" style="1138"/>
    <col min="5888" max="5888" width="8.140625" style="1138" customWidth="1"/>
    <col min="5889" max="5889" width="41" style="1138" customWidth="1"/>
    <col min="5890" max="5892" width="32.85546875" style="1138" customWidth="1"/>
    <col min="5893" max="6143" width="9.140625" style="1138"/>
    <col min="6144" max="6144" width="8.140625" style="1138" customWidth="1"/>
    <col min="6145" max="6145" width="41" style="1138" customWidth="1"/>
    <col min="6146" max="6148" width="32.85546875" style="1138" customWidth="1"/>
    <col min="6149" max="6399" width="9.140625" style="1138"/>
    <col min="6400" max="6400" width="8.140625" style="1138" customWidth="1"/>
    <col min="6401" max="6401" width="41" style="1138" customWidth="1"/>
    <col min="6402" max="6404" width="32.85546875" style="1138" customWidth="1"/>
    <col min="6405" max="6655" width="9.140625" style="1138"/>
    <col min="6656" max="6656" width="8.140625" style="1138" customWidth="1"/>
    <col min="6657" max="6657" width="41" style="1138" customWidth="1"/>
    <col min="6658" max="6660" width="32.85546875" style="1138" customWidth="1"/>
    <col min="6661" max="6911" width="9.140625" style="1138"/>
    <col min="6912" max="6912" width="8.140625" style="1138" customWidth="1"/>
    <col min="6913" max="6913" width="41" style="1138" customWidth="1"/>
    <col min="6914" max="6916" width="32.85546875" style="1138" customWidth="1"/>
    <col min="6917" max="7167" width="9.140625" style="1138"/>
    <col min="7168" max="7168" width="8.140625" style="1138" customWidth="1"/>
    <col min="7169" max="7169" width="41" style="1138" customWidth="1"/>
    <col min="7170" max="7172" width="32.85546875" style="1138" customWidth="1"/>
    <col min="7173" max="7423" width="9.140625" style="1138"/>
    <col min="7424" max="7424" width="8.140625" style="1138" customWidth="1"/>
    <col min="7425" max="7425" width="41" style="1138" customWidth="1"/>
    <col min="7426" max="7428" width="32.85546875" style="1138" customWidth="1"/>
    <col min="7429" max="7679" width="9.140625" style="1138"/>
    <col min="7680" max="7680" width="8.140625" style="1138" customWidth="1"/>
    <col min="7681" max="7681" width="41" style="1138" customWidth="1"/>
    <col min="7682" max="7684" width="32.85546875" style="1138" customWidth="1"/>
    <col min="7685" max="7935" width="9.140625" style="1138"/>
    <col min="7936" max="7936" width="8.140625" style="1138" customWidth="1"/>
    <col min="7937" max="7937" width="41" style="1138" customWidth="1"/>
    <col min="7938" max="7940" width="32.85546875" style="1138" customWidth="1"/>
    <col min="7941" max="8191" width="9.140625" style="1138"/>
    <col min="8192" max="8192" width="8.140625" style="1138" customWidth="1"/>
    <col min="8193" max="8193" width="41" style="1138" customWidth="1"/>
    <col min="8194" max="8196" width="32.85546875" style="1138" customWidth="1"/>
    <col min="8197" max="8447" width="9.140625" style="1138"/>
    <col min="8448" max="8448" width="8.140625" style="1138" customWidth="1"/>
    <col min="8449" max="8449" width="41" style="1138" customWidth="1"/>
    <col min="8450" max="8452" width="32.85546875" style="1138" customWidth="1"/>
    <col min="8453" max="8703" width="9.140625" style="1138"/>
    <col min="8704" max="8704" width="8.140625" style="1138" customWidth="1"/>
    <col min="8705" max="8705" width="41" style="1138" customWidth="1"/>
    <col min="8706" max="8708" width="32.85546875" style="1138" customWidth="1"/>
    <col min="8709" max="8959" width="9.140625" style="1138"/>
    <col min="8960" max="8960" width="8.140625" style="1138" customWidth="1"/>
    <col min="8961" max="8961" width="41" style="1138" customWidth="1"/>
    <col min="8962" max="8964" width="32.85546875" style="1138" customWidth="1"/>
    <col min="8965" max="9215" width="9.140625" style="1138"/>
    <col min="9216" max="9216" width="8.140625" style="1138" customWidth="1"/>
    <col min="9217" max="9217" width="41" style="1138" customWidth="1"/>
    <col min="9218" max="9220" width="32.85546875" style="1138" customWidth="1"/>
    <col min="9221" max="9471" width="9.140625" style="1138"/>
    <col min="9472" max="9472" width="8.140625" style="1138" customWidth="1"/>
    <col min="9473" max="9473" width="41" style="1138" customWidth="1"/>
    <col min="9474" max="9476" width="32.85546875" style="1138" customWidth="1"/>
    <col min="9477" max="9727" width="9.140625" style="1138"/>
    <col min="9728" max="9728" width="8.140625" style="1138" customWidth="1"/>
    <col min="9729" max="9729" width="41" style="1138" customWidth="1"/>
    <col min="9730" max="9732" width="32.85546875" style="1138" customWidth="1"/>
    <col min="9733" max="9983" width="9.140625" style="1138"/>
    <col min="9984" max="9984" width="8.140625" style="1138" customWidth="1"/>
    <col min="9985" max="9985" width="41" style="1138" customWidth="1"/>
    <col min="9986" max="9988" width="32.85546875" style="1138" customWidth="1"/>
    <col min="9989" max="10239" width="9.140625" style="1138"/>
    <col min="10240" max="10240" width="8.140625" style="1138" customWidth="1"/>
    <col min="10241" max="10241" width="41" style="1138" customWidth="1"/>
    <col min="10242" max="10244" width="32.85546875" style="1138" customWidth="1"/>
    <col min="10245" max="10495" width="9.140625" style="1138"/>
    <col min="10496" max="10496" width="8.140625" style="1138" customWidth="1"/>
    <col min="10497" max="10497" width="41" style="1138" customWidth="1"/>
    <col min="10498" max="10500" width="32.85546875" style="1138" customWidth="1"/>
    <col min="10501" max="10751" width="9.140625" style="1138"/>
    <col min="10752" max="10752" width="8.140625" style="1138" customWidth="1"/>
    <col min="10753" max="10753" width="41" style="1138" customWidth="1"/>
    <col min="10754" max="10756" width="32.85546875" style="1138" customWidth="1"/>
    <col min="10757" max="11007" width="9.140625" style="1138"/>
    <col min="11008" max="11008" width="8.140625" style="1138" customWidth="1"/>
    <col min="11009" max="11009" width="41" style="1138" customWidth="1"/>
    <col min="11010" max="11012" width="32.85546875" style="1138" customWidth="1"/>
    <col min="11013" max="11263" width="9.140625" style="1138"/>
    <col min="11264" max="11264" width="8.140625" style="1138" customWidth="1"/>
    <col min="11265" max="11265" width="41" style="1138" customWidth="1"/>
    <col min="11266" max="11268" width="32.85546875" style="1138" customWidth="1"/>
    <col min="11269" max="11519" width="9.140625" style="1138"/>
    <col min="11520" max="11520" width="8.140625" style="1138" customWidth="1"/>
    <col min="11521" max="11521" width="41" style="1138" customWidth="1"/>
    <col min="11522" max="11524" width="32.85546875" style="1138" customWidth="1"/>
    <col min="11525" max="11775" width="9.140625" style="1138"/>
    <col min="11776" max="11776" width="8.140625" style="1138" customWidth="1"/>
    <col min="11777" max="11777" width="41" style="1138" customWidth="1"/>
    <col min="11778" max="11780" width="32.85546875" style="1138" customWidth="1"/>
    <col min="11781" max="12031" width="9.140625" style="1138"/>
    <col min="12032" max="12032" width="8.140625" style="1138" customWidth="1"/>
    <col min="12033" max="12033" width="41" style="1138" customWidth="1"/>
    <col min="12034" max="12036" width="32.85546875" style="1138" customWidth="1"/>
    <col min="12037" max="12287" width="9.140625" style="1138"/>
    <col min="12288" max="12288" width="8.140625" style="1138" customWidth="1"/>
    <col min="12289" max="12289" width="41" style="1138" customWidth="1"/>
    <col min="12290" max="12292" width="32.85546875" style="1138" customWidth="1"/>
    <col min="12293" max="12543" width="9.140625" style="1138"/>
    <col min="12544" max="12544" width="8.140625" style="1138" customWidth="1"/>
    <col min="12545" max="12545" width="41" style="1138" customWidth="1"/>
    <col min="12546" max="12548" width="32.85546875" style="1138" customWidth="1"/>
    <col min="12549" max="12799" width="9.140625" style="1138"/>
    <col min="12800" max="12800" width="8.140625" style="1138" customWidth="1"/>
    <col min="12801" max="12801" width="41" style="1138" customWidth="1"/>
    <col min="12802" max="12804" width="32.85546875" style="1138" customWidth="1"/>
    <col min="12805" max="13055" width="9.140625" style="1138"/>
    <col min="13056" max="13056" width="8.140625" style="1138" customWidth="1"/>
    <col min="13057" max="13057" width="41" style="1138" customWidth="1"/>
    <col min="13058" max="13060" width="32.85546875" style="1138" customWidth="1"/>
    <col min="13061" max="13311" width="9.140625" style="1138"/>
    <col min="13312" max="13312" width="8.140625" style="1138" customWidth="1"/>
    <col min="13313" max="13313" width="41" style="1138" customWidth="1"/>
    <col min="13314" max="13316" width="32.85546875" style="1138" customWidth="1"/>
    <col min="13317" max="13567" width="9.140625" style="1138"/>
    <col min="13568" max="13568" width="8.140625" style="1138" customWidth="1"/>
    <col min="13569" max="13569" width="41" style="1138" customWidth="1"/>
    <col min="13570" max="13572" width="32.85546875" style="1138" customWidth="1"/>
    <col min="13573" max="13823" width="9.140625" style="1138"/>
    <col min="13824" max="13824" width="8.140625" style="1138" customWidth="1"/>
    <col min="13825" max="13825" width="41" style="1138" customWidth="1"/>
    <col min="13826" max="13828" width="32.85546875" style="1138" customWidth="1"/>
    <col min="13829" max="14079" width="9.140625" style="1138"/>
    <col min="14080" max="14080" width="8.140625" style="1138" customWidth="1"/>
    <col min="14081" max="14081" width="41" style="1138" customWidth="1"/>
    <col min="14082" max="14084" width="32.85546875" style="1138" customWidth="1"/>
    <col min="14085" max="14335" width="9.140625" style="1138"/>
    <col min="14336" max="14336" width="8.140625" style="1138" customWidth="1"/>
    <col min="14337" max="14337" width="41" style="1138" customWidth="1"/>
    <col min="14338" max="14340" width="32.85546875" style="1138" customWidth="1"/>
    <col min="14341" max="14591" width="9.140625" style="1138"/>
    <col min="14592" max="14592" width="8.140625" style="1138" customWidth="1"/>
    <col min="14593" max="14593" width="41" style="1138" customWidth="1"/>
    <col min="14594" max="14596" width="32.85546875" style="1138" customWidth="1"/>
    <col min="14597" max="14847" width="9.140625" style="1138"/>
    <col min="14848" max="14848" width="8.140625" style="1138" customWidth="1"/>
    <col min="14849" max="14849" width="41" style="1138" customWidth="1"/>
    <col min="14850" max="14852" width="32.85546875" style="1138" customWidth="1"/>
    <col min="14853" max="15103" width="9.140625" style="1138"/>
    <col min="15104" max="15104" width="8.140625" style="1138" customWidth="1"/>
    <col min="15105" max="15105" width="41" style="1138" customWidth="1"/>
    <col min="15106" max="15108" width="32.85546875" style="1138" customWidth="1"/>
    <col min="15109" max="15359" width="9.140625" style="1138"/>
    <col min="15360" max="15360" width="8.140625" style="1138" customWidth="1"/>
    <col min="15361" max="15361" width="41" style="1138" customWidth="1"/>
    <col min="15362" max="15364" width="32.85546875" style="1138" customWidth="1"/>
    <col min="15365" max="15615" width="9.140625" style="1138"/>
    <col min="15616" max="15616" width="8.140625" style="1138" customWidth="1"/>
    <col min="15617" max="15617" width="41" style="1138" customWidth="1"/>
    <col min="15618" max="15620" width="32.85546875" style="1138" customWidth="1"/>
    <col min="15621" max="15871" width="9.140625" style="1138"/>
    <col min="15872" max="15872" width="8.140625" style="1138" customWidth="1"/>
    <col min="15873" max="15873" width="41" style="1138" customWidth="1"/>
    <col min="15874" max="15876" width="32.85546875" style="1138" customWidth="1"/>
    <col min="15877" max="16127" width="9.140625" style="1138"/>
    <col min="16128" max="16128" width="8.140625" style="1138" customWidth="1"/>
    <col min="16129" max="16129" width="41" style="1138" customWidth="1"/>
    <col min="16130" max="16132" width="32.85546875" style="1138" customWidth="1"/>
    <col min="16133" max="16384" width="9.140625" style="1138"/>
  </cols>
  <sheetData>
    <row r="1" spans="1:4" ht="18.75" thickBot="1" x14ac:dyDescent="0.25">
      <c r="A1" s="1413" t="s">
        <v>903</v>
      </c>
      <c r="B1" s="1413"/>
      <c r="C1" s="1413"/>
      <c r="D1" s="1413"/>
    </row>
    <row r="2" spans="1:4" ht="16.5" thickBot="1" x14ac:dyDescent="0.25">
      <c r="A2" s="1134" t="s">
        <v>71</v>
      </c>
      <c r="B2" s="1134" t="s">
        <v>849</v>
      </c>
      <c r="C2" s="1134" t="s">
        <v>850</v>
      </c>
      <c r="D2" s="1134" t="s">
        <v>851</v>
      </c>
    </row>
    <row r="3" spans="1:4" x14ac:dyDescent="0.2">
      <c r="A3" s="1159" t="s">
        <v>860</v>
      </c>
      <c r="B3" s="1139">
        <v>2224874</v>
      </c>
      <c r="C3" s="1139">
        <v>0</v>
      </c>
      <c r="D3" s="1160">
        <v>383121</v>
      </c>
    </row>
    <row r="4" spans="1:4" x14ac:dyDescent="0.2">
      <c r="A4" s="1171" t="s">
        <v>790</v>
      </c>
      <c r="B4" s="1172">
        <v>2224874</v>
      </c>
      <c r="C4" s="1172">
        <v>0</v>
      </c>
      <c r="D4" s="1173">
        <v>383121</v>
      </c>
    </row>
    <row r="5" spans="1:4" x14ac:dyDescent="0.2">
      <c r="A5" s="1161" t="s">
        <v>861</v>
      </c>
      <c r="B5" s="1137">
        <v>992066566</v>
      </c>
      <c r="C5" s="1137">
        <v>0</v>
      </c>
      <c r="D5" s="1162">
        <v>1307838892</v>
      </c>
    </row>
    <row r="6" spans="1:4" x14ac:dyDescent="0.2">
      <c r="A6" s="1161" t="s">
        <v>862</v>
      </c>
      <c r="B6" s="1137">
        <v>15283668</v>
      </c>
      <c r="C6" s="1137">
        <v>0</v>
      </c>
      <c r="D6" s="1162">
        <v>15485351</v>
      </c>
    </row>
    <row r="7" spans="1:4" x14ac:dyDescent="0.2">
      <c r="A7" s="1161" t="s">
        <v>863</v>
      </c>
      <c r="B7" s="1137">
        <v>48821744</v>
      </c>
      <c r="C7" s="1137">
        <v>0</v>
      </c>
      <c r="D7" s="1162">
        <v>770363</v>
      </c>
    </row>
    <row r="8" spans="1:4" x14ac:dyDescent="0.2">
      <c r="A8" s="1171" t="s">
        <v>791</v>
      </c>
      <c r="B8" s="1172">
        <v>1056171978</v>
      </c>
      <c r="C8" s="1172">
        <v>0</v>
      </c>
      <c r="D8" s="1173">
        <v>1324094606</v>
      </c>
    </row>
    <row r="9" spans="1:4" x14ac:dyDescent="0.2">
      <c r="A9" s="1161" t="s">
        <v>864</v>
      </c>
      <c r="B9" s="1137">
        <v>5780000</v>
      </c>
      <c r="C9" s="1137">
        <v>0</v>
      </c>
      <c r="D9" s="1162">
        <v>5780000</v>
      </c>
    </row>
    <row r="10" spans="1:4" x14ac:dyDescent="0.2">
      <c r="A10" s="1161" t="s">
        <v>865</v>
      </c>
      <c r="B10" s="1137">
        <v>5780000</v>
      </c>
      <c r="C10" s="1137">
        <v>0</v>
      </c>
      <c r="D10" s="1162">
        <v>5780000</v>
      </c>
    </row>
    <row r="11" spans="1:4" x14ac:dyDescent="0.2">
      <c r="A11" s="1161" t="s">
        <v>866</v>
      </c>
      <c r="B11" s="1137">
        <v>5000000</v>
      </c>
      <c r="C11" s="1137">
        <v>0</v>
      </c>
      <c r="D11" s="1162">
        <v>5000000</v>
      </c>
    </row>
    <row r="12" spans="1:4" x14ac:dyDescent="0.2">
      <c r="A12" s="1161" t="s">
        <v>867</v>
      </c>
      <c r="B12" s="1137">
        <v>5000000</v>
      </c>
      <c r="C12" s="1137">
        <v>0</v>
      </c>
      <c r="D12" s="1162">
        <v>5000000</v>
      </c>
    </row>
    <row r="13" spans="1:4" x14ac:dyDescent="0.2">
      <c r="A13" s="1171" t="s">
        <v>792</v>
      </c>
      <c r="B13" s="1172">
        <v>10780000</v>
      </c>
      <c r="C13" s="1172">
        <v>0</v>
      </c>
      <c r="D13" s="1173">
        <v>10780000</v>
      </c>
    </row>
    <row r="14" spans="1:4" ht="25.5" x14ac:dyDescent="0.2">
      <c r="A14" s="1161" t="s">
        <v>868</v>
      </c>
      <c r="B14" s="1137">
        <v>80314351</v>
      </c>
      <c r="C14" s="1137">
        <v>0</v>
      </c>
      <c r="D14" s="1162">
        <v>233959373</v>
      </c>
    </row>
    <row r="15" spans="1:4" x14ac:dyDescent="0.2">
      <c r="A15" s="1161" t="s">
        <v>869</v>
      </c>
      <c r="B15" s="1137">
        <v>80314351</v>
      </c>
      <c r="C15" s="1137">
        <v>0</v>
      </c>
      <c r="D15" s="1162">
        <v>233959373</v>
      </c>
    </row>
    <row r="16" spans="1:4" ht="25.5" x14ac:dyDescent="0.2">
      <c r="A16" s="1174" t="s">
        <v>793</v>
      </c>
      <c r="B16" s="1175">
        <v>80314351</v>
      </c>
      <c r="C16" s="1175">
        <v>0</v>
      </c>
      <c r="D16" s="1176">
        <v>233959373</v>
      </c>
    </row>
    <row r="17" spans="1:4" ht="30" x14ac:dyDescent="0.2">
      <c r="A17" s="1183" t="s">
        <v>794</v>
      </c>
      <c r="B17" s="1184">
        <v>1149491203</v>
      </c>
      <c r="C17" s="1184">
        <v>0</v>
      </c>
      <c r="D17" s="1185">
        <v>1569217100</v>
      </c>
    </row>
    <row r="18" spans="1:4" x14ac:dyDescent="0.2">
      <c r="A18" s="1177" t="s">
        <v>870</v>
      </c>
      <c r="B18" s="1178">
        <v>192230</v>
      </c>
      <c r="C18" s="1178">
        <v>0</v>
      </c>
      <c r="D18" s="1179">
        <v>111765</v>
      </c>
    </row>
    <row r="19" spans="1:4" x14ac:dyDescent="0.2">
      <c r="A19" s="1171" t="s">
        <v>795</v>
      </c>
      <c r="B19" s="1172">
        <v>192230</v>
      </c>
      <c r="C19" s="1172">
        <v>0</v>
      </c>
      <c r="D19" s="1173">
        <v>111765</v>
      </c>
    </row>
    <row r="20" spans="1:4" x14ac:dyDescent="0.2">
      <c r="A20" s="1161" t="s">
        <v>852</v>
      </c>
      <c r="B20" s="1137">
        <v>164330888</v>
      </c>
      <c r="C20" s="1137">
        <v>0</v>
      </c>
      <c r="D20" s="1162">
        <v>135966570</v>
      </c>
    </row>
    <row r="21" spans="1:4" x14ac:dyDescent="0.2">
      <c r="A21" s="1174" t="s">
        <v>853</v>
      </c>
      <c r="B21" s="1175">
        <v>164330888</v>
      </c>
      <c r="C21" s="1175">
        <v>0</v>
      </c>
      <c r="D21" s="1176">
        <v>135966570</v>
      </c>
    </row>
    <row r="22" spans="1:4" ht="15" x14ac:dyDescent="0.2">
      <c r="A22" s="1183" t="s">
        <v>797</v>
      </c>
      <c r="B22" s="1184">
        <v>164523118</v>
      </c>
      <c r="C22" s="1184">
        <v>0</v>
      </c>
      <c r="D22" s="1185">
        <v>136078335</v>
      </c>
    </row>
    <row r="23" spans="1:4" ht="25.5" x14ac:dyDescent="0.2">
      <c r="A23" s="1177" t="s">
        <v>871</v>
      </c>
      <c r="B23" s="1178">
        <v>2864221</v>
      </c>
      <c r="C23" s="1178">
        <v>0</v>
      </c>
      <c r="D23" s="1179">
        <v>2203006</v>
      </c>
    </row>
    <row r="24" spans="1:4" ht="25.5" x14ac:dyDescent="0.2">
      <c r="A24" s="1161" t="s">
        <v>872</v>
      </c>
      <c r="B24" s="1137">
        <v>928921</v>
      </c>
      <c r="C24" s="1137">
        <v>0</v>
      </c>
      <c r="D24" s="1162">
        <v>1034459</v>
      </c>
    </row>
    <row r="25" spans="1:4" ht="25.5" x14ac:dyDescent="0.2">
      <c r="A25" s="1161" t="s">
        <v>873</v>
      </c>
      <c r="B25" s="1137">
        <v>1599648</v>
      </c>
      <c r="C25" s="1137">
        <v>0</v>
      </c>
      <c r="D25" s="1162">
        <v>964969</v>
      </c>
    </row>
    <row r="26" spans="1:4" ht="25.5" x14ac:dyDescent="0.2">
      <c r="A26" s="1161" t="s">
        <v>874</v>
      </c>
      <c r="B26" s="1137">
        <v>335652</v>
      </c>
      <c r="C26" s="1137">
        <v>0</v>
      </c>
      <c r="D26" s="1162">
        <v>203578</v>
      </c>
    </row>
    <row r="27" spans="1:4" ht="25.5" x14ac:dyDescent="0.2">
      <c r="A27" s="1161" t="s">
        <v>854</v>
      </c>
      <c r="B27" s="1137">
        <v>958807</v>
      </c>
      <c r="C27" s="1137">
        <v>0</v>
      </c>
      <c r="D27" s="1162">
        <v>1342524</v>
      </c>
    </row>
    <row r="28" spans="1:4" ht="38.25" x14ac:dyDescent="0.2">
      <c r="A28" s="1161" t="s">
        <v>875</v>
      </c>
      <c r="B28" s="1137">
        <v>655607</v>
      </c>
      <c r="C28" s="1137">
        <v>0</v>
      </c>
      <c r="D28" s="1162">
        <v>996951</v>
      </c>
    </row>
    <row r="29" spans="1:4" x14ac:dyDescent="0.2">
      <c r="A29" s="1161" t="s">
        <v>855</v>
      </c>
      <c r="B29" s="1137">
        <v>99365</v>
      </c>
      <c r="C29" s="1137">
        <v>0</v>
      </c>
      <c r="D29" s="1162">
        <v>108202</v>
      </c>
    </row>
    <row r="30" spans="1:4" ht="25.5" x14ac:dyDescent="0.2">
      <c r="A30" s="1161" t="s">
        <v>876</v>
      </c>
      <c r="B30" s="1137">
        <v>203835</v>
      </c>
      <c r="C30" s="1137">
        <v>0</v>
      </c>
      <c r="D30" s="1162">
        <v>237371</v>
      </c>
    </row>
    <row r="31" spans="1:4" ht="25.5" x14ac:dyDescent="0.2">
      <c r="A31" s="1161" t="s">
        <v>877</v>
      </c>
      <c r="B31" s="1137">
        <v>179232</v>
      </c>
      <c r="C31" s="1137">
        <v>0</v>
      </c>
      <c r="D31" s="1162">
        <v>179232</v>
      </c>
    </row>
    <row r="32" spans="1:4" ht="38.25" x14ac:dyDescent="0.2">
      <c r="A32" s="1161" t="s">
        <v>878</v>
      </c>
      <c r="B32" s="1137">
        <v>179232</v>
      </c>
      <c r="C32" s="1137">
        <v>0</v>
      </c>
      <c r="D32" s="1162">
        <v>179232</v>
      </c>
    </row>
    <row r="33" spans="1:4" x14ac:dyDescent="0.2">
      <c r="A33" s="1171" t="s">
        <v>798</v>
      </c>
      <c r="B33" s="1172">
        <v>4002260</v>
      </c>
      <c r="C33" s="1172">
        <v>0</v>
      </c>
      <c r="D33" s="1173">
        <v>3724762</v>
      </c>
    </row>
    <row r="34" spans="1:4" ht="25.5" x14ac:dyDescent="0.2">
      <c r="A34" s="1161" t="s">
        <v>879</v>
      </c>
      <c r="B34" s="1137">
        <v>0</v>
      </c>
      <c r="C34" s="1137">
        <v>0</v>
      </c>
      <c r="D34" s="1162">
        <v>1040606</v>
      </c>
    </row>
    <row r="35" spans="1:4" ht="38.25" x14ac:dyDescent="0.2">
      <c r="A35" s="1161" t="s">
        <v>880</v>
      </c>
      <c r="B35" s="1137">
        <v>0</v>
      </c>
      <c r="C35" s="1137">
        <v>0</v>
      </c>
      <c r="D35" s="1162">
        <v>1040606</v>
      </c>
    </row>
    <row r="36" spans="1:4" ht="25.5" x14ac:dyDescent="0.2">
      <c r="A36" s="1161" t="s">
        <v>881</v>
      </c>
      <c r="B36" s="1137">
        <v>0</v>
      </c>
      <c r="C36" s="1137">
        <v>0</v>
      </c>
      <c r="D36" s="1162">
        <v>4702651</v>
      </c>
    </row>
    <row r="37" spans="1:4" ht="38.25" x14ac:dyDescent="0.2">
      <c r="A37" s="1161" t="s">
        <v>882</v>
      </c>
      <c r="B37" s="1137">
        <v>0</v>
      </c>
      <c r="C37" s="1137">
        <v>0</v>
      </c>
      <c r="D37" s="1162">
        <v>4702651</v>
      </c>
    </row>
    <row r="38" spans="1:4" ht="25.5" x14ac:dyDescent="0.2">
      <c r="A38" s="1171" t="s">
        <v>799</v>
      </c>
      <c r="B38" s="1172">
        <v>0</v>
      </c>
      <c r="C38" s="1172">
        <v>0</v>
      </c>
      <c r="D38" s="1173">
        <v>5743257</v>
      </c>
    </row>
    <row r="39" spans="1:4" x14ac:dyDescent="0.2">
      <c r="A39" s="1161" t="s">
        <v>883</v>
      </c>
      <c r="B39" s="1137">
        <v>819420</v>
      </c>
      <c r="C39" s="1137">
        <v>0</v>
      </c>
      <c r="D39" s="1162">
        <v>819420</v>
      </c>
    </row>
    <row r="40" spans="1:4" x14ac:dyDescent="0.2">
      <c r="A40" s="1161" t="s">
        <v>884</v>
      </c>
      <c r="B40" s="1137">
        <v>819420</v>
      </c>
      <c r="C40" s="1137">
        <v>0</v>
      </c>
      <c r="D40" s="1162">
        <v>819420</v>
      </c>
    </row>
    <row r="41" spans="1:4" x14ac:dyDescent="0.2">
      <c r="A41" s="1161" t="s">
        <v>885</v>
      </c>
      <c r="B41" s="1137">
        <v>10000</v>
      </c>
      <c r="C41" s="1137">
        <v>0</v>
      </c>
      <c r="D41" s="1162">
        <v>10000</v>
      </c>
    </row>
    <row r="42" spans="1:4" ht="25.5" x14ac:dyDescent="0.2">
      <c r="A42" s="1161" t="s">
        <v>886</v>
      </c>
      <c r="B42" s="1137">
        <v>10834187</v>
      </c>
      <c r="C42" s="1137">
        <v>0</v>
      </c>
      <c r="D42" s="1162">
        <v>10834187</v>
      </c>
    </row>
    <row r="43" spans="1:4" x14ac:dyDescent="0.2">
      <c r="A43" s="1174" t="s">
        <v>800</v>
      </c>
      <c r="B43" s="1175">
        <v>11663607</v>
      </c>
      <c r="C43" s="1175">
        <v>0</v>
      </c>
      <c r="D43" s="1176">
        <v>11663607</v>
      </c>
    </row>
    <row r="44" spans="1:4" ht="15" x14ac:dyDescent="0.2">
      <c r="A44" s="1183" t="s">
        <v>801</v>
      </c>
      <c r="B44" s="1184">
        <v>15665867</v>
      </c>
      <c r="C44" s="1184">
        <v>0</v>
      </c>
      <c r="D44" s="1185">
        <v>21131626</v>
      </c>
    </row>
    <row r="45" spans="1:4" x14ac:dyDescent="0.2">
      <c r="A45" s="1177" t="s">
        <v>887</v>
      </c>
      <c r="B45" s="1178">
        <v>503000</v>
      </c>
      <c r="C45" s="1178">
        <v>0</v>
      </c>
      <c r="D45" s="1179">
        <v>2472318</v>
      </c>
    </row>
    <row r="46" spans="1:4" ht="25.5" x14ac:dyDescent="0.2">
      <c r="A46" s="1171" t="s">
        <v>888</v>
      </c>
      <c r="B46" s="1172">
        <v>503000</v>
      </c>
      <c r="C46" s="1172">
        <v>0</v>
      </c>
      <c r="D46" s="1173">
        <v>2472318</v>
      </c>
    </row>
    <row r="47" spans="1:4" x14ac:dyDescent="0.2">
      <c r="A47" s="1161" t="s">
        <v>889</v>
      </c>
      <c r="B47" s="1137">
        <v>0</v>
      </c>
      <c r="C47" s="1137">
        <v>0</v>
      </c>
      <c r="D47" s="1162">
        <v>-1585422</v>
      </c>
    </row>
    <row r="48" spans="1:4" x14ac:dyDescent="0.2">
      <c r="A48" s="1174" t="s">
        <v>890</v>
      </c>
      <c r="B48" s="1175">
        <v>0</v>
      </c>
      <c r="C48" s="1175">
        <v>0</v>
      </c>
      <c r="D48" s="1176">
        <v>-1585422</v>
      </c>
    </row>
    <row r="49" spans="1:4" ht="15.75" thickBot="1" x14ac:dyDescent="0.25">
      <c r="A49" s="1186" t="s">
        <v>891</v>
      </c>
      <c r="B49" s="1187">
        <v>503000</v>
      </c>
      <c r="C49" s="1187">
        <v>0</v>
      </c>
      <c r="D49" s="1188">
        <v>886896</v>
      </c>
    </row>
    <row r="50" spans="1:4" ht="16.5" thickBot="1" x14ac:dyDescent="0.25">
      <c r="A50" s="1158" t="s">
        <v>803</v>
      </c>
      <c r="B50" s="1135">
        <v>1330183188</v>
      </c>
      <c r="C50" s="1135">
        <v>0</v>
      </c>
      <c r="D50" s="1136">
        <v>1727313957</v>
      </c>
    </row>
    <row r="51" spans="1:4" x14ac:dyDescent="0.2">
      <c r="A51" s="1177" t="s">
        <v>892</v>
      </c>
      <c r="B51" s="1178">
        <v>649676000</v>
      </c>
      <c r="C51" s="1178">
        <v>0</v>
      </c>
      <c r="D51" s="1179">
        <v>649676000</v>
      </c>
    </row>
    <row r="52" spans="1:4" x14ac:dyDescent="0.2">
      <c r="A52" s="1161" t="s">
        <v>893</v>
      </c>
      <c r="B52" s="1137">
        <v>10834187</v>
      </c>
      <c r="C52" s="1137">
        <v>0</v>
      </c>
      <c r="D52" s="1162">
        <v>198037849</v>
      </c>
    </row>
    <row r="53" spans="1:4" x14ac:dyDescent="0.2">
      <c r="A53" s="1161" t="s">
        <v>894</v>
      </c>
      <c r="B53" s="1137">
        <v>6812430</v>
      </c>
      <c r="C53" s="1137">
        <v>0</v>
      </c>
      <c r="D53" s="1162">
        <v>6812430</v>
      </c>
    </row>
    <row r="54" spans="1:4" x14ac:dyDescent="0.2">
      <c r="A54" s="1161" t="s">
        <v>805</v>
      </c>
      <c r="B54" s="1137">
        <v>629041370</v>
      </c>
      <c r="C54" s="1137">
        <v>0</v>
      </c>
      <c r="D54" s="1162">
        <v>637726811</v>
      </c>
    </row>
    <row r="55" spans="1:4" x14ac:dyDescent="0.2">
      <c r="A55" s="1180" t="s">
        <v>806</v>
      </c>
      <c r="B55" s="1181">
        <v>15250900</v>
      </c>
      <c r="C55" s="1181">
        <v>0</v>
      </c>
      <c r="D55" s="1182">
        <v>214389762</v>
      </c>
    </row>
    <row r="56" spans="1:4" ht="15" x14ac:dyDescent="0.2">
      <c r="A56" s="1183" t="s">
        <v>807</v>
      </c>
      <c r="B56" s="1184">
        <v>1311614887</v>
      </c>
      <c r="C56" s="1184">
        <v>0</v>
      </c>
      <c r="D56" s="1185">
        <v>1706642852</v>
      </c>
    </row>
    <row r="57" spans="1:4" ht="25.5" x14ac:dyDescent="0.2">
      <c r="A57" s="1177" t="s">
        <v>895</v>
      </c>
      <c r="B57" s="1178">
        <v>28528</v>
      </c>
      <c r="C57" s="1178">
        <v>0</v>
      </c>
      <c r="D57" s="1179">
        <v>0</v>
      </c>
    </row>
    <row r="58" spans="1:4" ht="25.5" x14ac:dyDescent="0.2">
      <c r="A58" s="1161" t="s">
        <v>896</v>
      </c>
      <c r="B58" s="1137">
        <v>630492</v>
      </c>
      <c r="C58" s="1137">
        <v>0</v>
      </c>
      <c r="D58" s="1162">
        <v>2284910</v>
      </c>
    </row>
    <row r="59" spans="1:4" ht="25.5" x14ac:dyDescent="0.2">
      <c r="A59" s="1161" t="s">
        <v>897</v>
      </c>
      <c r="B59" s="1137">
        <v>524833</v>
      </c>
      <c r="C59" s="1137">
        <v>0</v>
      </c>
      <c r="D59" s="1162">
        <v>2284910</v>
      </c>
    </row>
    <row r="60" spans="1:4" ht="25.5" x14ac:dyDescent="0.2">
      <c r="A60" s="1161" t="s">
        <v>898</v>
      </c>
      <c r="B60" s="1137">
        <v>105659</v>
      </c>
      <c r="C60" s="1137">
        <v>0</v>
      </c>
      <c r="D60" s="1162">
        <v>0</v>
      </c>
    </row>
    <row r="61" spans="1:4" ht="25.5" x14ac:dyDescent="0.2">
      <c r="A61" s="1171" t="s">
        <v>808</v>
      </c>
      <c r="B61" s="1172">
        <v>659020</v>
      </c>
      <c r="C61" s="1172">
        <v>0</v>
      </c>
      <c r="D61" s="1173">
        <v>2284910</v>
      </c>
    </row>
    <row r="62" spans="1:4" x14ac:dyDescent="0.2">
      <c r="A62" s="1161" t="s">
        <v>856</v>
      </c>
      <c r="B62" s="1137">
        <v>3789519</v>
      </c>
      <c r="C62" s="1137">
        <v>0</v>
      </c>
      <c r="D62" s="1162">
        <v>4529796</v>
      </c>
    </row>
    <row r="63" spans="1:4" x14ac:dyDescent="0.2">
      <c r="A63" s="1161" t="s">
        <v>899</v>
      </c>
      <c r="B63" s="1137">
        <v>375826</v>
      </c>
      <c r="C63" s="1137">
        <v>0</v>
      </c>
      <c r="D63" s="1162">
        <v>293371</v>
      </c>
    </row>
    <row r="64" spans="1:4" x14ac:dyDescent="0.2">
      <c r="A64" s="1174" t="s">
        <v>809</v>
      </c>
      <c r="B64" s="1175">
        <v>4165345</v>
      </c>
      <c r="C64" s="1175">
        <v>0</v>
      </c>
      <c r="D64" s="1176">
        <v>4823167</v>
      </c>
    </row>
    <row r="65" spans="1:4" ht="15" x14ac:dyDescent="0.2">
      <c r="A65" s="1183" t="s">
        <v>810</v>
      </c>
      <c r="B65" s="1184">
        <v>4824365</v>
      </c>
      <c r="C65" s="1184">
        <v>0</v>
      </c>
      <c r="D65" s="1185">
        <v>7108077</v>
      </c>
    </row>
    <row r="66" spans="1:4" x14ac:dyDescent="0.2">
      <c r="A66" s="1177" t="s">
        <v>857</v>
      </c>
      <c r="B66" s="1178">
        <v>3574840</v>
      </c>
      <c r="C66" s="1178">
        <v>0</v>
      </c>
      <c r="D66" s="1179">
        <v>3393932</v>
      </c>
    </row>
    <row r="67" spans="1:4" x14ac:dyDescent="0.2">
      <c r="A67" s="1180" t="s">
        <v>900</v>
      </c>
      <c r="B67" s="1181">
        <v>10169096</v>
      </c>
      <c r="C67" s="1181">
        <v>0</v>
      </c>
      <c r="D67" s="1182">
        <v>10169096</v>
      </c>
    </row>
    <row r="68" spans="1:4" ht="15.75" thickBot="1" x14ac:dyDescent="0.25">
      <c r="A68" s="1186" t="s">
        <v>811</v>
      </c>
      <c r="B68" s="1187">
        <v>13743936</v>
      </c>
      <c r="C68" s="1187">
        <v>0</v>
      </c>
      <c r="D68" s="1188">
        <v>13563028</v>
      </c>
    </row>
    <row r="69" spans="1:4" ht="16.5" thickBot="1" x14ac:dyDescent="0.25">
      <c r="A69" s="1158" t="s">
        <v>812</v>
      </c>
      <c r="B69" s="1135">
        <v>1330183188</v>
      </c>
      <c r="C69" s="1135">
        <v>0</v>
      </c>
      <c r="D69" s="1136">
        <v>1727313957</v>
      </c>
    </row>
  </sheetData>
  <sheetProtection algorithmName="SHA-512" hashValue="YnlOJHVPi3OOCSrlO1phvzKVfm3vtfWbegGYOfc79+0DPORqbzjItCqTDaM6TUFDkllUeQ5W9gGKq8SW5uqoqA==" saltValue="TweVQXTM2ChFM4nwB4a/NA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4803149606299213" right="0.74803149606299213" top="0.6" bottom="0.31496062992125984" header="0.27" footer="0.19685039370078741"/>
  <pageSetup scale="58" orientation="portrait" horizontalDpi="300" verticalDpi="300" r:id="rId1"/>
  <headerFooter alignWithMargins="0">
    <oddHeader xml:space="preserve">&amp;LLevél Községi Önkormányzat&amp;C&amp;"Arial CE,Félkövér"&amp;12ZÁRSZÁMADÁSI RENDELET - 2019. év&amp;R&amp;9 19. melléklet&amp;10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F0"/>
    <pageSetUpPr fitToPage="1"/>
  </sheetPr>
  <dimension ref="A1:N30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8" x14ac:dyDescent="0.25"/>
  <cols>
    <col min="1" max="1" width="6.85546875" style="640" bestFit="1" customWidth="1"/>
    <col min="2" max="2" width="58.140625" style="640" bestFit="1" customWidth="1"/>
    <col min="3" max="3" width="17.7109375" style="690" bestFit="1" customWidth="1"/>
    <col min="4" max="4" width="20.140625" style="640" bestFit="1" customWidth="1"/>
    <col min="5" max="5" width="21.28515625" style="640" bestFit="1" customWidth="1"/>
    <col min="6" max="6" width="22.28515625" style="640" bestFit="1" customWidth="1"/>
    <col min="7" max="7" width="10.7109375" style="682" bestFit="1" customWidth="1"/>
    <col min="8" max="8" width="7" style="640" bestFit="1" customWidth="1"/>
    <col min="9" max="9" width="56.5703125" style="640" bestFit="1" customWidth="1"/>
    <col min="10" max="10" width="17.7109375" style="690" bestFit="1" customWidth="1"/>
    <col min="11" max="11" width="20.140625" style="640" bestFit="1" customWidth="1"/>
    <col min="12" max="12" width="21.28515625" style="640" bestFit="1" customWidth="1"/>
    <col min="13" max="13" width="22.28515625" style="640" bestFit="1" customWidth="1"/>
    <col min="14" max="14" width="10.7109375" style="682" bestFit="1" customWidth="1"/>
    <col min="15" max="16384" width="9.140625" style="640"/>
  </cols>
  <sheetData>
    <row r="1" spans="1:14" ht="18.75" x14ac:dyDescent="0.25">
      <c r="A1" s="1207" t="s">
        <v>67</v>
      </c>
      <c r="B1" s="1208"/>
      <c r="C1" s="636">
        <v>2019</v>
      </c>
      <c r="D1" s="637">
        <v>2019</v>
      </c>
      <c r="E1" s="638">
        <v>2019</v>
      </c>
      <c r="F1" s="639">
        <v>2019</v>
      </c>
      <c r="G1" s="1211" t="s">
        <v>647</v>
      </c>
      <c r="H1" s="1213" t="s">
        <v>4</v>
      </c>
      <c r="I1" s="1208"/>
      <c r="J1" s="716">
        <v>2019</v>
      </c>
      <c r="K1" s="637">
        <v>2019</v>
      </c>
      <c r="L1" s="638">
        <v>2019</v>
      </c>
      <c r="M1" s="639">
        <v>2019</v>
      </c>
      <c r="N1" s="1215" t="s">
        <v>647</v>
      </c>
    </row>
    <row r="2" spans="1:14" ht="19.5" thickBot="1" x14ac:dyDescent="0.3">
      <c r="A2" s="1209"/>
      <c r="B2" s="1210"/>
      <c r="C2" s="641" t="s">
        <v>57</v>
      </c>
      <c r="D2" s="642" t="s">
        <v>631</v>
      </c>
      <c r="E2" s="643" t="s">
        <v>632</v>
      </c>
      <c r="F2" s="644" t="s">
        <v>633</v>
      </c>
      <c r="G2" s="1212"/>
      <c r="H2" s="1214"/>
      <c r="I2" s="1210"/>
      <c r="J2" s="645" t="s">
        <v>57</v>
      </c>
      <c r="K2" s="642" t="s">
        <v>631</v>
      </c>
      <c r="L2" s="643" t="s">
        <v>632</v>
      </c>
      <c r="M2" s="644" t="s">
        <v>633</v>
      </c>
      <c r="N2" s="1216"/>
    </row>
    <row r="3" spans="1:14" ht="18.75" x14ac:dyDescent="0.3">
      <c r="A3" s="646" t="s">
        <v>256</v>
      </c>
      <c r="B3" s="647" t="s">
        <v>250</v>
      </c>
      <c r="C3" s="648">
        <f>'Ktvetési mérleg - 1. mell.'!C3</f>
        <v>56512929</v>
      </c>
      <c r="D3" s="649">
        <f>'Ktvetési mérleg - 1. mell.'!D3</f>
        <v>56845378</v>
      </c>
      <c r="E3" s="650">
        <f>'Ktvetési mérleg - 1. mell.'!E3</f>
        <v>58302796</v>
      </c>
      <c r="F3" s="651">
        <f>'Ktvetési mérleg - 1. mell.'!F3</f>
        <v>60223953</v>
      </c>
      <c r="G3" s="652">
        <f>IF(OR(C3="",C3=0),"",F3/C3)</f>
        <v>1.0656668140488701</v>
      </c>
      <c r="H3" s="653" t="s">
        <v>131</v>
      </c>
      <c r="I3" s="654" t="s">
        <v>0</v>
      </c>
      <c r="J3" s="792">
        <f>'Ktvetési mérleg - 1. mell.'!J3</f>
        <v>86983644</v>
      </c>
      <c r="K3" s="793">
        <f>'Ktvetési mérleg - 1. mell.'!K3</f>
        <v>87231244</v>
      </c>
      <c r="L3" s="794">
        <f>'Ktvetési mérleg - 1. mell.'!L3</f>
        <v>89460869</v>
      </c>
      <c r="M3" s="795">
        <f>'Ktvetési mérleg - 1. mell.'!M3</f>
        <v>96913894</v>
      </c>
      <c r="N3" s="655">
        <f>IF(OR(J3="",J3=0),"",M3/J3)</f>
        <v>1.1141622671039166</v>
      </c>
    </row>
    <row r="4" spans="1:14" ht="18.75" x14ac:dyDescent="0.3">
      <c r="A4" s="656" t="s">
        <v>257</v>
      </c>
      <c r="B4" s="657" t="s">
        <v>326</v>
      </c>
      <c r="C4" s="658">
        <f>'Ktvetési mérleg - 1. mell.'!C4</f>
        <v>21112800</v>
      </c>
      <c r="D4" s="659">
        <f>'Ktvetési mérleg - 1. mell.'!D4</f>
        <v>21112800</v>
      </c>
      <c r="E4" s="660">
        <f>'Ktvetési mérleg - 1. mell.'!E4</f>
        <v>21112800</v>
      </c>
      <c r="F4" s="661">
        <f>'Ktvetési mérleg - 1. mell.'!F4</f>
        <v>23241817</v>
      </c>
      <c r="G4" s="652">
        <f t="shared" ref="G4:G30" si="0">IF(OR(C4="",C4=0),"",F4/C4)</f>
        <v>1.1008401064756925</v>
      </c>
      <c r="H4" s="662" t="s">
        <v>136</v>
      </c>
      <c r="I4" s="663" t="s">
        <v>43</v>
      </c>
      <c r="J4" s="666">
        <f>'Ktvetési mérleg - 1. mell.'!J4</f>
        <v>17383608</v>
      </c>
      <c r="K4" s="667">
        <f>'Ktvetési mérleg - 1. mell.'!K4</f>
        <v>17431889</v>
      </c>
      <c r="L4" s="668">
        <f>'Ktvetési mérleg - 1. mell.'!L4</f>
        <v>16598883</v>
      </c>
      <c r="M4" s="669">
        <f>'Ktvetési mérleg - 1. mell.'!M4</f>
        <v>17716621</v>
      </c>
      <c r="N4" s="664">
        <f t="shared" ref="N4:N30" si="1">IF(OR(J4="",J4=0),"",M4/J4)</f>
        <v>1.0191567251171334</v>
      </c>
    </row>
    <row r="5" spans="1:14" ht="18.75" x14ac:dyDescent="0.3">
      <c r="A5" s="665" t="s">
        <v>249</v>
      </c>
      <c r="B5" s="663" t="s">
        <v>338</v>
      </c>
      <c r="C5" s="666">
        <f>SUM(C3:C4)</f>
        <v>77625729</v>
      </c>
      <c r="D5" s="667">
        <f t="shared" ref="D5:F5" si="2">SUM(D3:D4)</f>
        <v>77958178</v>
      </c>
      <c r="E5" s="668">
        <f t="shared" si="2"/>
        <v>79415596</v>
      </c>
      <c r="F5" s="669">
        <f t="shared" si="2"/>
        <v>83465770</v>
      </c>
      <c r="G5" s="670">
        <f t="shared" si="0"/>
        <v>1.0752333160053158</v>
      </c>
      <c r="H5" s="662" t="s">
        <v>186</v>
      </c>
      <c r="I5" s="663" t="s">
        <v>1</v>
      </c>
      <c r="J5" s="666">
        <f>'Ktvetési mérleg - 1. mell.'!J5</f>
        <v>79745477</v>
      </c>
      <c r="K5" s="667">
        <f>'Ktvetési mérleg - 1. mell.'!K5</f>
        <v>88152627</v>
      </c>
      <c r="L5" s="668">
        <f>'Ktvetési mérleg - 1. mell.'!L5</f>
        <v>93255905</v>
      </c>
      <c r="M5" s="669">
        <f>'Ktvetési mérleg - 1. mell.'!M5</f>
        <v>97133100</v>
      </c>
      <c r="N5" s="664">
        <f t="shared" si="1"/>
        <v>1.2180389867126884</v>
      </c>
    </row>
    <row r="6" spans="1:14" ht="18.75" x14ac:dyDescent="0.3">
      <c r="A6" s="656"/>
      <c r="B6" s="657"/>
      <c r="C6" s="658"/>
      <c r="D6" s="659"/>
      <c r="E6" s="660"/>
      <c r="F6" s="661"/>
      <c r="G6" s="652" t="str">
        <f t="shared" si="0"/>
        <v/>
      </c>
      <c r="H6" s="662" t="s">
        <v>203</v>
      </c>
      <c r="I6" s="663" t="s">
        <v>2</v>
      </c>
      <c r="J6" s="666">
        <f>'Ktvetési mérleg - 1. mell.'!J6</f>
        <v>7000800</v>
      </c>
      <c r="K6" s="667">
        <f>'Ktvetési mérleg - 1. mell.'!K6</f>
        <v>4696800</v>
      </c>
      <c r="L6" s="668">
        <f>'Ktvetési mérleg - 1. mell.'!L6</f>
        <v>4696800</v>
      </c>
      <c r="M6" s="669">
        <f>'Ktvetési mérleg - 1. mell.'!M6</f>
        <v>5134276</v>
      </c>
      <c r="N6" s="664">
        <f t="shared" si="1"/>
        <v>0.73338418466460975</v>
      </c>
    </row>
    <row r="7" spans="1:14" ht="18.75" x14ac:dyDescent="0.3">
      <c r="A7" s="665" t="s">
        <v>269</v>
      </c>
      <c r="B7" s="663" t="s">
        <v>329</v>
      </c>
      <c r="C7" s="666">
        <f>'Ktvetési mérleg - 1. mell.'!C21</f>
        <v>171265000</v>
      </c>
      <c r="D7" s="667">
        <f>'Ktvetési mérleg - 1. mell.'!D21</f>
        <v>171265000</v>
      </c>
      <c r="E7" s="668">
        <f>'Ktvetési mérleg - 1. mell.'!E21</f>
        <v>171265000</v>
      </c>
      <c r="F7" s="669">
        <f>'Ktvetési mérleg - 1. mell.'!F21</f>
        <v>171395000</v>
      </c>
      <c r="G7" s="670">
        <f t="shared" si="0"/>
        <v>1.0007590576007941</v>
      </c>
      <c r="H7" s="671" t="s">
        <v>204</v>
      </c>
      <c r="I7" s="657" t="s">
        <v>205</v>
      </c>
      <c r="J7" s="796">
        <f>'Ktvetési mérleg - 1. mell.'!J7</f>
        <v>18163453</v>
      </c>
      <c r="K7" s="659">
        <f>'Ktvetési mérleg - 1. mell.'!K7</f>
        <v>18163453</v>
      </c>
      <c r="L7" s="660">
        <f>'Ktvetési mérleg - 1. mell.'!L7</f>
        <v>18163453</v>
      </c>
      <c r="M7" s="661">
        <f>'Ktvetési mérleg - 1. mell.'!M7</f>
        <v>18168533</v>
      </c>
      <c r="N7" s="672">
        <f t="shared" si="1"/>
        <v>1.0002796825031011</v>
      </c>
    </row>
    <row r="8" spans="1:14" ht="18.75" x14ac:dyDescent="0.3">
      <c r="A8" s="665" t="s">
        <v>271</v>
      </c>
      <c r="B8" s="663" t="s">
        <v>88</v>
      </c>
      <c r="C8" s="666">
        <f>'Ktvetési mérleg - 1. mell.'!C22</f>
        <v>13851807</v>
      </c>
      <c r="D8" s="667">
        <f>'Ktvetési mérleg - 1. mell.'!D22</f>
        <v>13851807</v>
      </c>
      <c r="E8" s="668">
        <f>'Ktvetési mérleg - 1. mell.'!E22</f>
        <v>14951807</v>
      </c>
      <c r="F8" s="669">
        <f>'Ktvetési mérleg - 1. mell.'!F22</f>
        <v>15158887</v>
      </c>
      <c r="G8" s="670">
        <f t="shared" si="0"/>
        <v>1.0943616959144753</v>
      </c>
      <c r="H8" s="671" t="s">
        <v>206</v>
      </c>
      <c r="I8" s="657" t="s">
        <v>237</v>
      </c>
      <c r="J8" s="796">
        <f>'Ktvetési mérleg - 1. mell.'!J8</f>
        <v>21152748</v>
      </c>
      <c r="K8" s="659">
        <f>'Ktvetési mérleg - 1. mell.'!K8</f>
        <v>21152748</v>
      </c>
      <c r="L8" s="660">
        <f>'Ktvetési mérleg - 1. mell.'!L8</f>
        <v>21152748</v>
      </c>
      <c r="M8" s="661">
        <f>'Ktvetési mérleg - 1. mell.'!M8</f>
        <v>22374858</v>
      </c>
      <c r="N8" s="672">
        <f t="shared" si="1"/>
        <v>1.0577754720095942</v>
      </c>
    </row>
    <row r="9" spans="1:14" ht="18.75" x14ac:dyDescent="0.3">
      <c r="A9" s="656" t="s">
        <v>293</v>
      </c>
      <c r="B9" s="657" t="s">
        <v>339</v>
      </c>
      <c r="C9" s="658">
        <f>'Ktvetési mérleg - 1. mell.'!C24</f>
        <v>0</v>
      </c>
      <c r="D9" s="659">
        <f>'Ktvetési mérleg - 1. mell.'!D24</f>
        <v>0</v>
      </c>
      <c r="E9" s="660">
        <f>'Ktvetési mérleg - 1. mell.'!E24</f>
        <v>0</v>
      </c>
      <c r="F9" s="661">
        <f>'Ktvetési mérleg - 1. mell.'!F24</f>
        <v>0</v>
      </c>
      <c r="G9" s="652" t="str">
        <f t="shared" si="0"/>
        <v/>
      </c>
      <c r="H9" s="671" t="s">
        <v>208</v>
      </c>
      <c r="I9" s="657" t="s">
        <v>333</v>
      </c>
      <c r="J9" s="796">
        <f>'Ktvetési mérleg - 1. mell.'!J9</f>
        <v>0</v>
      </c>
      <c r="K9" s="659">
        <f>'Ktvetési mérleg - 1. mell.'!K9</f>
        <v>0</v>
      </c>
      <c r="L9" s="660">
        <f>'Ktvetési mérleg - 1. mell.'!L9</f>
        <v>0</v>
      </c>
      <c r="M9" s="661">
        <f>'Ktvetési mérleg - 1. mell.'!M9</f>
        <v>1040606</v>
      </c>
      <c r="N9" s="672" t="str">
        <f t="shared" si="1"/>
        <v/>
      </c>
    </row>
    <row r="10" spans="1:14" ht="18.75" x14ac:dyDescent="0.3">
      <c r="A10" s="656" t="s">
        <v>590</v>
      </c>
      <c r="B10" s="657" t="s">
        <v>340</v>
      </c>
      <c r="C10" s="658">
        <f>'Ktvetési mérleg - 1. mell.'!C25</f>
        <v>0</v>
      </c>
      <c r="D10" s="659">
        <f>'Ktvetési mérleg - 1. mell.'!D25</f>
        <v>47560</v>
      </c>
      <c r="E10" s="660">
        <f>'Ktvetési mérleg - 1. mell.'!E25</f>
        <v>47560</v>
      </c>
      <c r="F10" s="661">
        <f>'Ktvetési mérleg - 1. mell.'!F25</f>
        <v>47560</v>
      </c>
      <c r="G10" s="652" t="str">
        <f t="shared" si="0"/>
        <v/>
      </c>
      <c r="H10" s="671" t="s">
        <v>210</v>
      </c>
      <c r="I10" s="657" t="s">
        <v>239</v>
      </c>
      <c r="J10" s="796">
        <f>'Ktvetési mérleg - 1. mell.'!J10</f>
        <v>15246654</v>
      </c>
      <c r="K10" s="659">
        <f>'Ktvetési mérleg - 1. mell.'!K10</f>
        <v>14929154</v>
      </c>
      <c r="L10" s="660">
        <f>'Ktvetési mérleg - 1. mell.'!L10</f>
        <v>15083154</v>
      </c>
      <c r="M10" s="661">
        <f>'Ktvetési mérleg - 1. mell.'!M10</f>
        <v>14865674</v>
      </c>
      <c r="N10" s="672">
        <f t="shared" si="1"/>
        <v>0.97501222235383578</v>
      </c>
    </row>
    <row r="11" spans="1:14" ht="18.75" x14ac:dyDescent="0.3">
      <c r="A11" s="665" t="s">
        <v>296</v>
      </c>
      <c r="B11" s="663" t="s">
        <v>341</v>
      </c>
      <c r="C11" s="666">
        <f>SUM(C9:C10)</f>
        <v>0</v>
      </c>
      <c r="D11" s="667">
        <f t="shared" ref="D11:F11" si="3">SUM(D9:D10)</f>
        <v>47560</v>
      </c>
      <c r="E11" s="668">
        <f t="shared" si="3"/>
        <v>47560</v>
      </c>
      <c r="F11" s="669">
        <f t="shared" si="3"/>
        <v>47560</v>
      </c>
      <c r="G11" s="670" t="str">
        <f t="shared" si="0"/>
        <v/>
      </c>
      <c r="H11" s="662" t="s">
        <v>212</v>
      </c>
      <c r="I11" s="663" t="s">
        <v>334</v>
      </c>
      <c r="J11" s="666">
        <f>SUM(J7:J10)</f>
        <v>54562855</v>
      </c>
      <c r="K11" s="667">
        <f t="shared" ref="K11:M11" si="4">SUM(K7:K10)</f>
        <v>54245355</v>
      </c>
      <c r="L11" s="668">
        <f t="shared" si="4"/>
        <v>54399355</v>
      </c>
      <c r="M11" s="669">
        <f t="shared" si="4"/>
        <v>56449671</v>
      </c>
      <c r="N11" s="664">
        <f t="shared" si="1"/>
        <v>1.0345805951686362</v>
      </c>
    </row>
    <row r="12" spans="1:14" ht="18.75" x14ac:dyDescent="0.3">
      <c r="A12" s="656"/>
      <c r="B12" s="657" t="s">
        <v>97</v>
      </c>
      <c r="C12" s="658">
        <v>0</v>
      </c>
      <c r="D12" s="659">
        <v>0</v>
      </c>
      <c r="E12" s="660">
        <v>0</v>
      </c>
      <c r="F12" s="661">
        <v>0</v>
      </c>
      <c r="G12" s="652" t="str">
        <f t="shared" si="0"/>
        <v/>
      </c>
      <c r="H12" s="671" t="s">
        <v>547</v>
      </c>
      <c r="I12" s="657" t="s">
        <v>46</v>
      </c>
      <c r="J12" s="796">
        <f>'Ktvetési mérleg - 1. mell.'!J23</f>
        <v>52314000</v>
      </c>
      <c r="K12" s="659">
        <f>'Ktvetési mérleg - 1. mell.'!K23</f>
        <v>52491869</v>
      </c>
      <c r="L12" s="660">
        <f>'Ktvetési mérleg - 1. mell.'!L23</f>
        <v>40609201</v>
      </c>
      <c r="M12" s="661">
        <f>'Ktvetési mérleg - 1. mell.'!M23</f>
        <v>27254545</v>
      </c>
      <c r="N12" s="672">
        <f t="shared" si="1"/>
        <v>0.52097994800626979</v>
      </c>
    </row>
    <row r="13" spans="1:14" ht="18.75" hidden="1" x14ac:dyDescent="0.3">
      <c r="A13" s="656"/>
      <c r="B13" s="657" t="s">
        <v>346</v>
      </c>
      <c r="C13" s="658">
        <v>0</v>
      </c>
      <c r="D13" s="659">
        <v>0</v>
      </c>
      <c r="E13" s="660">
        <v>0</v>
      </c>
      <c r="F13" s="661">
        <v>0</v>
      </c>
      <c r="G13" s="652" t="str">
        <f t="shared" si="0"/>
        <v/>
      </c>
      <c r="H13" s="671"/>
      <c r="I13" s="657" t="s">
        <v>48</v>
      </c>
      <c r="J13" s="796"/>
      <c r="K13" s="659"/>
      <c r="L13" s="660"/>
      <c r="M13" s="661"/>
      <c r="N13" s="672" t="str">
        <f t="shared" si="1"/>
        <v/>
      </c>
    </row>
    <row r="14" spans="1:14" ht="19.5" thickBot="1" x14ac:dyDescent="0.35">
      <c r="A14" s="665" t="s">
        <v>344</v>
      </c>
      <c r="B14" s="663" t="s">
        <v>607</v>
      </c>
      <c r="C14" s="666">
        <f>SUM(C12:C13)</f>
        <v>0</v>
      </c>
      <c r="D14" s="667">
        <f t="shared" ref="D14:F14" si="5">SUM(D12:D13)</f>
        <v>0</v>
      </c>
      <c r="E14" s="668">
        <f t="shared" si="5"/>
        <v>0</v>
      </c>
      <c r="F14" s="669">
        <f t="shared" si="5"/>
        <v>0</v>
      </c>
      <c r="G14" s="670" t="str">
        <f t="shared" si="0"/>
        <v/>
      </c>
      <c r="H14" s="673" t="s">
        <v>345</v>
      </c>
      <c r="I14" s="674" t="s">
        <v>608</v>
      </c>
      <c r="J14" s="797">
        <f t="shared" ref="J14" si="6">SUM(J12:J13)</f>
        <v>52314000</v>
      </c>
      <c r="K14" s="798">
        <f t="shared" ref="K14:M14" si="7">SUM(K12:K13)</f>
        <v>52491869</v>
      </c>
      <c r="L14" s="799">
        <f t="shared" si="7"/>
        <v>40609201</v>
      </c>
      <c r="M14" s="800">
        <f t="shared" si="7"/>
        <v>27254545</v>
      </c>
      <c r="N14" s="675">
        <f t="shared" si="1"/>
        <v>0.52097994800626979</v>
      </c>
    </row>
    <row r="15" spans="1:14" ht="19.5" thickBot="1" x14ac:dyDescent="0.35">
      <c r="A15" s="1220" t="s">
        <v>98</v>
      </c>
      <c r="B15" s="1221"/>
      <c r="C15" s="676">
        <f>SUM(C14,C11,C8,C7,C5)</f>
        <v>262742536</v>
      </c>
      <c r="D15" s="677">
        <f t="shared" ref="D15:F15" si="8">SUM(D14,D11,D8,D7,D5)</f>
        <v>263122545</v>
      </c>
      <c r="E15" s="678">
        <f t="shared" si="8"/>
        <v>265679963</v>
      </c>
      <c r="F15" s="679">
        <f t="shared" si="8"/>
        <v>270067217</v>
      </c>
      <c r="G15" s="680">
        <f t="shared" si="0"/>
        <v>1.0278777890763755</v>
      </c>
      <c r="H15" s="1225" t="s">
        <v>99</v>
      </c>
      <c r="I15" s="1225"/>
      <c r="J15" s="801">
        <f>SUM(J3:J6,J11,J14)</f>
        <v>297990384</v>
      </c>
      <c r="K15" s="802">
        <f t="shared" ref="K15:M15" si="9">SUM(K3:K6,K11,K14)</f>
        <v>304249784</v>
      </c>
      <c r="L15" s="803">
        <f t="shared" si="9"/>
        <v>299021013</v>
      </c>
      <c r="M15" s="804">
        <f t="shared" si="9"/>
        <v>300602107</v>
      </c>
      <c r="N15" s="681">
        <f t="shared" si="1"/>
        <v>1.0087644539563398</v>
      </c>
    </row>
    <row r="16" spans="1:14" s="682" customFormat="1" ht="16.5" thickBot="1" x14ac:dyDescent="0.25">
      <c r="A16" s="1222" t="s">
        <v>100</v>
      </c>
      <c r="B16" s="1223"/>
      <c r="C16" s="632"/>
      <c r="D16" s="633"/>
      <c r="E16" s="634"/>
      <c r="F16" s="635"/>
      <c r="G16" s="108" t="str">
        <f t="shared" si="0"/>
        <v/>
      </c>
      <c r="H16" s="1223" t="s">
        <v>101</v>
      </c>
      <c r="I16" s="1223"/>
      <c r="J16" s="805"/>
      <c r="K16" s="806"/>
      <c r="L16" s="807"/>
      <c r="M16" s="808"/>
      <c r="N16" s="105" t="str">
        <f t="shared" si="1"/>
        <v/>
      </c>
    </row>
    <row r="17" spans="1:14" ht="18.75" x14ac:dyDescent="0.3">
      <c r="A17" s="646" t="s">
        <v>261</v>
      </c>
      <c r="B17" s="647" t="s">
        <v>406</v>
      </c>
      <c r="C17" s="648">
        <f>'Ktvetési mérleg - 1. mell.'!C6</f>
        <v>0</v>
      </c>
      <c r="D17" s="649">
        <f>'Ktvetési mérleg - 1. mell.'!D6</f>
        <v>0</v>
      </c>
      <c r="E17" s="650">
        <f>'Ktvetési mérleg - 1. mell.'!E6</f>
        <v>0</v>
      </c>
      <c r="F17" s="651">
        <f>'Ktvetési mérleg - 1. mell.'!F6</f>
        <v>0</v>
      </c>
      <c r="G17" s="652" t="str">
        <f t="shared" si="0"/>
        <v/>
      </c>
      <c r="H17" s="653" t="s">
        <v>194</v>
      </c>
      <c r="I17" s="654" t="s">
        <v>3</v>
      </c>
      <c r="J17" s="792">
        <f>'Ktvetési mérleg - 1. mell.'!J14</f>
        <v>99077799</v>
      </c>
      <c r="K17" s="793">
        <f>'Ktvetési mérleg - 1. mell.'!K14</f>
        <v>111823826</v>
      </c>
      <c r="L17" s="794">
        <f>'Ktvetési mérleg - 1. mell.'!L14</f>
        <v>117092876</v>
      </c>
      <c r="M17" s="795">
        <f>'Ktvetési mérleg - 1. mell.'!M14</f>
        <v>117347202</v>
      </c>
      <c r="N17" s="655">
        <f t="shared" si="1"/>
        <v>1.184394518089769</v>
      </c>
    </row>
    <row r="18" spans="1:14" ht="18.75" x14ac:dyDescent="0.3">
      <c r="A18" s="656" t="s">
        <v>259</v>
      </c>
      <c r="B18" s="657" t="s">
        <v>328</v>
      </c>
      <c r="C18" s="658">
        <f>'Ktvetési mérleg - 1. mell.'!C7</f>
        <v>0</v>
      </c>
      <c r="D18" s="659">
        <f>'Ktvetési mérleg - 1. mell.'!D7</f>
        <v>0</v>
      </c>
      <c r="E18" s="660">
        <f>'Ktvetési mérleg - 1. mell.'!E7</f>
        <v>175076</v>
      </c>
      <c r="F18" s="661">
        <f>'Ktvetési mérleg - 1. mell.'!F7</f>
        <v>21554936</v>
      </c>
      <c r="G18" s="652" t="str">
        <f t="shared" si="0"/>
        <v/>
      </c>
      <c r="H18" s="662" t="s">
        <v>197</v>
      </c>
      <c r="I18" s="663" t="s">
        <v>49</v>
      </c>
      <c r="J18" s="666">
        <f>'Ktvetési mérleg - 1. mell.'!J15</f>
        <v>37310978</v>
      </c>
      <c r="K18" s="667">
        <f>'Ktvetési mérleg - 1. mell.'!K15</f>
        <v>44166427</v>
      </c>
      <c r="L18" s="668">
        <f>'Ktvetési mérleg - 1. mell.'!L15</f>
        <v>47105913</v>
      </c>
      <c r="M18" s="669">
        <f>'Ktvetési mérleg - 1. mell.'!M15</f>
        <v>64642405</v>
      </c>
      <c r="N18" s="664">
        <f t="shared" si="1"/>
        <v>1.7325304364844041</v>
      </c>
    </row>
    <row r="19" spans="1:14" ht="18.75" x14ac:dyDescent="0.3">
      <c r="A19" s="665" t="s">
        <v>260</v>
      </c>
      <c r="B19" s="663" t="s">
        <v>330</v>
      </c>
      <c r="C19" s="666">
        <f>SUM(C17:C18)</f>
        <v>0</v>
      </c>
      <c r="D19" s="667">
        <f t="shared" ref="D19:F19" si="10">SUM(D17:D18)</f>
        <v>0</v>
      </c>
      <c r="E19" s="668">
        <f t="shared" si="10"/>
        <v>175076</v>
      </c>
      <c r="F19" s="669">
        <f t="shared" si="10"/>
        <v>21554936</v>
      </c>
      <c r="G19" s="670" t="str">
        <f t="shared" si="0"/>
        <v/>
      </c>
      <c r="H19" s="671"/>
      <c r="I19" s="657"/>
      <c r="J19" s="796"/>
      <c r="K19" s="659"/>
      <c r="L19" s="660"/>
      <c r="M19" s="661"/>
      <c r="N19" s="672" t="str">
        <f t="shared" si="1"/>
        <v/>
      </c>
    </row>
    <row r="20" spans="1:14" ht="18.75" x14ac:dyDescent="0.3">
      <c r="A20" s="665" t="s">
        <v>331</v>
      </c>
      <c r="B20" s="663" t="s">
        <v>332</v>
      </c>
      <c r="C20" s="666">
        <f>'Ktvetési mérleg - 1. mell.'!C23</f>
        <v>460000</v>
      </c>
      <c r="D20" s="667">
        <f>'Ktvetési mérleg - 1. mell.'!D23</f>
        <v>460000</v>
      </c>
      <c r="E20" s="668">
        <f>'Ktvetési mérleg - 1. mell.'!E23</f>
        <v>460000</v>
      </c>
      <c r="F20" s="669">
        <f>'Ktvetési mérleg - 1. mell.'!F23</f>
        <v>460000</v>
      </c>
      <c r="G20" s="670">
        <f t="shared" si="0"/>
        <v>1</v>
      </c>
      <c r="H20" s="671" t="s">
        <v>198</v>
      </c>
      <c r="I20" s="657" t="s">
        <v>244</v>
      </c>
      <c r="J20" s="796">
        <f>'Ktvetési mérleg - 1. mell.'!J16</f>
        <v>0</v>
      </c>
      <c r="K20" s="659">
        <f>'Ktvetési mérleg - 1. mell.'!K16</f>
        <v>0</v>
      </c>
      <c r="L20" s="660">
        <f>'Ktvetési mérleg - 1. mell.'!L16</f>
        <v>0</v>
      </c>
      <c r="M20" s="661">
        <f>'Ktvetési mérleg - 1. mell.'!M16</f>
        <v>4702651</v>
      </c>
      <c r="N20" s="672" t="str">
        <f t="shared" si="1"/>
        <v/>
      </c>
    </row>
    <row r="21" spans="1:14" ht="18.75" hidden="1" x14ac:dyDescent="0.3">
      <c r="A21" s="656" t="s">
        <v>300</v>
      </c>
      <c r="B21" s="657" t="s">
        <v>301</v>
      </c>
      <c r="C21" s="658">
        <f>'Ktvetési mérleg - 1. mell.'!C27</f>
        <v>0</v>
      </c>
      <c r="D21" s="659">
        <f>'Ktvetési mérleg - 1. mell.'!D27</f>
        <v>0</v>
      </c>
      <c r="E21" s="660">
        <f>'Ktvetési mérleg - 1. mell.'!E27</f>
        <v>0</v>
      </c>
      <c r="F21" s="661">
        <f>'Ktvetési mérleg - 1. mell.'!F27</f>
        <v>0</v>
      </c>
      <c r="G21" s="652" t="str">
        <f t="shared" si="0"/>
        <v/>
      </c>
      <c r="H21" s="671" t="s">
        <v>199</v>
      </c>
      <c r="I21" s="657" t="s">
        <v>245</v>
      </c>
      <c r="J21" s="796">
        <f>'Ktvetési mérleg - 1. mell.'!J17</f>
        <v>0</v>
      </c>
      <c r="K21" s="659">
        <f>'Ktvetési mérleg - 1. mell.'!K17</f>
        <v>0</v>
      </c>
      <c r="L21" s="660">
        <f>'Ktvetési mérleg - 1. mell.'!L17</f>
        <v>0</v>
      </c>
      <c r="M21" s="661">
        <f>'Ktvetési mérleg - 1. mell.'!M17</f>
        <v>0</v>
      </c>
      <c r="N21" s="672" t="str">
        <f t="shared" si="1"/>
        <v/>
      </c>
    </row>
    <row r="22" spans="1:14" ht="18.75" x14ac:dyDescent="0.3">
      <c r="A22" s="656" t="s">
        <v>592</v>
      </c>
      <c r="B22" s="657" t="s">
        <v>343</v>
      </c>
      <c r="C22" s="658">
        <f>'Ktvetési mérleg - 1. mell.'!C28</f>
        <v>2886600</v>
      </c>
      <c r="D22" s="659">
        <f>'Ktvetési mérleg - 1. mell.'!D28</f>
        <v>2886600</v>
      </c>
      <c r="E22" s="660">
        <f>'Ktvetési mérleg - 1. mell.'!E28</f>
        <v>2886600</v>
      </c>
      <c r="F22" s="661">
        <f>'Ktvetési mérleg - 1. mell.'!F28</f>
        <v>2886600</v>
      </c>
      <c r="G22" s="652">
        <f t="shared" si="0"/>
        <v>1</v>
      </c>
      <c r="H22" s="671" t="s">
        <v>200</v>
      </c>
      <c r="I22" s="657" t="s">
        <v>246</v>
      </c>
      <c r="J22" s="796">
        <f>'Ktvetési mérleg - 1. mell.'!J18</f>
        <v>0</v>
      </c>
      <c r="K22" s="659">
        <f>'Ktvetési mérleg - 1. mell.'!K18</f>
        <v>0</v>
      </c>
      <c r="L22" s="660">
        <f>'Ktvetési mérleg - 1. mell.'!L18</f>
        <v>0</v>
      </c>
      <c r="M22" s="661">
        <f>'Ktvetési mérleg - 1. mell.'!M18</f>
        <v>1692551</v>
      </c>
      <c r="N22" s="672" t="str">
        <f t="shared" si="1"/>
        <v/>
      </c>
    </row>
    <row r="23" spans="1:14" ht="18.75" x14ac:dyDescent="0.3">
      <c r="A23" s="665" t="s">
        <v>297</v>
      </c>
      <c r="B23" s="663" t="s">
        <v>342</v>
      </c>
      <c r="C23" s="666">
        <f>SUM(C21:C22)</f>
        <v>2886600</v>
      </c>
      <c r="D23" s="667">
        <f t="shared" ref="D23:F23" si="11">SUM(D21:D22)</f>
        <v>2886600</v>
      </c>
      <c r="E23" s="668">
        <f t="shared" si="11"/>
        <v>2886600</v>
      </c>
      <c r="F23" s="669">
        <f t="shared" si="11"/>
        <v>2886600</v>
      </c>
      <c r="G23" s="670">
        <f t="shared" si="0"/>
        <v>1</v>
      </c>
      <c r="H23" s="662" t="s">
        <v>201</v>
      </c>
      <c r="I23" s="663" t="s">
        <v>335</v>
      </c>
      <c r="J23" s="666">
        <f>SUM(J19:J22)</f>
        <v>0</v>
      </c>
      <c r="K23" s="667">
        <f t="shared" ref="K23:M23" si="12">SUM(K19:K22)</f>
        <v>0</v>
      </c>
      <c r="L23" s="668">
        <f t="shared" si="12"/>
        <v>0</v>
      </c>
      <c r="M23" s="669">
        <f t="shared" si="12"/>
        <v>6395202</v>
      </c>
      <c r="N23" s="664" t="str">
        <f t="shared" si="1"/>
        <v/>
      </c>
    </row>
    <row r="24" spans="1:14" ht="18.75" x14ac:dyDescent="0.3">
      <c r="A24" s="656" t="s">
        <v>304</v>
      </c>
      <c r="B24" s="657" t="s">
        <v>97</v>
      </c>
      <c r="C24" s="658">
        <f>'Ktvetési mérleg - 1. mell.'!C31</f>
        <v>5000000</v>
      </c>
      <c r="D24" s="659">
        <f>'Ktvetési mérleg - 1. mell.'!D31</f>
        <v>5000000</v>
      </c>
      <c r="E24" s="660">
        <f>'Ktvetési mérleg - 1. mell.'!E31</f>
        <v>5000000</v>
      </c>
      <c r="F24" s="661">
        <f>'Ktvetési mérleg - 1. mell.'!F31</f>
        <v>5000000</v>
      </c>
      <c r="G24" s="652">
        <f t="shared" si="0"/>
        <v>1</v>
      </c>
      <c r="H24" s="671" t="s">
        <v>471</v>
      </c>
      <c r="I24" s="657" t="s">
        <v>477</v>
      </c>
      <c r="J24" s="796">
        <f>'Ktvetési mérleg - 1. mell.'!J34</f>
        <v>524833</v>
      </c>
      <c r="K24" s="659">
        <f>'Ktvetési mérleg - 1. mell.'!K34</f>
        <v>524833</v>
      </c>
      <c r="L24" s="660">
        <f>'Ktvetési mérleg - 1. mell.'!L34</f>
        <v>524833</v>
      </c>
      <c r="M24" s="661">
        <f>'Ktvetési mérleg - 1. mell.'!M34</f>
        <v>524833</v>
      </c>
      <c r="N24" s="672">
        <f t="shared" si="1"/>
        <v>1</v>
      </c>
    </row>
    <row r="25" spans="1:14" ht="18.75" x14ac:dyDescent="0.3">
      <c r="A25" s="656" t="s">
        <v>305</v>
      </c>
      <c r="B25" s="657" t="s">
        <v>493</v>
      </c>
      <c r="C25" s="658">
        <f>'Ktvetési mérleg - 1. mell.'!C32</f>
        <v>164147292</v>
      </c>
      <c r="D25" s="659">
        <f>'Ktvetési mérleg - 1. mell.'!D32</f>
        <v>189628159</v>
      </c>
      <c r="E25" s="660">
        <f>'Ktvetési mérleg - 1. mell.'!E32</f>
        <v>189628159</v>
      </c>
      <c r="F25" s="661">
        <f>'Ktvetési mérleg - 1. mell.'!F32</f>
        <v>189628159</v>
      </c>
      <c r="G25" s="652">
        <f t="shared" si="0"/>
        <v>1.1552317232257479</v>
      </c>
      <c r="H25" s="671" t="s">
        <v>236</v>
      </c>
      <c r="I25" s="657" t="s">
        <v>61</v>
      </c>
      <c r="J25" s="796">
        <f>'Ktvetési mérleg - 1. mell.'!J35</f>
        <v>69183233</v>
      </c>
      <c r="K25" s="659">
        <f>'Ktvetési mérleg - 1. mell.'!K35</f>
        <v>69201874</v>
      </c>
      <c r="L25" s="660">
        <f>'Ktvetési mérleg - 1. mell.'!L35</f>
        <v>69212153</v>
      </c>
      <c r="M25" s="661">
        <f>'Ktvetési mérleg - 1. mell.'!M35</f>
        <v>69222376</v>
      </c>
      <c r="N25" s="672">
        <f t="shared" si="1"/>
        <v>1.000565787377991</v>
      </c>
    </row>
    <row r="26" spans="1:14" ht="18.75" x14ac:dyDescent="0.3">
      <c r="A26" s="656" t="s">
        <v>307</v>
      </c>
      <c r="B26" s="657" t="s">
        <v>61</v>
      </c>
      <c r="C26" s="658">
        <f>'Ktvetési mérleg - 1. mell.'!C34</f>
        <v>69183233</v>
      </c>
      <c r="D26" s="659">
        <f>'Ktvetési mérleg - 1. mell.'!D34</f>
        <v>69201874</v>
      </c>
      <c r="E26" s="660">
        <f>'Ktvetési mérleg - 1. mell.'!E34</f>
        <v>69212153</v>
      </c>
      <c r="F26" s="661">
        <f>'Ktvetési mérleg - 1. mell.'!F34</f>
        <v>69222376</v>
      </c>
      <c r="G26" s="652">
        <f t="shared" si="0"/>
        <v>1.000565787377991</v>
      </c>
      <c r="H26" s="671" t="s">
        <v>469</v>
      </c>
      <c r="I26" s="657" t="s">
        <v>476</v>
      </c>
      <c r="J26" s="796">
        <f>'Ktvetési mérleg - 1. mell.'!J36</f>
        <v>332434</v>
      </c>
      <c r="K26" s="659">
        <f>'Ktvetési mérleg - 1. mell.'!K36</f>
        <v>332434</v>
      </c>
      <c r="L26" s="660">
        <f>'Ktvetési mérleg - 1. mell.'!L36</f>
        <v>85163</v>
      </c>
      <c r="M26" s="661">
        <f>'Ktvetési mérleg - 1. mell.'!M36</f>
        <v>85163</v>
      </c>
      <c r="N26" s="672">
        <f t="shared" si="1"/>
        <v>0.25618017410974808</v>
      </c>
    </row>
    <row r="27" spans="1:14" ht="19.5" thickBot="1" x14ac:dyDescent="0.35">
      <c r="A27" s="665" t="s">
        <v>344</v>
      </c>
      <c r="B27" s="663" t="s">
        <v>607</v>
      </c>
      <c r="C27" s="666">
        <f>SUM(C24:C26)</f>
        <v>238330525</v>
      </c>
      <c r="D27" s="667">
        <f t="shared" ref="D27:F27" si="13">SUM(D24:D26)</f>
        <v>263830033</v>
      </c>
      <c r="E27" s="668">
        <f t="shared" si="13"/>
        <v>263840312</v>
      </c>
      <c r="F27" s="669">
        <f t="shared" si="13"/>
        <v>263850535</v>
      </c>
      <c r="G27" s="670">
        <f t="shared" si="0"/>
        <v>1.1070782267609238</v>
      </c>
      <c r="H27" s="673" t="s">
        <v>345</v>
      </c>
      <c r="I27" s="674" t="s">
        <v>608</v>
      </c>
      <c r="J27" s="797">
        <f>SUM(J24:J26)</f>
        <v>70040500</v>
      </c>
      <c r="K27" s="798">
        <f t="shared" ref="K27:M27" si="14">SUM(K24:K26)</f>
        <v>70059141</v>
      </c>
      <c r="L27" s="799">
        <f t="shared" si="14"/>
        <v>69822149</v>
      </c>
      <c r="M27" s="800">
        <f t="shared" si="14"/>
        <v>69832372</v>
      </c>
      <c r="N27" s="675">
        <f t="shared" si="1"/>
        <v>0.99702846210406837</v>
      </c>
    </row>
    <row r="28" spans="1:14" ht="19.5" thickBot="1" x14ac:dyDescent="0.35">
      <c r="A28" s="1220" t="s">
        <v>609</v>
      </c>
      <c r="B28" s="1221"/>
      <c r="C28" s="676">
        <f>SUM(C27,C23,C20,C19)</f>
        <v>241677125</v>
      </c>
      <c r="D28" s="677">
        <f t="shared" ref="D28:F28" si="15">SUM(D27,D23,D20,D19)</f>
        <v>267176633</v>
      </c>
      <c r="E28" s="678">
        <f t="shared" si="15"/>
        <v>267361988</v>
      </c>
      <c r="F28" s="679">
        <f t="shared" si="15"/>
        <v>288752071</v>
      </c>
      <c r="G28" s="680">
        <f t="shared" si="0"/>
        <v>1.1947844505349854</v>
      </c>
      <c r="H28" s="1225" t="s">
        <v>102</v>
      </c>
      <c r="I28" s="1225"/>
      <c r="J28" s="801">
        <f>SUM(J17:J18,J23,J27)</f>
        <v>206429277</v>
      </c>
      <c r="K28" s="802">
        <f t="shared" ref="K28:M28" si="16">SUM(K17:K18,K23,K27)</f>
        <v>226049394</v>
      </c>
      <c r="L28" s="803">
        <f t="shared" si="16"/>
        <v>234020938</v>
      </c>
      <c r="M28" s="804">
        <f t="shared" si="16"/>
        <v>258217181</v>
      </c>
      <c r="N28" s="681">
        <f t="shared" si="1"/>
        <v>1.2508748020272338</v>
      </c>
    </row>
    <row r="29" spans="1:14" s="682" customFormat="1" ht="16.5" thickBot="1" x14ac:dyDescent="0.25">
      <c r="A29" s="1222" t="s">
        <v>100</v>
      </c>
      <c r="B29" s="1223"/>
      <c r="C29" s="632"/>
      <c r="D29" s="633"/>
      <c r="E29" s="634"/>
      <c r="F29" s="635"/>
      <c r="G29" s="108" t="str">
        <f t="shared" si="0"/>
        <v/>
      </c>
      <c r="H29" s="1224" t="s">
        <v>101</v>
      </c>
      <c r="I29" s="1224"/>
      <c r="J29" s="809"/>
      <c r="K29" s="810"/>
      <c r="L29" s="811"/>
      <c r="M29" s="812"/>
      <c r="N29" s="107" t="str">
        <f t="shared" si="1"/>
        <v/>
      </c>
    </row>
    <row r="30" spans="1:14" s="689" customFormat="1" ht="21" thickBot="1" x14ac:dyDescent="0.35">
      <c r="A30" s="1218" t="s">
        <v>641</v>
      </c>
      <c r="B30" s="1219"/>
      <c r="C30" s="683">
        <f>SUM(C28,C15)</f>
        <v>504419661</v>
      </c>
      <c r="D30" s="684">
        <f t="shared" ref="D30:F30" si="17">SUM(D28,D15)</f>
        <v>530299178</v>
      </c>
      <c r="E30" s="685">
        <f t="shared" si="17"/>
        <v>533041951</v>
      </c>
      <c r="F30" s="686">
        <f t="shared" si="17"/>
        <v>558819288</v>
      </c>
      <c r="G30" s="687">
        <f t="shared" si="0"/>
        <v>1.1078459687557658</v>
      </c>
      <c r="H30" s="1217" t="s">
        <v>641</v>
      </c>
      <c r="I30" s="1217"/>
      <c r="J30" s="813">
        <f>SUM(J15,J28)</f>
        <v>504419661</v>
      </c>
      <c r="K30" s="684">
        <f t="shared" ref="K30:M30" si="18">SUM(K15,K28)</f>
        <v>530299178</v>
      </c>
      <c r="L30" s="685">
        <f t="shared" si="18"/>
        <v>533041951</v>
      </c>
      <c r="M30" s="686">
        <f t="shared" si="18"/>
        <v>558819288</v>
      </c>
      <c r="N30" s="688">
        <f t="shared" si="1"/>
        <v>1.1078459687557658</v>
      </c>
    </row>
  </sheetData>
  <sheetProtection algorithmName="SHA-512" hashValue="iI4kcp2/wkB7G+304spctfwgfy3iOkEcVxHyEYP5X+L5e/hCfHPZerctB57tl9BoURXNYNiNh/OIclDnYl8HHw==" saltValue="SNczrrUvEAlImXNgIp/c8w==" spinCount="100000" sheet="1" formatCells="0" formatColumns="0" formatRows="0" insertColumns="0" insertRows="0" insertHyperlinks="0" deleteColumns="0" deleteRows="0" sort="0" autoFilter="0" pivotTables="0"/>
  <mergeCells count="14">
    <mergeCell ref="A1:B2"/>
    <mergeCell ref="G1:G2"/>
    <mergeCell ref="H1:I2"/>
    <mergeCell ref="N1:N2"/>
    <mergeCell ref="H30:I30"/>
    <mergeCell ref="A30:B30"/>
    <mergeCell ref="A28:B28"/>
    <mergeCell ref="A15:B15"/>
    <mergeCell ref="A16:B16"/>
    <mergeCell ref="A29:B29"/>
    <mergeCell ref="H29:I29"/>
    <mergeCell ref="H16:I16"/>
    <mergeCell ref="H15:I15"/>
    <mergeCell ref="H28:I28"/>
  </mergeCells>
  <phoneticPr fontId="2" type="noConversion"/>
  <printOptions horizontalCentered="1"/>
  <pageMargins left="0.59055118110236227" right="0.59055118110236227" top="1.4173228346456694" bottom="0.98425196850393704" header="0.6692913385826772" footer="0.51181102362204722"/>
  <pageSetup paperSize="9" scale="43" orientation="landscape" r:id="rId1"/>
  <headerFooter>
    <oddHeader>&amp;L&amp;11Levél Községi Önkormányzat&amp;C&amp;"Arial CE,Félkövér"&amp;12ZÁRSZÁMADÁSI RENDELET - 2019. év
Működési - felhalmozási mérleg&amp;R&amp;9 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87D8-F723-450C-8B7D-D7F83E7192FC}">
  <sheetPr>
    <tabColor rgb="FFC00000"/>
    <pageSetUpPr fitToPage="1"/>
  </sheetPr>
  <dimension ref="A1:D19"/>
  <sheetViews>
    <sheetView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1" style="1138" customWidth="1"/>
    <col min="2" max="2" width="16.85546875" style="1138" bestFit="1" customWidth="1"/>
    <col min="3" max="3" width="20.140625" style="1138" bestFit="1" customWidth="1"/>
    <col min="4" max="4" width="17.5703125" style="1138" bestFit="1" customWidth="1"/>
    <col min="5" max="255" width="9.140625" style="1138"/>
    <col min="256" max="256" width="8.140625" style="1138" customWidth="1"/>
    <col min="257" max="257" width="41" style="1138" customWidth="1"/>
    <col min="258" max="260" width="32.85546875" style="1138" customWidth="1"/>
    <col min="261" max="511" width="9.140625" style="1138"/>
    <col min="512" max="512" width="8.140625" style="1138" customWidth="1"/>
    <col min="513" max="513" width="41" style="1138" customWidth="1"/>
    <col min="514" max="516" width="32.85546875" style="1138" customWidth="1"/>
    <col min="517" max="767" width="9.140625" style="1138"/>
    <col min="768" max="768" width="8.140625" style="1138" customWidth="1"/>
    <col min="769" max="769" width="41" style="1138" customWidth="1"/>
    <col min="770" max="772" width="32.85546875" style="1138" customWidth="1"/>
    <col min="773" max="1023" width="9.140625" style="1138"/>
    <col min="1024" max="1024" width="8.140625" style="1138" customWidth="1"/>
    <col min="1025" max="1025" width="41" style="1138" customWidth="1"/>
    <col min="1026" max="1028" width="32.85546875" style="1138" customWidth="1"/>
    <col min="1029" max="1279" width="9.140625" style="1138"/>
    <col min="1280" max="1280" width="8.140625" style="1138" customWidth="1"/>
    <col min="1281" max="1281" width="41" style="1138" customWidth="1"/>
    <col min="1282" max="1284" width="32.85546875" style="1138" customWidth="1"/>
    <col min="1285" max="1535" width="9.140625" style="1138"/>
    <col min="1536" max="1536" width="8.140625" style="1138" customWidth="1"/>
    <col min="1537" max="1537" width="41" style="1138" customWidth="1"/>
    <col min="1538" max="1540" width="32.85546875" style="1138" customWidth="1"/>
    <col min="1541" max="1791" width="9.140625" style="1138"/>
    <col min="1792" max="1792" width="8.140625" style="1138" customWidth="1"/>
    <col min="1793" max="1793" width="41" style="1138" customWidth="1"/>
    <col min="1794" max="1796" width="32.85546875" style="1138" customWidth="1"/>
    <col min="1797" max="2047" width="9.140625" style="1138"/>
    <col min="2048" max="2048" width="8.140625" style="1138" customWidth="1"/>
    <col min="2049" max="2049" width="41" style="1138" customWidth="1"/>
    <col min="2050" max="2052" width="32.85546875" style="1138" customWidth="1"/>
    <col min="2053" max="2303" width="9.140625" style="1138"/>
    <col min="2304" max="2304" width="8.140625" style="1138" customWidth="1"/>
    <col min="2305" max="2305" width="41" style="1138" customWidth="1"/>
    <col min="2306" max="2308" width="32.85546875" style="1138" customWidth="1"/>
    <col min="2309" max="2559" width="9.140625" style="1138"/>
    <col min="2560" max="2560" width="8.140625" style="1138" customWidth="1"/>
    <col min="2561" max="2561" width="41" style="1138" customWidth="1"/>
    <col min="2562" max="2564" width="32.85546875" style="1138" customWidth="1"/>
    <col min="2565" max="2815" width="9.140625" style="1138"/>
    <col min="2816" max="2816" width="8.140625" style="1138" customWidth="1"/>
    <col min="2817" max="2817" width="41" style="1138" customWidth="1"/>
    <col min="2818" max="2820" width="32.85546875" style="1138" customWidth="1"/>
    <col min="2821" max="3071" width="9.140625" style="1138"/>
    <col min="3072" max="3072" width="8.140625" style="1138" customWidth="1"/>
    <col min="3073" max="3073" width="41" style="1138" customWidth="1"/>
    <col min="3074" max="3076" width="32.85546875" style="1138" customWidth="1"/>
    <col min="3077" max="3327" width="9.140625" style="1138"/>
    <col min="3328" max="3328" width="8.140625" style="1138" customWidth="1"/>
    <col min="3329" max="3329" width="41" style="1138" customWidth="1"/>
    <col min="3330" max="3332" width="32.85546875" style="1138" customWidth="1"/>
    <col min="3333" max="3583" width="9.140625" style="1138"/>
    <col min="3584" max="3584" width="8.140625" style="1138" customWidth="1"/>
    <col min="3585" max="3585" width="41" style="1138" customWidth="1"/>
    <col min="3586" max="3588" width="32.85546875" style="1138" customWidth="1"/>
    <col min="3589" max="3839" width="9.140625" style="1138"/>
    <col min="3840" max="3840" width="8.140625" style="1138" customWidth="1"/>
    <col min="3841" max="3841" width="41" style="1138" customWidth="1"/>
    <col min="3842" max="3844" width="32.85546875" style="1138" customWidth="1"/>
    <col min="3845" max="4095" width="9.140625" style="1138"/>
    <col min="4096" max="4096" width="8.140625" style="1138" customWidth="1"/>
    <col min="4097" max="4097" width="41" style="1138" customWidth="1"/>
    <col min="4098" max="4100" width="32.85546875" style="1138" customWidth="1"/>
    <col min="4101" max="4351" width="9.140625" style="1138"/>
    <col min="4352" max="4352" width="8.140625" style="1138" customWidth="1"/>
    <col min="4353" max="4353" width="41" style="1138" customWidth="1"/>
    <col min="4354" max="4356" width="32.85546875" style="1138" customWidth="1"/>
    <col min="4357" max="4607" width="9.140625" style="1138"/>
    <col min="4608" max="4608" width="8.140625" style="1138" customWidth="1"/>
    <col min="4609" max="4609" width="41" style="1138" customWidth="1"/>
    <col min="4610" max="4612" width="32.85546875" style="1138" customWidth="1"/>
    <col min="4613" max="4863" width="9.140625" style="1138"/>
    <col min="4864" max="4864" width="8.140625" style="1138" customWidth="1"/>
    <col min="4865" max="4865" width="41" style="1138" customWidth="1"/>
    <col min="4866" max="4868" width="32.85546875" style="1138" customWidth="1"/>
    <col min="4869" max="5119" width="9.140625" style="1138"/>
    <col min="5120" max="5120" width="8.140625" style="1138" customWidth="1"/>
    <col min="5121" max="5121" width="41" style="1138" customWidth="1"/>
    <col min="5122" max="5124" width="32.85546875" style="1138" customWidth="1"/>
    <col min="5125" max="5375" width="9.140625" style="1138"/>
    <col min="5376" max="5376" width="8.140625" style="1138" customWidth="1"/>
    <col min="5377" max="5377" width="41" style="1138" customWidth="1"/>
    <col min="5378" max="5380" width="32.85546875" style="1138" customWidth="1"/>
    <col min="5381" max="5631" width="9.140625" style="1138"/>
    <col min="5632" max="5632" width="8.140625" style="1138" customWidth="1"/>
    <col min="5633" max="5633" width="41" style="1138" customWidth="1"/>
    <col min="5634" max="5636" width="32.85546875" style="1138" customWidth="1"/>
    <col min="5637" max="5887" width="9.140625" style="1138"/>
    <col min="5888" max="5888" width="8.140625" style="1138" customWidth="1"/>
    <col min="5889" max="5889" width="41" style="1138" customWidth="1"/>
    <col min="5890" max="5892" width="32.85546875" style="1138" customWidth="1"/>
    <col min="5893" max="6143" width="9.140625" style="1138"/>
    <col min="6144" max="6144" width="8.140625" style="1138" customWidth="1"/>
    <col min="6145" max="6145" width="41" style="1138" customWidth="1"/>
    <col min="6146" max="6148" width="32.85546875" style="1138" customWidth="1"/>
    <col min="6149" max="6399" width="9.140625" style="1138"/>
    <col min="6400" max="6400" width="8.140625" style="1138" customWidth="1"/>
    <col min="6401" max="6401" width="41" style="1138" customWidth="1"/>
    <col min="6402" max="6404" width="32.85546875" style="1138" customWidth="1"/>
    <col min="6405" max="6655" width="9.140625" style="1138"/>
    <col min="6656" max="6656" width="8.140625" style="1138" customWidth="1"/>
    <col min="6657" max="6657" width="41" style="1138" customWidth="1"/>
    <col min="6658" max="6660" width="32.85546875" style="1138" customWidth="1"/>
    <col min="6661" max="6911" width="9.140625" style="1138"/>
    <col min="6912" max="6912" width="8.140625" style="1138" customWidth="1"/>
    <col min="6913" max="6913" width="41" style="1138" customWidth="1"/>
    <col min="6914" max="6916" width="32.85546875" style="1138" customWidth="1"/>
    <col min="6917" max="7167" width="9.140625" style="1138"/>
    <col min="7168" max="7168" width="8.140625" style="1138" customWidth="1"/>
    <col min="7169" max="7169" width="41" style="1138" customWidth="1"/>
    <col min="7170" max="7172" width="32.85546875" style="1138" customWidth="1"/>
    <col min="7173" max="7423" width="9.140625" style="1138"/>
    <col min="7424" max="7424" width="8.140625" style="1138" customWidth="1"/>
    <col min="7425" max="7425" width="41" style="1138" customWidth="1"/>
    <col min="7426" max="7428" width="32.85546875" style="1138" customWidth="1"/>
    <col min="7429" max="7679" width="9.140625" style="1138"/>
    <col min="7680" max="7680" width="8.140625" style="1138" customWidth="1"/>
    <col min="7681" max="7681" width="41" style="1138" customWidth="1"/>
    <col min="7682" max="7684" width="32.85546875" style="1138" customWidth="1"/>
    <col min="7685" max="7935" width="9.140625" style="1138"/>
    <col min="7936" max="7936" width="8.140625" style="1138" customWidth="1"/>
    <col min="7937" max="7937" width="41" style="1138" customWidth="1"/>
    <col min="7938" max="7940" width="32.85546875" style="1138" customWidth="1"/>
    <col min="7941" max="8191" width="9.140625" style="1138"/>
    <col min="8192" max="8192" width="8.140625" style="1138" customWidth="1"/>
    <col min="8193" max="8193" width="41" style="1138" customWidth="1"/>
    <col min="8194" max="8196" width="32.85546875" style="1138" customWidth="1"/>
    <col min="8197" max="8447" width="9.140625" style="1138"/>
    <col min="8448" max="8448" width="8.140625" style="1138" customWidth="1"/>
    <col min="8449" max="8449" width="41" style="1138" customWidth="1"/>
    <col min="8450" max="8452" width="32.85546875" style="1138" customWidth="1"/>
    <col min="8453" max="8703" width="9.140625" style="1138"/>
    <col min="8704" max="8704" width="8.140625" style="1138" customWidth="1"/>
    <col min="8705" max="8705" width="41" style="1138" customWidth="1"/>
    <col min="8706" max="8708" width="32.85546875" style="1138" customWidth="1"/>
    <col min="8709" max="8959" width="9.140625" style="1138"/>
    <col min="8960" max="8960" width="8.140625" style="1138" customWidth="1"/>
    <col min="8961" max="8961" width="41" style="1138" customWidth="1"/>
    <col min="8962" max="8964" width="32.85546875" style="1138" customWidth="1"/>
    <col min="8965" max="9215" width="9.140625" style="1138"/>
    <col min="9216" max="9216" width="8.140625" style="1138" customWidth="1"/>
    <col min="9217" max="9217" width="41" style="1138" customWidth="1"/>
    <col min="9218" max="9220" width="32.85546875" style="1138" customWidth="1"/>
    <col min="9221" max="9471" width="9.140625" style="1138"/>
    <col min="9472" max="9472" width="8.140625" style="1138" customWidth="1"/>
    <col min="9473" max="9473" width="41" style="1138" customWidth="1"/>
    <col min="9474" max="9476" width="32.85546875" style="1138" customWidth="1"/>
    <col min="9477" max="9727" width="9.140625" style="1138"/>
    <col min="9728" max="9728" width="8.140625" style="1138" customWidth="1"/>
    <col min="9729" max="9729" width="41" style="1138" customWidth="1"/>
    <col min="9730" max="9732" width="32.85546875" style="1138" customWidth="1"/>
    <col min="9733" max="9983" width="9.140625" style="1138"/>
    <col min="9984" max="9984" width="8.140625" style="1138" customWidth="1"/>
    <col min="9985" max="9985" width="41" style="1138" customWidth="1"/>
    <col min="9986" max="9988" width="32.85546875" style="1138" customWidth="1"/>
    <col min="9989" max="10239" width="9.140625" style="1138"/>
    <col min="10240" max="10240" width="8.140625" style="1138" customWidth="1"/>
    <col min="10241" max="10241" width="41" style="1138" customWidth="1"/>
    <col min="10242" max="10244" width="32.85546875" style="1138" customWidth="1"/>
    <col min="10245" max="10495" width="9.140625" style="1138"/>
    <col min="10496" max="10496" width="8.140625" style="1138" customWidth="1"/>
    <col min="10497" max="10497" width="41" style="1138" customWidth="1"/>
    <col min="10498" max="10500" width="32.85546875" style="1138" customWidth="1"/>
    <col min="10501" max="10751" width="9.140625" style="1138"/>
    <col min="10752" max="10752" width="8.140625" style="1138" customWidth="1"/>
    <col min="10753" max="10753" width="41" style="1138" customWidth="1"/>
    <col min="10754" max="10756" width="32.85546875" style="1138" customWidth="1"/>
    <col min="10757" max="11007" width="9.140625" style="1138"/>
    <col min="11008" max="11008" width="8.140625" style="1138" customWidth="1"/>
    <col min="11009" max="11009" width="41" style="1138" customWidth="1"/>
    <col min="11010" max="11012" width="32.85546875" style="1138" customWidth="1"/>
    <col min="11013" max="11263" width="9.140625" style="1138"/>
    <col min="11264" max="11264" width="8.140625" style="1138" customWidth="1"/>
    <col min="11265" max="11265" width="41" style="1138" customWidth="1"/>
    <col min="11266" max="11268" width="32.85546875" style="1138" customWidth="1"/>
    <col min="11269" max="11519" width="9.140625" style="1138"/>
    <col min="11520" max="11520" width="8.140625" style="1138" customWidth="1"/>
    <col min="11521" max="11521" width="41" style="1138" customWidth="1"/>
    <col min="11522" max="11524" width="32.85546875" style="1138" customWidth="1"/>
    <col min="11525" max="11775" width="9.140625" style="1138"/>
    <col min="11776" max="11776" width="8.140625" style="1138" customWidth="1"/>
    <col min="11777" max="11777" width="41" style="1138" customWidth="1"/>
    <col min="11778" max="11780" width="32.85546875" style="1138" customWidth="1"/>
    <col min="11781" max="12031" width="9.140625" style="1138"/>
    <col min="12032" max="12032" width="8.140625" style="1138" customWidth="1"/>
    <col min="12033" max="12033" width="41" style="1138" customWidth="1"/>
    <col min="12034" max="12036" width="32.85546875" style="1138" customWidth="1"/>
    <col min="12037" max="12287" width="9.140625" style="1138"/>
    <col min="12288" max="12288" width="8.140625" style="1138" customWidth="1"/>
    <col min="12289" max="12289" width="41" style="1138" customWidth="1"/>
    <col min="12290" max="12292" width="32.85546875" style="1138" customWidth="1"/>
    <col min="12293" max="12543" width="9.140625" style="1138"/>
    <col min="12544" max="12544" width="8.140625" style="1138" customWidth="1"/>
    <col min="12545" max="12545" width="41" style="1138" customWidth="1"/>
    <col min="12546" max="12548" width="32.85546875" style="1138" customWidth="1"/>
    <col min="12549" max="12799" width="9.140625" style="1138"/>
    <col min="12800" max="12800" width="8.140625" style="1138" customWidth="1"/>
    <col min="12801" max="12801" width="41" style="1138" customWidth="1"/>
    <col min="12802" max="12804" width="32.85546875" style="1138" customWidth="1"/>
    <col min="12805" max="13055" width="9.140625" style="1138"/>
    <col min="13056" max="13056" width="8.140625" style="1138" customWidth="1"/>
    <col min="13057" max="13057" width="41" style="1138" customWidth="1"/>
    <col min="13058" max="13060" width="32.85546875" style="1138" customWidth="1"/>
    <col min="13061" max="13311" width="9.140625" style="1138"/>
    <col min="13312" max="13312" width="8.140625" style="1138" customWidth="1"/>
    <col min="13313" max="13313" width="41" style="1138" customWidth="1"/>
    <col min="13314" max="13316" width="32.85546875" style="1138" customWidth="1"/>
    <col min="13317" max="13567" width="9.140625" style="1138"/>
    <col min="13568" max="13568" width="8.140625" style="1138" customWidth="1"/>
    <col min="13569" max="13569" width="41" style="1138" customWidth="1"/>
    <col min="13570" max="13572" width="32.85546875" style="1138" customWidth="1"/>
    <col min="13573" max="13823" width="9.140625" style="1138"/>
    <col min="13824" max="13824" width="8.140625" style="1138" customWidth="1"/>
    <col min="13825" max="13825" width="41" style="1138" customWidth="1"/>
    <col min="13826" max="13828" width="32.85546875" style="1138" customWidth="1"/>
    <col min="13829" max="14079" width="9.140625" style="1138"/>
    <col min="14080" max="14080" width="8.140625" style="1138" customWidth="1"/>
    <col min="14081" max="14081" width="41" style="1138" customWidth="1"/>
    <col min="14082" max="14084" width="32.85546875" style="1138" customWidth="1"/>
    <col min="14085" max="14335" width="9.140625" style="1138"/>
    <col min="14336" max="14336" width="8.140625" style="1138" customWidth="1"/>
    <col min="14337" max="14337" width="41" style="1138" customWidth="1"/>
    <col min="14338" max="14340" width="32.85546875" style="1138" customWidth="1"/>
    <col min="14341" max="14591" width="9.140625" style="1138"/>
    <col min="14592" max="14592" width="8.140625" style="1138" customWidth="1"/>
    <col min="14593" max="14593" width="41" style="1138" customWidth="1"/>
    <col min="14594" max="14596" width="32.85546875" style="1138" customWidth="1"/>
    <col min="14597" max="14847" width="9.140625" style="1138"/>
    <col min="14848" max="14848" width="8.140625" style="1138" customWidth="1"/>
    <col min="14849" max="14849" width="41" style="1138" customWidth="1"/>
    <col min="14850" max="14852" width="32.85546875" style="1138" customWidth="1"/>
    <col min="14853" max="15103" width="9.140625" style="1138"/>
    <col min="15104" max="15104" width="8.140625" style="1138" customWidth="1"/>
    <col min="15105" max="15105" width="41" style="1138" customWidth="1"/>
    <col min="15106" max="15108" width="32.85546875" style="1138" customWidth="1"/>
    <col min="15109" max="15359" width="9.140625" style="1138"/>
    <col min="15360" max="15360" width="8.140625" style="1138" customWidth="1"/>
    <col min="15361" max="15361" width="41" style="1138" customWidth="1"/>
    <col min="15362" max="15364" width="32.85546875" style="1138" customWidth="1"/>
    <col min="15365" max="15615" width="9.140625" style="1138"/>
    <col min="15616" max="15616" width="8.140625" style="1138" customWidth="1"/>
    <col min="15617" max="15617" width="41" style="1138" customWidth="1"/>
    <col min="15618" max="15620" width="32.85546875" style="1138" customWidth="1"/>
    <col min="15621" max="15871" width="9.140625" style="1138"/>
    <col min="15872" max="15872" width="8.140625" style="1138" customWidth="1"/>
    <col min="15873" max="15873" width="41" style="1138" customWidth="1"/>
    <col min="15874" max="15876" width="32.85546875" style="1138" customWidth="1"/>
    <col min="15877" max="16127" width="9.140625" style="1138"/>
    <col min="16128" max="16128" width="8.140625" style="1138" customWidth="1"/>
    <col min="16129" max="16129" width="41" style="1138" customWidth="1"/>
    <col min="16130" max="16132" width="32.85546875" style="1138" customWidth="1"/>
    <col min="16133" max="16384" width="9.140625" style="1138"/>
  </cols>
  <sheetData>
    <row r="1" spans="1:4" ht="18.75" thickBot="1" x14ac:dyDescent="0.25">
      <c r="A1" s="1413" t="s">
        <v>904</v>
      </c>
      <c r="B1" s="1413"/>
      <c r="C1" s="1413"/>
      <c r="D1" s="1413"/>
    </row>
    <row r="2" spans="1:4" ht="16.5" thickBot="1" x14ac:dyDescent="0.25">
      <c r="A2" s="1134" t="s">
        <v>71</v>
      </c>
      <c r="B2" s="1134" t="s">
        <v>849</v>
      </c>
      <c r="C2" s="1134" t="s">
        <v>850</v>
      </c>
      <c r="D2" s="1134" t="s">
        <v>851</v>
      </c>
    </row>
    <row r="3" spans="1:4" x14ac:dyDescent="0.2">
      <c r="A3" s="1150" t="s">
        <v>852</v>
      </c>
      <c r="B3" s="1189">
        <v>77550</v>
      </c>
      <c r="C3" s="1189">
        <v>0</v>
      </c>
      <c r="D3" s="1151">
        <v>596646</v>
      </c>
    </row>
    <row r="4" spans="1:4" x14ac:dyDescent="0.2">
      <c r="A4" s="1190" t="s">
        <v>853</v>
      </c>
      <c r="B4" s="1191">
        <v>77550</v>
      </c>
      <c r="C4" s="1191">
        <v>0</v>
      </c>
      <c r="D4" s="1192">
        <v>596646</v>
      </c>
    </row>
    <row r="5" spans="1:4" ht="15" x14ac:dyDescent="0.2">
      <c r="A5" s="1183" t="s">
        <v>797</v>
      </c>
      <c r="B5" s="1184">
        <v>77550</v>
      </c>
      <c r="C5" s="1184">
        <v>0</v>
      </c>
      <c r="D5" s="1185">
        <v>596646</v>
      </c>
    </row>
    <row r="6" spans="1:4" ht="38.25" x14ac:dyDescent="0.2">
      <c r="A6" s="1152" t="s">
        <v>854</v>
      </c>
      <c r="B6" s="1193">
        <v>12710</v>
      </c>
      <c r="C6" s="1193">
        <v>0</v>
      </c>
      <c r="D6" s="1143">
        <v>37392</v>
      </c>
    </row>
    <row r="7" spans="1:4" ht="25.5" x14ac:dyDescent="0.2">
      <c r="A7" s="1152" t="s">
        <v>855</v>
      </c>
      <c r="B7" s="1193">
        <v>12710</v>
      </c>
      <c r="C7" s="1193">
        <v>0</v>
      </c>
      <c r="D7" s="1143">
        <v>37392</v>
      </c>
    </row>
    <row r="8" spans="1:4" ht="25.5" x14ac:dyDescent="0.2">
      <c r="A8" s="1190" t="s">
        <v>798</v>
      </c>
      <c r="B8" s="1191">
        <v>12710</v>
      </c>
      <c r="C8" s="1191">
        <v>0</v>
      </c>
      <c r="D8" s="1192">
        <v>37392</v>
      </c>
    </row>
    <row r="9" spans="1:4" ht="15.75" thickBot="1" x14ac:dyDescent="0.25">
      <c r="A9" s="1186" t="s">
        <v>801</v>
      </c>
      <c r="B9" s="1187">
        <v>12710</v>
      </c>
      <c r="C9" s="1187">
        <v>0</v>
      </c>
      <c r="D9" s="1188">
        <v>37392</v>
      </c>
    </row>
    <row r="10" spans="1:4" ht="32.25" thickBot="1" x14ac:dyDescent="0.25">
      <c r="A10" s="1158" t="s">
        <v>803</v>
      </c>
      <c r="B10" s="1135">
        <v>90260</v>
      </c>
      <c r="C10" s="1135">
        <v>0</v>
      </c>
      <c r="D10" s="1136">
        <v>634038</v>
      </c>
    </row>
    <row r="11" spans="1:4" x14ac:dyDescent="0.2">
      <c r="A11" s="1157" t="s">
        <v>805</v>
      </c>
      <c r="B11" s="1194">
        <v>-7718</v>
      </c>
      <c r="C11" s="1194">
        <v>0</v>
      </c>
      <c r="D11" s="1142">
        <v>-3130166</v>
      </c>
    </row>
    <row r="12" spans="1:4" x14ac:dyDescent="0.2">
      <c r="A12" s="1152" t="s">
        <v>806</v>
      </c>
      <c r="B12" s="1193">
        <v>-3122448</v>
      </c>
      <c r="C12" s="1193">
        <v>0</v>
      </c>
      <c r="D12" s="1143">
        <v>-68936</v>
      </c>
    </row>
    <row r="13" spans="1:4" ht="15" x14ac:dyDescent="0.2">
      <c r="A13" s="1183" t="s">
        <v>807</v>
      </c>
      <c r="B13" s="1184">
        <v>-3130166</v>
      </c>
      <c r="C13" s="1184">
        <v>0</v>
      </c>
      <c r="D13" s="1185">
        <v>-3199102</v>
      </c>
    </row>
    <row r="14" spans="1:4" x14ac:dyDescent="0.2">
      <c r="A14" s="1152" t="s">
        <v>856</v>
      </c>
      <c r="B14" s="1193">
        <v>0</v>
      </c>
      <c r="C14" s="1193">
        <v>0</v>
      </c>
      <c r="D14" s="1143">
        <v>6000</v>
      </c>
    </row>
    <row r="15" spans="1:4" ht="25.5" x14ac:dyDescent="0.2">
      <c r="A15" s="1190" t="s">
        <v>809</v>
      </c>
      <c r="B15" s="1191">
        <v>0</v>
      </c>
      <c r="C15" s="1191">
        <v>0</v>
      </c>
      <c r="D15" s="1192">
        <v>6000</v>
      </c>
    </row>
    <row r="16" spans="1:4" ht="30" x14ac:dyDescent="0.2">
      <c r="A16" s="1183" t="s">
        <v>810</v>
      </c>
      <c r="B16" s="1184">
        <v>0</v>
      </c>
      <c r="C16" s="1184">
        <v>0</v>
      </c>
      <c r="D16" s="1185">
        <v>6000</v>
      </c>
    </row>
    <row r="17" spans="1:4" ht="25.5" x14ac:dyDescent="0.2">
      <c r="A17" s="1152" t="s">
        <v>857</v>
      </c>
      <c r="B17" s="1193">
        <v>3220426</v>
      </c>
      <c r="C17" s="1193">
        <v>0</v>
      </c>
      <c r="D17" s="1143">
        <v>3827140</v>
      </c>
    </row>
    <row r="18" spans="1:4" ht="30.75" thickBot="1" x14ac:dyDescent="0.25">
      <c r="A18" s="1186" t="s">
        <v>811</v>
      </c>
      <c r="B18" s="1187">
        <v>3220426</v>
      </c>
      <c r="C18" s="1187">
        <v>0</v>
      </c>
      <c r="D18" s="1188">
        <v>3827140</v>
      </c>
    </row>
    <row r="19" spans="1:4" ht="16.5" thickBot="1" x14ac:dyDescent="0.25">
      <c r="A19" s="1158" t="s">
        <v>812</v>
      </c>
      <c r="B19" s="1135">
        <v>90260</v>
      </c>
      <c r="C19" s="1135">
        <v>0</v>
      </c>
      <c r="D19" s="1136">
        <v>634038</v>
      </c>
    </row>
  </sheetData>
  <sheetProtection algorithmName="SHA-512" hashValue="K7TY5ltDQHPHYj7ON13q2nt1d/VgKVuMyBD3YB5EaKTGg9S1IXRRWqcYBIXvMse27NLPmDJtIbCzieALDkMrJA==" saltValue="t29wWfOxP0KU4tDTSgSKEw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4803149606299213" right="0.74803149606299213" top="1.03" bottom="0.31496062992125984" header="0.35433070866141736" footer="0.19685039370078741"/>
  <pageSetup scale="95" orientation="portrait" horizontalDpi="300" verticalDpi="300" r:id="rId1"/>
  <headerFooter>
    <oddHeader xml:space="preserve">&amp;LLevél Községi
Önkormányzat&amp;C&amp;"Arial CE,Félkövér"&amp;12ZÁRSZÁMADÁSI RENDELET - 2019. év&amp;R&amp;9 20. melléklet&amp;10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FA3D-9958-4DA8-AACA-51D032D26230}">
  <sheetPr>
    <pageSetUpPr fitToPage="1"/>
  </sheetPr>
  <dimension ref="A1:D25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2.75" x14ac:dyDescent="0.2"/>
  <cols>
    <col min="1" max="1" width="55.28515625" style="1132" bestFit="1" customWidth="1"/>
    <col min="2" max="2" width="32" style="1132" bestFit="1" customWidth="1"/>
    <col min="3" max="3" width="17" style="1132" bestFit="1" customWidth="1"/>
    <col min="4" max="4" width="24" style="1132" bestFit="1" customWidth="1"/>
    <col min="5" max="255" width="9.140625" style="1132"/>
    <col min="256" max="256" width="8.140625" style="1132" customWidth="1"/>
    <col min="257" max="257" width="41" style="1132" customWidth="1"/>
    <col min="258" max="260" width="32.85546875" style="1132" customWidth="1"/>
    <col min="261" max="511" width="9.140625" style="1132"/>
    <col min="512" max="512" width="8.140625" style="1132" customWidth="1"/>
    <col min="513" max="513" width="41" style="1132" customWidth="1"/>
    <col min="514" max="516" width="32.85546875" style="1132" customWidth="1"/>
    <col min="517" max="767" width="9.140625" style="1132"/>
    <col min="768" max="768" width="8.140625" style="1132" customWidth="1"/>
    <col min="769" max="769" width="41" style="1132" customWidth="1"/>
    <col min="770" max="772" width="32.85546875" style="1132" customWidth="1"/>
    <col min="773" max="1023" width="9.140625" style="1132"/>
    <col min="1024" max="1024" width="8.140625" style="1132" customWidth="1"/>
    <col min="1025" max="1025" width="41" style="1132" customWidth="1"/>
    <col min="1026" max="1028" width="32.85546875" style="1132" customWidth="1"/>
    <col min="1029" max="1279" width="9.140625" style="1132"/>
    <col min="1280" max="1280" width="8.140625" style="1132" customWidth="1"/>
    <col min="1281" max="1281" width="41" style="1132" customWidth="1"/>
    <col min="1282" max="1284" width="32.85546875" style="1132" customWidth="1"/>
    <col min="1285" max="1535" width="9.140625" style="1132"/>
    <col min="1536" max="1536" width="8.140625" style="1132" customWidth="1"/>
    <col min="1537" max="1537" width="41" style="1132" customWidth="1"/>
    <col min="1538" max="1540" width="32.85546875" style="1132" customWidth="1"/>
    <col min="1541" max="1791" width="9.140625" style="1132"/>
    <col min="1792" max="1792" width="8.140625" style="1132" customWidth="1"/>
    <col min="1793" max="1793" width="41" style="1132" customWidth="1"/>
    <col min="1794" max="1796" width="32.85546875" style="1132" customWidth="1"/>
    <col min="1797" max="2047" width="9.140625" style="1132"/>
    <col min="2048" max="2048" width="8.140625" style="1132" customWidth="1"/>
    <col min="2049" max="2049" width="41" style="1132" customWidth="1"/>
    <col min="2050" max="2052" width="32.85546875" style="1132" customWidth="1"/>
    <col min="2053" max="2303" width="9.140625" style="1132"/>
    <col min="2304" max="2304" width="8.140625" style="1132" customWidth="1"/>
    <col min="2305" max="2305" width="41" style="1132" customWidth="1"/>
    <col min="2306" max="2308" width="32.85546875" style="1132" customWidth="1"/>
    <col min="2309" max="2559" width="9.140625" style="1132"/>
    <col min="2560" max="2560" width="8.140625" style="1132" customWidth="1"/>
    <col min="2561" max="2561" width="41" style="1132" customWidth="1"/>
    <col min="2562" max="2564" width="32.85546875" style="1132" customWidth="1"/>
    <col min="2565" max="2815" width="9.140625" style="1132"/>
    <col min="2816" max="2816" width="8.140625" style="1132" customWidth="1"/>
    <col min="2817" max="2817" width="41" style="1132" customWidth="1"/>
    <col min="2818" max="2820" width="32.85546875" style="1132" customWidth="1"/>
    <col min="2821" max="3071" width="9.140625" style="1132"/>
    <col min="3072" max="3072" width="8.140625" style="1132" customWidth="1"/>
    <col min="3073" max="3073" width="41" style="1132" customWidth="1"/>
    <col min="3074" max="3076" width="32.85546875" style="1132" customWidth="1"/>
    <col min="3077" max="3327" width="9.140625" style="1132"/>
    <col min="3328" max="3328" width="8.140625" style="1132" customWidth="1"/>
    <col min="3329" max="3329" width="41" style="1132" customWidth="1"/>
    <col min="3330" max="3332" width="32.85546875" style="1132" customWidth="1"/>
    <col min="3333" max="3583" width="9.140625" style="1132"/>
    <col min="3584" max="3584" width="8.140625" style="1132" customWidth="1"/>
    <col min="3585" max="3585" width="41" style="1132" customWidth="1"/>
    <col min="3586" max="3588" width="32.85546875" style="1132" customWidth="1"/>
    <col min="3589" max="3839" width="9.140625" style="1132"/>
    <col min="3840" max="3840" width="8.140625" style="1132" customWidth="1"/>
    <col min="3841" max="3841" width="41" style="1132" customWidth="1"/>
    <col min="3842" max="3844" width="32.85546875" style="1132" customWidth="1"/>
    <col min="3845" max="4095" width="9.140625" style="1132"/>
    <col min="4096" max="4096" width="8.140625" style="1132" customWidth="1"/>
    <col min="4097" max="4097" width="41" style="1132" customWidth="1"/>
    <col min="4098" max="4100" width="32.85546875" style="1132" customWidth="1"/>
    <col min="4101" max="4351" width="9.140625" style="1132"/>
    <col min="4352" max="4352" width="8.140625" style="1132" customWidth="1"/>
    <col min="4353" max="4353" width="41" style="1132" customWidth="1"/>
    <col min="4354" max="4356" width="32.85546875" style="1132" customWidth="1"/>
    <col min="4357" max="4607" width="9.140625" style="1132"/>
    <col min="4608" max="4608" width="8.140625" style="1132" customWidth="1"/>
    <col min="4609" max="4609" width="41" style="1132" customWidth="1"/>
    <col min="4610" max="4612" width="32.85546875" style="1132" customWidth="1"/>
    <col min="4613" max="4863" width="9.140625" style="1132"/>
    <col min="4864" max="4864" width="8.140625" style="1132" customWidth="1"/>
    <col min="4865" max="4865" width="41" style="1132" customWidth="1"/>
    <col min="4866" max="4868" width="32.85546875" style="1132" customWidth="1"/>
    <col min="4869" max="5119" width="9.140625" style="1132"/>
    <col min="5120" max="5120" width="8.140625" style="1132" customWidth="1"/>
    <col min="5121" max="5121" width="41" style="1132" customWidth="1"/>
    <col min="5122" max="5124" width="32.85546875" style="1132" customWidth="1"/>
    <col min="5125" max="5375" width="9.140625" style="1132"/>
    <col min="5376" max="5376" width="8.140625" style="1132" customWidth="1"/>
    <col min="5377" max="5377" width="41" style="1132" customWidth="1"/>
    <col min="5378" max="5380" width="32.85546875" style="1132" customWidth="1"/>
    <col min="5381" max="5631" width="9.140625" style="1132"/>
    <col min="5632" max="5632" width="8.140625" style="1132" customWidth="1"/>
    <col min="5633" max="5633" width="41" style="1132" customWidth="1"/>
    <col min="5634" max="5636" width="32.85546875" style="1132" customWidth="1"/>
    <col min="5637" max="5887" width="9.140625" style="1132"/>
    <col min="5888" max="5888" width="8.140625" style="1132" customWidth="1"/>
    <col min="5889" max="5889" width="41" style="1132" customWidth="1"/>
    <col min="5890" max="5892" width="32.85546875" style="1132" customWidth="1"/>
    <col min="5893" max="6143" width="9.140625" style="1132"/>
    <col min="6144" max="6144" width="8.140625" style="1132" customWidth="1"/>
    <col min="6145" max="6145" width="41" style="1132" customWidth="1"/>
    <col min="6146" max="6148" width="32.85546875" style="1132" customWidth="1"/>
    <col min="6149" max="6399" width="9.140625" style="1132"/>
    <col min="6400" max="6400" width="8.140625" style="1132" customWidth="1"/>
    <col min="6401" max="6401" width="41" style="1132" customWidth="1"/>
    <col min="6402" max="6404" width="32.85546875" style="1132" customWidth="1"/>
    <col min="6405" max="6655" width="9.140625" style="1132"/>
    <col min="6656" max="6656" width="8.140625" style="1132" customWidth="1"/>
    <col min="6657" max="6657" width="41" style="1132" customWidth="1"/>
    <col min="6658" max="6660" width="32.85546875" style="1132" customWidth="1"/>
    <col min="6661" max="6911" width="9.140625" style="1132"/>
    <col min="6912" max="6912" width="8.140625" style="1132" customWidth="1"/>
    <col min="6913" max="6913" width="41" style="1132" customWidth="1"/>
    <col min="6914" max="6916" width="32.85546875" style="1132" customWidth="1"/>
    <col min="6917" max="7167" width="9.140625" style="1132"/>
    <col min="7168" max="7168" width="8.140625" style="1132" customWidth="1"/>
    <col min="7169" max="7169" width="41" style="1132" customWidth="1"/>
    <col min="7170" max="7172" width="32.85546875" style="1132" customWidth="1"/>
    <col min="7173" max="7423" width="9.140625" style="1132"/>
    <col min="7424" max="7424" width="8.140625" style="1132" customWidth="1"/>
    <col min="7425" max="7425" width="41" style="1132" customWidth="1"/>
    <col min="7426" max="7428" width="32.85546875" style="1132" customWidth="1"/>
    <col min="7429" max="7679" width="9.140625" style="1132"/>
    <col min="7680" max="7680" width="8.140625" style="1132" customWidth="1"/>
    <col min="7681" max="7681" width="41" style="1132" customWidth="1"/>
    <col min="7682" max="7684" width="32.85546875" style="1132" customWidth="1"/>
    <col min="7685" max="7935" width="9.140625" style="1132"/>
    <col min="7936" max="7936" width="8.140625" style="1132" customWidth="1"/>
    <col min="7937" max="7937" width="41" style="1132" customWidth="1"/>
    <col min="7938" max="7940" width="32.85546875" style="1132" customWidth="1"/>
    <col min="7941" max="8191" width="9.140625" style="1132"/>
    <col min="8192" max="8192" width="8.140625" style="1132" customWidth="1"/>
    <col min="8193" max="8193" width="41" style="1132" customWidth="1"/>
    <col min="8194" max="8196" width="32.85546875" style="1132" customWidth="1"/>
    <col min="8197" max="8447" width="9.140625" style="1132"/>
    <col min="8448" max="8448" width="8.140625" style="1132" customWidth="1"/>
    <col min="8449" max="8449" width="41" style="1132" customWidth="1"/>
    <col min="8450" max="8452" width="32.85546875" style="1132" customWidth="1"/>
    <col min="8453" max="8703" width="9.140625" style="1132"/>
    <col min="8704" max="8704" width="8.140625" style="1132" customWidth="1"/>
    <col min="8705" max="8705" width="41" style="1132" customWidth="1"/>
    <col min="8706" max="8708" width="32.85546875" style="1132" customWidth="1"/>
    <col min="8709" max="8959" width="9.140625" style="1132"/>
    <col min="8960" max="8960" width="8.140625" style="1132" customWidth="1"/>
    <col min="8961" max="8961" width="41" style="1132" customWidth="1"/>
    <col min="8962" max="8964" width="32.85546875" style="1132" customWidth="1"/>
    <col min="8965" max="9215" width="9.140625" style="1132"/>
    <col min="9216" max="9216" width="8.140625" style="1132" customWidth="1"/>
    <col min="9217" max="9217" width="41" style="1132" customWidth="1"/>
    <col min="9218" max="9220" width="32.85546875" style="1132" customWidth="1"/>
    <col min="9221" max="9471" width="9.140625" style="1132"/>
    <col min="9472" max="9472" width="8.140625" style="1132" customWidth="1"/>
    <col min="9473" max="9473" width="41" style="1132" customWidth="1"/>
    <col min="9474" max="9476" width="32.85546875" style="1132" customWidth="1"/>
    <col min="9477" max="9727" width="9.140625" style="1132"/>
    <col min="9728" max="9728" width="8.140625" style="1132" customWidth="1"/>
    <col min="9729" max="9729" width="41" style="1132" customWidth="1"/>
    <col min="9730" max="9732" width="32.85546875" style="1132" customWidth="1"/>
    <col min="9733" max="9983" width="9.140625" style="1132"/>
    <col min="9984" max="9984" width="8.140625" style="1132" customWidth="1"/>
    <col min="9985" max="9985" width="41" style="1132" customWidth="1"/>
    <col min="9986" max="9988" width="32.85546875" style="1132" customWidth="1"/>
    <col min="9989" max="10239" width="9.140625" style="1132"/>
    <col min="10240" max="10240" width="8.140625" style="1132" customWidth="1"/>
    <col min="10241" max="10241" width="41" style="1132" customWidth="1"/>
    <col min="10242" max="10244" width="32.85546875" style="1132" customWidth="1"/>
    <col min="10245" max="10495" width="9.140625" style="1132"/>
    <col min="10496" max="10496" width="8.140625" style="1132" customWidth="1"/>
    <col min="10497" max="10497" width="41" style="1132" customWidth="1"/>
    <col min="10498" max="10500" width="32.85546875" style="1132" customWidth="1"/>
    <col min="10501" max="10751" width="9.140625" style="1132"/>
    <col min="10752" max="10752" width="8.140625" style="1132" customWidth="1"/>
    <col min="10753" max="10753" width="41" style="1132" customWidth="1"/>
    <col min="10754" max="10756" width="32.85546875" style="1132" customWidth="1"/>
    <col min="10757" max="11007" width="9.140625" style="1132"/>
    <col min="11008" max="11008" width="8.140625" style="1132" customWidth="1"/>
    <col min="11009" max="11009" width="41" style="1132" customWidth="1"/>
    <col min="11010" max="11012" width="32.85546875" style="1132" customWidth="1"/>
    <col min="11013" max="11263" width="9.140625" style="1132"/>
    <col min="11264" max="11264" width="8.140625" style="1132" customWidth="1"/>
    <col min="11265" max="11265" width="41" style="1132" customWidth="1"/>
    <col min="11266" max="11268" width="32.85546875" style="1132" customWidth="1"/>
    <col min="11269" max="11519" width="9.140625" style="1132"/>
    <col min="11520" max="11520" width="8.140625" style="1132" customWidth="1"/>
    <col min="11521" max="11521" width="41" style="1132" customWidth="1"/>
    <col min="11522" max="11524" width="32.85546875" style="1132" customWidth="1"/>
    <col min="11525" max="11775" width="9.140625" style="1132"/>
    <col min="11776" max="11776" width="8.140625" style="1132" customWidth="1"/>
    <col min="11777" max="11777" width="41" style="1132" customWidth="1"/>
    <col min="11778" max="11780" width="32.85546875" style="1132" customWidth="1"/>
    <col min="11781" max="12031" width="9.140625" style="1132"/>
    <col min="12032" max="12032" width="8.140625" style="1132" customWidth="1"/>
    <col min="12033" max="12033" width="41" style="1132" customWidth="1"/>
    <col min="12034" max="12036" width="32.85546875" style="1132" customWidth="1"/>
    <col min="12037" max="12287" width="9.140625" style="1132"/>
    <col min="12288" max="12288" width="8.140625" style="1132" customWidth="1"/>
    <col min="12289" max="12289" width="41" style="1132" customWidth="1"/>
    <col min="12290" max="12292" width="32.85546875" style="1132" customWidth="1"/>
    <col min="12293" max="12543" width="9.140625" style="1132"/>
    <col min="12544" max="12544" width="8.140625" style="1132" customWidth="1"/>
    <col min="12545" max="12545" width="41" style="1132" customWidth="1"/>
    <col min="12546" max="12548" width="32.85546875" style="1132" customWidth="1"/>
    <col min="12549" max="12799" width="9.140625" style="1132"/>
    <col min="12800" max="12800" width="8.140625" style="1132" customWidth="1"/>
    <col min="12801" max="12801" width="41" style="1132" customWidth="1"/>
    <col min="12802" max="12804" width="32.85546875" style="1132" customWidth="1"/>
    <col min="12805" max="13055" width="9.140625" style="1132"/>
    <col min="13056" max="13056" width="8.140625" style="1132" customWidth="1"/>
    <col min="13057" max="13057" width="41" style="1132" customWidth="1"/>
    <col min="13058" max="13060" width="32.85546875" style="1132" customWidth="1"/>
    <col min="13061" max="13311" width="9.140625" style="1132"/>
    <col min="13312" max="13312" width="8.140625" style="1132" customWidth="1"/>
    <col min="13313" max="13313" width="41" style="1132" customWidth="1"/>
    <col min="13314" max="13316" width="32.85546875" style="1132" customWidth="1"/>
    <col min="13317" max="13567" width="9.140625" style="1132"/>
    <col min="13568" max="13568" width="8.140625" style="1132" customWidth="1"/>
    <col min="13569" max="13569" width="41" style="1132" customWidth="1"/>
    <col min="13570" max="13572" width="32.85546875" style="1132" customWidth="1"/>
    <col min="13573" max="13823" width="9.140625" style="1132"/>
    <col min="13824" max="13824" width="8.140625" style="1132" customWidth="1"/>
    <col min="13825" max="13825" width="41" style="1132" customWidth="1"/>
    <col min="13826" max="13828" width="32.85546875" style="1132" customWidth="1"/>
    <col min="13829" max="14079" width="9.140625" style="1132"/>
    <col min="14080" max="14080" width="8.140625" style="1132" customWidth="1"/>
    <col min="14081" max="14081" width="41" style="1132" customWidth="1"/>
    <col min="14082" max="14084" width="32.85546875" style="1132" customWidth="1"/>
    <col min="14085" max="14335" width="9.140625" style="1132"/>
    <col min="14336" max="14336" width="8.140625" style="1132" customWidth="1"/>
    <col min="14337" max="14337" width="41" style="1132" customWidth="1"/>
    <col min="14338" max="14340" width="32.85546875" style="1132" customWidth="1"/>
    <col min="14341" max="14591" width="9.140625" style="1132"/>
    <col min="14592" max="14592" width="8.140625" style="1132" customWidth="1"/>
    <col min="14593" max="14593" width="41" style="1132" customWidth="1"/>
    <col min="14594" max="14596" width="32.85546875" style="1132" customWidth="1"/>
    <col min="14597" max="14847" width="9.140625" style="1132"/>
    <col min="14848" max="14848" width="8.140625" style="1132" customWidth="1"/>
    <col min="14849" max="14849" width="41" style="1132" customWidth="1"/>
    <col min="14850" max="14852" width="32.85546875" style="1132" customWidth="1"/>
    <col min="14853" max="15103" width="9.140625" style="1132"/>
    <col min="15104" max="15104" width="8.140625" style="1132" customWidth="1"/>
    <col min="15105" max="15105" width="41" style="1132" customWidth="1"/>
    <col min="15106" max="15108" width="32.85546875" style="1132" customWidth="1"/>
    <col min="15109" max="15359" width="9.140625" style="1132"/>
    <col min="15360" max="15360" width="8.140625" style="1132" customWidth="1"/>
    <col min="15361" max="15361" width="41" style="1132" customWidth="1"/>
    <col min="15362" max="15364" width="32.85546875" style="1132" customWidth="1"/>
    <col min="15365" max="15615" width="9.140625" style="1132"/>
    <col min="15616" max="15616" width="8.140625" style="1132" customWidth="1"/>
    <col min="15617" max="15617" width="41" style="1132" customWidth="1"/>
    <col min="15618" max="15620" width="32.85546875" style="1132" customWidth="1"/>
    <col min="15621" max="15871" width="9.140625" style="1132"/>
    <col min="15872" max="15872" width="8.140625" style="1132" customWidth="1"/>
    <col min="15873" max="15873" width="41" style="1132" customWidth="1"/>
    <col min="15874" max="15876" width="32.85546875" style="1132" customWidth="1"/>
    <col min="15877" max="16127" width="9.140625" style="1132"/>
    <col min="16128" max="16128" width="8.140625" style="1132" customWidth="1"/>
    <col min="16129" max="16129" width="41" style="1132" customWidth="1"/>
    <col min="16130" max="16132" width="32.85546875" style="1132" customWidth="1"/>
    <col min="16133" max="16384" width="9.140625" style="1132"/>
  </cols>
  <sheetData>
    <row r="1" spans="1:4" ht="18.75" thickBot="1" x14ac:dyDescent="0.25">
      <c r="A1" s="1412" t="s">
        <v>858</v>
      </c>
      <c r="B1" s="1412"/>
      <c r="C1" s="1412"/>
      <c r="D1" s="1412"/>
    </row>
    <row r="2" spans="1:4" ht="16.5" thickBot="1" x14ac:dyDescent="0.25">
      <c r="A2" s="1134" t="s">
        <v>71</v>
      </c>
      <c r="B2" s="1134" t="s">
        <v>787</v>
      </c>
      <c r="C2" s="1134" t="s">
        <v>788</v>
      </c>
      <c r="D2" s="1134" t="s">
        <v>789</v>
      </c>
    </row>
    <row r="3" spans="1:4" x14ac:dyDescent="0.2">
      <c r="A3" s="1159" t="s">
        <v>790</v>
      </c>
      <c r="B3" s="1139">
        <v>383121</v>
      </c>
      <c r="C3" s="1139">
        <v>0</v>
      </c>
      <c r="D3" s="1160">
        <v>383121</v>
      </c>
    </row>
    <row r="4" spans="1:4" x14ac:dyDescent="0.2">
      <c r="A4" s="1161" t="s">
        <v>791</v>
      </c>
      <c r="B4" s="1137">
        <v>1324094606</v>
      </c>
      <c r="C4" s="1137">
        <v>0</v>
      </c>
      <c r="D4" s="1162">
        <v>1324094606</v>
      </c>
    </row>
    <row r="5" spans="1:4" x14ac:dyDescent="0.2">
      <c r="A5" s="1161" t="s">
        <v>792</v>
      </c>
      <c r="B5" s="1137">
        <v>10780000</v>
      </c>
      <c r="C5" s="1137">
        <v>0</v>
      </c>
      <c r="D5" s="1162">
        <v>10780000</v>
      </c>
    </row>
    <row r="6" spans="1:4" ht="25.5" x14ac:dyDescent="0.2">
      <c r="A6" s="1161" t="s">
        <v>793</v>
      </c>
      <c r="B6" s="1137">
        <v>233959373</v>
      </c>
      <c r="C6" s="1137">
        <v>0</v>
      </c>
      <c r="D6" s="1162">
        <v>233959373</v>
      </c>
    </row>
    <row r="7" spans="1:4" ht="25.5" x14ac:dyDescent="0.2">
      <c r="A7" s="1163" t="s">
        <v>794</v>
      </c>
      <c r="B7" s="1140">
        <v>1569217100</v>
      </c>
      <c r="C7" s="1140">
        <v>0</v>
      </c>
      <c r="D7" s="1164">
        <v>1569217100</v>
      </c>
    </row>
    <row r="8" spans="1:4" x14ac:dyDescent="0.2">
      <c r="A8" s="1161" t="s">
        <v>795</v>
      </c>
      <c r="B8" s="1137">
        <v>111765</v>
      </c>
      <c r="C8" s="1137">
        <v>0</v>
      </c>
      <c r="D8" s="1162">
        <v>111765</v>
      </c>
    </row>
    <row r="9" spans="1:4" ht="25.5" x14ac:dyDescent="0.2">
      <c r="A9" s="1161" t="s">
        <v>796</v>
      </c>
      <c r="B9" s="1137">
        <v>136563216</v>
      </c>
      <c r="C9" s="1137">
        <v>0</v>
      </c>
      <c r="D9" s="1162">
        <v>136563216</v>
      </c>
    </row>
    <row r="10" spans="1:4" x14ac:dyDescent="0.2">
      <c r="A10" s="1163" t="s">
        <v>797</v>
      </c>
      <c r="B10" s="1140">
        <v>136674981</v>
      </c>
      <c r="C10" s="1140">
        <v>0</v>
      </c>
      <c r="D10" s="1164">
        <v>136674981</v>
      </c>
    </row>
    <row r="11" spans="1:4" x14ac:dyDescent="0.2">
      <c r="A11" s="1161" t="s">
        <v>798</v>
      </c>
      <c r="B11" s="1137">
        <v>3762154</v>
      </c>
      <c r="C11" s="1137">
        <v>0</v>
      </c>
      <c r="D11" s="1162">
        <v>3762154</v>
      </c>
    </row>
    <row r="12" spans="1:4" s="1138" customFormat="1" ht="25.5" x14ac:dyDescent="0.2">
      <c r="A12" s="1161" t="s">
        <v>799</v>
      </c>
      <c r="B12" s="1137">
        <v>5743257</v>
      </c>
      <c r="C12" s="1137">
        <v>0</v>
      </c>
      <c r="D12" s="1162">
        <v>5743257</v>
      </c>
    </row>
    <row r="13" spans="1:4" x14ac:dyDescent="0.2">
      <c r="A13" s="1161" t="s">
        <v>800</v>
      </c>
      <c r="B13" s="1137">
        <v>11663607</v>
      </c>
      <c r="C13" s="1137">
        <v>0</v>
      </c>
      <c r="D13" s="1162">
        <v>11663607</v>
      </c>
    </row>
    <row r="14" spans="1:4" x14ac:dyDescent="0.2">
      <c r="A14" s="1163" t="s">
        <v>801</v>
      </c>
      <c r="B14" s="1140">
        <v>21169018</v>
      </c>
      <c r="C14" s="1140">
        <v>0</v>
      </c>
      <c r="D14" s="1164">
        <v>21169018</v>
      </c>
    </row>
    <row r="15" spans="1:4" ht="13.5" thickBot="1" x14ac:dyDescent="0.25">
      <c r="A15" s="1163" t="s">
        <v>802</v>
      </c>
      <c r="B15" s="1140">
        <v>886896</v>
      </c>
      <c r="C15" s="1140">
        <v>0</v>
      </c>
      <c r="D15" s="1164">
        <v>886896</v>
      </c>
    </row>
    <row r="16" spans="1:4" ht="16.5" thickBot="1" x14ac:dyDescent="0.25">
      <c r="A16" s="1158" t="s">
        <v>803</v>
      </c>
      <c r="B16" s="1135">
        <v>1727947995</v>
      </c>
      <c r="C16" s="1135">
        <v>0</v>
      </c>
      <c r="D16" s="1136">
        <v>1727947995</v>
      </c>
    </row>
    <row r="17" spans="1:4" ht="25.5" x14ac:dyDescent="0.2">
      <c r="A17" s="1161" t="s">
        <v>804</v>
      </c>
      <c r="B17" s="1137">
        <v>854526279</v>
      </c>
      <c r="C17" s="1137">
        <v>0</v>
      </c>
      <c r="D17" s="1162">
        <v>854526279</v>
      </c>
    </row>
    <row r="18" spans="1:4" x14ac:dyDescent="0.2">
      <c r="A18" s="1161" t="s">
        <v>805</v>
      </c>
      <c r="B18" s="1137">
        <v>634596645</v>
      </c>
      <c r="C18" s="1137">
        <v>0</v>
      </c>
      <c r="D18" s="1162">
        <v>634596645</v>
      </c>
    </row>
    <row r="19" spans="1:4" x14ac:dyDescent="0.2">
      <c r="A19" s="1161" t="s">
        <v>806</v>
      </c>
      <c r="B19" s="1137">
        <v>214320826</v>
      </c>
      <c r="C19" s="1137">
        <v>0</v>
      </c>
      <c r="D19" s="1162">
        <v>214320826</v>
      </c>
    </row>
    <row r="20" spans="1:4" x14ac:dyDescent="0.2">
      <c r="A20" s="1163" t="s">
        <v>807</v>
      </c>
      <c r="B20" s="1140">
        <v>1703443750</v>
      </c>
      <c r="C20" s="1140">
        <v>0</v>
      </c>
      <c r="D20" s="1164">
        <v>1703443750</v>
      </c>
    </row>
    <row r="21" spans="1:4" ht="25.5" x14ac:dyDescent="0.2">
      <c r="A21" s="1161" t="s">
        <v>808</v>
      </c>
      <c r="B21" s="1137">
        <v>2284910</v>
      </c>
      <c r="C21" s="1137">
        <v>0</v>
      </c>
      <c r="D21" s="1162">
        <v>2284910</v>
      </c>
    </row>
    <row r="22" spans="1:4" ht="25.5" x14ac:dyDescent="0.2">
      <c r="A22" s="1161" t="s">
        <v>809</v>
      </c>
      <c r="B22" s="1137">
        <v>4829167</v>
      </c>
      <c r="C22" s="1137">
        <v>0</v>
      </c>
      <c r="D22" s="1162">
        <v>4829167</v>
      </c>
    </row>
    <row r="23" spans="1:4" x14ac:dyDescent="0.2">
      <c r="A23" s="1163" t="s">
        <v>810</v>
      </c>
      <c r="B23" s="1140">
        <v>7114077</v>
      </c>
      <c r="C23" s="1140">
        <v>0</v>
      </c>
      <c r="D23" s="1164">
        <v>7114077</v>
      </c>
    </row>
    <row r="24" spans="1:4" ht="13.5" thickBot="1" x14ac:dyDescent="0.25">
      <c r="A24" s="1165" t="s">
        <v>811</v>
      </c>
      <c r="B24" s="1141">
        <v>17390168</v>
      </c>
      <c r="C24" s="1141">
        <v>0</v>
      </c>
      <c r="D24" s="1166">
        <v>17390168</v>
      </c>
    </row>
    <row r="25" spans="1:4" ht="16.5" thickBot="1" x14ac:dyDescent="0.25">
      <c r="A25" s="1158" t="s">
        <v>812</v>
      </c>
      <c r="B25" s="1135">
        <v>1727947995</v>
      </c>
      <c r="C25" s="1135">
        <v>0</v>
      </c>
      <c r="D25" s="1136">
        <v>1727947995</v>
      </c>
    </row>
  </sheetData>
  <sheetProtection algorithmName="SHA-512" hashValue="adcClaXSwS/Ga6PJIBTlDYHqwPiBLmkgUAWC8H1LFgqknd8T3nZStL8EyvC2BS8qY33+skc8urvtWgjSibLmLA==" saltValue="+MxUMotDyLal8p5aS3uhkg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4803149606299213" right="0.74803149606299213" top="1.1200000000000001" bottom="0.31496062992125984" header="0.35433070866141736" footer="0.19685039370078741"/>
  <pageSetup scale="70" orientation="portrait" horizontalDpi="300" verticalDpi="300" r:id="rId1"/>
  <headerFooter alignWithMargins="0">
    <oddHeader>&amp;L&amp;12Levél Községi Önkormányzat&amp;C&amp;"Arial CE,Félkövér"&amp;14ZÁRSZÁMADÁSI RENDELET - 2019. év&amp;R21.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717E-5359-4835-B52F-F8510AC8F741}">
  <sheetPr>
    <pageSetUpPr fitToPage="1"/>
  </sheetPr>
  <dimension ref="A1:D25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2.75" x14ac:dyDescent="0.2"/>
  <cols>
    <col min="1" max="1" width="49.28515625" style="1138" bestFit="1" customWidth="1"/>
    <col min="2" max="2" width="32" style="1138" bestFit="1" customWidth="1"/>
    <col min="3" max="3" width="17" style="1138" bestFit="1" customWidth="1"/>
    <col min="4" max="4" width="24" style="1138" bestFit="1" customWidth="1"/>
    <col min="5" max="255" width="9.140625" style="1138"/>
    <col min="256" max="256" width="8.140625" style="1138" customWidth="1"/>
    <col min="257" max="257" width="41" style="1138" customWidth="1"/>
    <col min="258" max="260" width="32.85546875" style="1138" customWidth="1"/>
    <col min="261" max="511" width="9.140625" style="1138"/>
    <col min="512" max="512" width="8.140625" style="1138" customWidth="1"/>
    <col min="513" max="513" width="41" style="1138" customWidth="1"/>
    <col min="514" max="516" width="32.85546875" style="1138" customWidth="1"/>
    <col min="517" max="767" width="9.140625" style="1138"/>
    <col min="768" max="768" width="8.140625" style="1138" customWidth="1"/>
    <col min="769" max="769" width="41" style="1138" customWidth="1"/>
    <col min="770" max="772" width="32.85546875" style="1138" customWidth="1"/>
    <col min="773" max="1023" width="9.140625" style="1138"/>
    <col min="1024" max="1024" width="8.140625" style="1138" customWidth="1"/>
    <col min="1025" max="1025" width="41" style="1138" customWidth="1"/>
    <col min="1026" max="1028" width="32.85546875" style="1138" customWidth="1"/>
    <col min="1029" max="1279" width="9.140625" style="1138"/>
    <col min="1280" max="1280" width="8.140625" style="1138" customWidth="1"/>
    <col min="1281" max="1281" width="41" style="1138" customWidth="1"/>
    <col min="1282" max="1284" width="32.85546875" style="1138" customWidth="1"/>
    <col min="1285" max="1535" width="9.140625" style="1138"/>
    <col min="1536" max="1536" width="8.140625" style="1138" customWidth="1"/>
    <col min="1537" max="1537" width="41" style="1138" customWidth="1"/>
    <col min="1538" max="1540" width="32.85546875" style="1138" customWidth="1"/>
    <col min="1541" max="1791" width="9.140625" style="1138"/>
    <col min="1792" max="1792" width="8.140625" style="1138" customWidth="1"/>
    <col min="1793" max="1793" width="41" style="1138" customWidth="1"/>
    <col min="1794" max="1796" width="32.85546875" style="1138" customWidth="1"/>
    <col min="1797" max="2047" width="9.140625" style="1138"/>
    <col min="2048" max="2048" width="8.140625" style="1138" customWidth="1"/>
    <col min="2049" max="2049" width="41" style="1138" customWidth="1"/>
    <col min="2050" max="2052" width="32.85546875" style="1138" customWidth="1"/>
    <col min="2053" max="2303" width="9.140625" style="1138"/>
    <col min="2304" max="2304" width="8.140625" style="1138" customWidth="1"/>
    <col min="2305" max="2305" width="41" style="1138" customWidth="1"/>
    <col min="2306" max="2308" width="32.85546875" style="1138" customWidth="1"/>
    <col min="2309" max="2559" width="9.140625" style="1138"/>
    <col min="2560" max="2560" width="8.140625" style="1138" customWidth="1"/>
    <col min="2561" max="2561" width="41" style="1138" customWidth="1"/>
    <col min="2562" max="2564" width="32.85546875" style="1138" customWidth="1"/>
    <col min="2565" max="2815" width="9.140625" style="1138"/>
    <col min="2816" max="2816" width="8.140625" style="1138" customWidth="1"/>
    <col min="2817" max="2817" width="41" style="1138" customWidth="1"/>
    <col min="2818" max="2820" width="32.85546875" style="1138" customWidth="1"/>
    <col min="2821" max="3071" width="9.140625" style="1138"/>
    <col min="3072" max="3072" width="8.140625" style="1138" customWidth="1"/>
    <col min="3073" max="3073" width="41" style="1138" customWidth="1"/>
    <col min="3074" max="3076" width="32.85546875" style="1138" customWidth="1"/>
    <col min="3077" max="3327" width="9.140625" style="1138"/>
    <col min="3328" max="3328" width="8.140625" style="1138" customWidth="1"/>
    <col min="3329" max="3329" width="41" style="1138" customWidth="1"/>
    <col min="3330" max="3332" width="32.85546875" style="1138" customWidth="1"/>
    <col min="3333" max="3583" width="9.140625" style="1138"/>
    <col min="3584" max="3584" width="8.140625" style="1138" customWidth="1"/>
    <col min="3585" max="3585" width="41" style="1138" customWidth="1"/>
    <col min="3586" max="3588" width="32.85546875" style="1138" customWidth="1"/>
    <col min="3589" max="3839" width="9.140625" style="1138"/>
    <col min="3840" max="3840" width="8.140625" style="1138" customWidth="1"/>
    <col min="3841" max="3841" width="41" style="1138" customWidth="1"/>
    <col min="3842" max="3844" width="32.85546875" style="1138" customWidth="1"/>
    <col min="3845" max="4095" width="9.140625" style="1138"/>
    <col min="4096" max="4096" width="8.140625" style="1138" customWidth="1"/>
    <col min="4097" max="4097" width="41" style="1138" customWidth="1"/>
    <col min="4098" max="4100" width="32.85546875" style="1138" customWidth="1"/>
    <col min="4101" max="4351" width="9.140625" style="1138"/>
    <col min="4352" max="4352" width="8.140625" style="1138" customWidth="1"/>
    <col min="4353" max="4353" width="41" style="1138" customWidth="1"/>
    <col min="4354" max="4356" width="32.85546875" style="1138" customWidth="1"/>
    <col min="4357" max="4607" width="9.140625" style="1138"/>
    <col min="4608" max="4608" width="8.140625" style="1138" customWidth="1"/>
    <col min="4609" max="4609" width="41" style="1138" customWidth="1"/>
    <col min="4610" max="4612" width="32.85546875" style="1138" customWidth="1"/>
    <col min="4613" max="4863" width="9.140625" style="1138"/>
    <col min="4864" max="4864" width="8.140625" style="1138" customWidth="1"/>
    <col min="4865" max="4865" width="41" style="1138" customWidth="1"/>
    <col min="4866" max="4868" width="32.85546875" style="1138" customWidth="1"/>
    <col min="4869" max="5119" width="9.140625" style="1138"/>
    <col min="5120" max="5120" width="8.140625" style="1138" customWidth="1"/>
    <col min="5121" max="5121" width="41" style="1138" customWidth="1"/>
    <col min="5122" max="5124" width="32.85546875" style="1138" customWidth="1"/>
    <col min="5125" max="5375" width="9.140625" style="1138"/>
    <col min="5376" max="5376" width="8.140625" style="1138" customWidth="1"/>
    <col min="5377" max="5377" width="41" style="1138" customWidth="1"/>
    <col min="5378" max="5380" width="32.85546875" style="1138" customWidth="1"/>
    <col min="5381" max="5631" width="9.140625" style="1138"/>
    <col min="5632" max="5632" width="8.140625" style="1138" customWidth="1"/>
    <col min="5633" max="5633" width="41" style="1138" customWidth="1"/>
    <col min="5634" max="5636" width="32.85546875" style="1138" customWidth="1"/>
    <col min="5637" max="5887" width="9.140625" style="1138"/>
    <col min="5888" max="5888" width="8.140625" style="1138" customWidth="1"/>
    <col min="5889" max="5889" width="41" style="1138" customWidth="1"/>
    <col min="5890" max="5892" width="32.85546875" style="1138" customWidth="1"/>
    <col min="5893" max="6143" width="9.140625" style="1138"/>
    <col min="6144" max="6144" width="8.140625" style="1138" customWidth="1"/>
    <col min="6145" max="6145" width="41" style="1138" customWidth="1"/>
    <col min="6146" max="6148" width="32.85546875" style="1138" customWidth="1"/>
    <col min="6149" max="6399" width="9.140625" style="1138"/>
    <col min="6400" max="6400" width="8.140625" style="1138" customWidth="1"/>
    <col min="6401" max="6401" width="41" style="1138" customWidth="1"/>
    <col min="6402" max="6404" width="32.85546875" style="1138" customWidth="1"/>
    <col min="6405" max="6655" width="9.140625" style="1138"/>
    <col min="6656" max="6656" width="8.140625" style="1138" customWidth="1"/>
    <col min="6657" max="6657" width="41" style="1138" customWidth="1"/>
    <col min="6658" max="6660" width="32.85546875" style="1138" customWidth="1"/>
    <col min="6661" max="6911" width="9.140625" style="1138"/>
    <col min="6912" max="6912" width="8.140625" style="1138" customWidth="1"/>
    <col min="6913" max="6913" width="41" style="1138" customWidth="1"/>
    <col min="6914" max="6916" width="32.85546875" style="1138" customWidth="1"/>
    <col min="6917" max="7167" width="9.140625" style="1138"/>
    <col min="7168" max="7168" width="8.140625" style="1138" customWidth="1"/>
    <col min="7169" max="7169" width="41" style="1138" customWidth="1"/>
    <col min="7170" max="7172" width="32.85546875" style="1138" customWidth="1"/>
    <col min="7173" max="7423" width="9.140625" style="1138"/>
    <col min="7424" max="7424" width="8.140625" style="1138" customWidth="1"/>
    <col min="7425" max="7425" width="41" style="1138" customWidth="1"/>
    <col min="7426" max="7428" width="32.85546875" style="1138" customWidth="1"/>
    <col min="7429" max="7679" width="9.140625" style="1138"/>
    <col min="7680" max="7680" width="8.140625" style="1138" customWidth="1"/>
    <col min="7681" max="7681" width="41" style="1138" customWidth="1"/>
    <col min="7682" max="7684" width="32.85546875" style="1138" customWidth="1"/>
    <col min="7685" max="7935" width="9.140625" style="1138"/>
    <col min="7936" max="7936" width="8.140625" style="1138" customWidth="1"/>
    <col min="7937" max="7937" width="41" style="1138" customWidth="1"/>
    <col min="7938" max="7940" width="32.85546875" style="1138" customWidth="1"/>
    <col min="7941" max="8191" width="9.140625" style="1138"/>
    <col min="8192" max="8192" width="8.140625" style="1138" customWidth="1"/>
    <col min="8193" max="8193" width="41" style="1138" customWidth="1"/>
    <col min="8194" max="8196" width="32.85546875" style="1138" customWidth="1"/>
    <col min="8197" max="8447" width="9.140625" style="1138"/>
    <col min="8448" max="8448" width="8.140625" style="1138" customWidth="1"/>
    <col min="8449" max="8449" width="41" style="1138" customWidth="1"/>
    <col min="8450" max="8452" width="32.85546875" style="1138" customWidth="1"/>
    <col min="8453" max="8703" width="9.140625" style="1138"/>
    <col min="8704" max="8704" width="8.140625" style="1138" customWidth="1"/>
    <col min="8705" max="8705" width="41" style="1138" customWidth="1"/>
    <col min="8706" max="8708" width="32.85546875" style="1138" customWidth="1"/>
    <col min="8709" max="8959" width="9.140625" style="1138"/>
    <col min="8960" max="8960" width="8.140625" style="1138" customWidth="1"/>
    <col min="8961" max="8961" width="41" style="1138" customWidth="1"/>
    <col min="8962" max="8964" width="32.85546875" style="1138" customWidth="1"/>
    <col min="8965" max="9215" width="9.140625" style="1138"/>
    <col min="9216" max="9216" width="8.140625" style="1138" customWidth="1"/>
    <col min="9217" max="9217" width="41" style="1138" customWidth="1"/>
    <col min="9218" max="9220" width="32.85546875" style="1138" customWidth="1"/>
    <col min="9221" max="9471" width="9.140625" style="1138"/>
    <col min="9472" max="9472" width="8.140625" style="1138" customWidth="1"/>
    <col min="9473" max="9473" width="41" style="1138" customWidth="1"/>
    <col min="9474" max="9476" width="32.85546875" style="1138" customWidth="1"/>
    <col min="9477" max="9727" width="9.140625" style="1138"/>
    <col min="9728" max="9728" width="8.140625" style="1138" customWidth="1"/>
    <col min="9729" max="9729" width="41" style="1138" customWidth="1"/>
    <col min="9730" max="9732" width="32.85546875" style="1138" customWidth="1"/>
    <col min="9733" max="9983" width="9.140625" style="1138"/>
    <col min="9984" max="9984" width="8.140625" style="1138" customWidth="1"/>
    <col min="9985" max="9985" width="41" style="1138" customWidth="1"/>
    <col min="9986" max="9988" width="32.85546875" style="1138" customWidth="1"/>
    <col min="9989" max="10239" width="9.140625" style="1138"/>
    <col min="10240" max="10240" width="8.140625" style="1138" customWidth="1"/>
    <col min="10241" max="10241" width="41" style="1138" customWidth="1"/>
    <col min="10242" max="10244" width="32.85546875" style="1138" customWidth="1"/>
    <col min="10245" max="10495" width="9.140625" style="1138"/>
    <col min="10496" max="10496" width="8.140625" style="1138" customWidth="1"/>
    <col min="10497" max="10497" width="41" style="1138" customWidth="1"/>
    <col min="10498" max="10500" width="32.85546875" style="1138" customWidth="1"/>
    <col min="10501" max="10751" width="9.140625" style="1138"/>
    <col min="10752" max="10752" width="8.140625" style="1138" customWidth="1"/>
    <col min="10753" max="10753" width="41" style="1138" customWidth="1"/>
    <col min="10754" max="10756" width="32.85546875" style="1138" customWidth="1"/>
    <col min="10757" max="11007" width="9.140625" style="1138"/>
    <col min="11008" max="11008" width="8.140625" style="1138" customWidth="1"/>
    <col min="11009" max="11009" width="41" style="1138" customWidth="1"/>
    <col min="11010" max="11012" width="32.85546875" style="1138" customWidth="1"/>
    <col min="11013" max="11263" width="9.140625" style="1138"/>
    <col min="11264" max="11264" width="8.140625" style="1138" customWidth="1"/>
    <col min="11265" max="11265" width="41" style="1138" customWidth="1"/>
    <col min="11266" max="11268" width="32.85546875" style="1138" customWidth="1"/>
    <col min="11269" max="11519" width="9.140625" style="1138"/>
    <col min="11520" max="11520" width="8.140625" style="1138" customWidth="1"/>
    <col min="11521" max="11521" width="41" style="1138" customWidth="1"/>
    <col min="11522" max="11524" width="32.85546875" style="1138" customWidth="1"/>
    <col min="11525" max="11775" width="9.140625" style="1138"/>
    <col min="11776" max="11776" width="8.140625" style="1138" customWidth="1"/>
    <col min="11777" max="11777" width="41" style="1138" customWidth="1"/>
    <col min="11778" max="11780" width="32.85546875" style="1138" customWidth="1"/>
    <col min="11781" max="12031" width="9.140625" style="1138"/>
    <col min="12032" max="12032" width="8.140625" style="1138" customWidth="1"/>
    <col min="12033" max="12033" width="41" style="1138" customWidth="1"/>
    <col min="12034" max="12036" width="32.85546875" style="1138" customWidth="1"/>
    <col min="12037" max="12287" width="9.140625" style="1138"/>
    <col min="12288" max="12288" width="8.140625" style="1138" customWidth="1"/>
    <col min="12289" max="12289" width="41" style="1138" customWidth="1"/>
    <col min="12290" max="12292" width="32.85546875" style="1138" customWidth="1"/>
    <col min="12293" max="12543" width="9.140625" style="1138"/>
    <col min="12544" max="12544" width="8.140625" style="1138" customWidth="1"/>
    <col min="12545" max="12545" width="41" style="1138" customWidth="1"/>
    <col min="12546" max="12548" width="32.85546875" style="1138" customWidth="1"/>
    <col min="12549" max="12799" width="9.140625" style="1138"/>
    <col min="12800" max="12800" width="8.140625" style="1138" customWidth="1"/>
    <col min="12801" max="12801" width="41" style="1138" customWidth="1"/>
    <col min="12802" max="12804" width="32.85546875" style="1138" customWidth="1"/>
    <col min="12805" max="13055" width="9.140625" style="1138"/>
    <col min="13056" max="13056" width="8.140625" style="1138" customWidth="1"/>
    <col min="13057" max="13057" width="41" style="1138" customWidth="1"/>
    <col min="13058" max="13060" width="32.85546875" style="1138" customWidth="1"/>
    <col min="13061" max="13311" width="9.140625" style="1138"/>
    <col min="13312" max="13312" width="8.140625" style="1138" customWidth="1"/>
    <col min="13313" max="13313" width="41" style="1138" customWidth="1"/>
    <col min="13314" max="13316" width="32.85546875" style="1138" customWidth="1"/>
    <col min="13317" max="13567" width="9.140625" style="1138"/>
    <col min="13568" max="13568" width="8.140625" style="1138" customWidth="1"/>
    <col min="13569" max="13569" width="41" style="1138" customWidth="1"/>
    <col min="13570" max="13572" width="32.85546875" style="1138" customWidth="1"/>
    <col min="13573" max="13823" width="9.140625" style="1138"/>
    <col min="13824" max="13824" width="8.140625" style="1138" customWidth="1"/>
    <col min="13825" max="13825" width="41" style="1138" customWidth="1"/>
    <col min="13826" max="13828" width="32.85546875" style="1138" customWidth="1"/>
    <col min="13829" max="14079" width="9.140625" style="1138"/>
    <col min="14080" max="14080" width="8.140625" style="1138" customWidth="1"/>
    <col min="14081" max="14081" width="41" style="1138" customWidth="1"/>
    <col min="14082" max="14084" width="32.85546875" style="1138" customWidth="1"/>
    <col min="14085" max="14335" width="9.140625" style="1138"/>
    <col min="14336" max="14336" width="8.140625" style="1138" customWidth="1"/>
    <col min="14337" max="14337" width="41" style="1138" customWidth="1"/>
    <col min="14338" max="14340" width="32.85546875" style="1138" customWidth="1"/>
    <col min="14341" max="14591" width="9.140625" style="1138"/>
    <col min="14592" max="14592" width="8.140625" style="1138" customWidth="1"/>
    <col min="14593" max="14593" width="41" style="1138" customWidth="1"/>
    <col min="14594" max="14596" width="32.85546875" style="1138" customWidth="1"/>
    <col min="14597" max="14847" width="9.140625" style="1138"/>
    <col min="14848" max="14848" width="8.140625" style="1138" customWidth="1"/>
    <col min="14849" max="14849" width="41" style="1138" customWidth="1"/>
    <col min="14850" max="14852" width="32.85546875" style="1138" customWidth="1"/>
    <col min="14853" max="15103" width="9.140625" style="1138"/>
    <col min="15104" max="15104" width="8.140625" style="1138" customWidth="1"/>
    <col min="15105" max="15105" width="41" style="1138" customWidth="1"/>
    <col min="15106" max="15108" width="32.85546875" style="1138" customWidth="1"/>
    <col min="15109" max="15359" width="9.140625" style="1138"/>
    <col min="15360" max="15360" width="8.140625" style="1138" customWidth="1"/>
    <col min="15361" max="15361" width="41" style="1138" customWidth="1"/>
    <col min="15362" max="15364" width="32.85546875" style="1138" customWidth="1"/>
    <col min="15365" max="15615" width="9.140625" style="1138"/>
    <col min="15616" max="15616" width="8.140625" style="1138" customWidth="1"/>
    <col min="15617" max="15617" width="41" style="1138" customWidth="1"/>
    <col min="15618" max="15620" width="32.85546875" style="1138" customWidth="1"/>
    <col min="15621" max="15871" width="9.140625" style="1138"/>
    <col min="15872" max="15872" width="8.140625" style="1138" customWidth="1"/>
    <col min="15873" max="15873" width="41" style="1138" customWidth="1"/>
    <col min="15874" max="15876" width="32.85546875" style="1138" customWidth="1"/>
    <col min="15877" max="16127" width="9.140625" style="1138"/>
    <col min="16128" max="16128" width="8.140625" style="1138" customWidth="1"/>
    <col min="16129" max="16129" width="41" style="1138" customWidth="1"/>
    <col min="16130" max="16132" width="32.85546875" style="1138" customWidth="1"/>
    <col min="16133" max="16384" width="9.140625" style="1138"/>
  </cols>
  <sheetData>
    <row r="1" spans="1:4" ht="18.75" thickBot="1" x14ac:dyDescent="0.25">
      <c r="A1" s="1413" t="s">
        <v>859</v>
      </c>
      <c r="B1" s="1413"/>
      <c r="C1" s="1413"/>
      <c r="D1" s="1413"/>
    </row>
    <row r="2" spans="1:4" ht="16.5" thickBot="1" x14ac:dyDescent="0.25">
      <c r="A2" s="1134" t="s">
        <v>71</v>
      </c>
      <c r="B2" s="1134" t="s">
        <v>787</v>
      </c>
      <c r="C2" s="1134" t="s">
        <v>788</v>
      </c>
      <c r="D2" s="1134" t="s">
        <v>789</v>
      </c>
    </row>
    <row r="3" spans="1:4" x14ac:dyDescent="0.2">
      <c r="A3" s="1159" t="s">
        <v>813</v>
      </c>
      <c r="B3" s="1139">
        <v>195582961</v>
      </c>
      <c r="C3" s="1139">
        <v>0</v>
      </c>
      <c r="D3" s="1160">
        <v>195582961</v>
      </c>
    </row>
    <row r="4" spans="1:4" ht="25.5" x14ac:dyDescent="0.2">
      <c r="A4" s="1161" t="s">
        <v>814</v>
      </c>
      <c r="B4" s="1137">
        <v>11084448</v>
      </c>
      <c r="C4" s="1137">
        <v>0</v>
      </c>
      <c r="D4" s="1162">
        <v>11084448</v>
      </c>
    </row>
    <row r="5" spans="1:4" ht="25.5" x14ac:dyDescent="0.2">
      <c r="A5" s="1163" t="s">
        <v>815</v>
      </c>
      <c r="B5" s="1140">
        <v>206667409</v>
      </c>
      <c r="C5" s="1140">
        <v>0</v>
      </c>
      <c r="D5" s="1164">
        <v>206667409</v>
      </c>
    </row>
    <row r="6" spans="1:4" ht="25.5" x14ac:dyDescent="0.2">
      <c r="A6" s="1161" t="s">
        <v>816</v>
      </c>
      <c r="B6" s="1137">
        <v>123459379</v>
      </c>
      <c r="C6" s="1137">
        <v>-63235426</v>
      </c>
      <c r="D6" s="1162">
        <v>60223953</v>
      </c>
    </row>
    <row r="7" spans="1:4" ht="25.5" x14ac:dyDescent="0.2">
      <c r="A7" s="1161" t="s">
        <v>817</v>
      </c>
      <c r="B7" s="1137">
        <v>24673877</v>
      </c>
      <c r="C7" s="1137">
        <v>0</v>
      </c>
      <c r="D7" s="1162">
        <v>24673877</v>
      </c>
    </row>
    <row r="8" spans="1:4" ht="25.5" x14ac:dyDescent="0.2">
      <c r="A8" s="1161" t="s">
        <v>818</v>
      </c>
      <c r="B8" s="1137">
        <v>22582638</v>
      </c>
      <c r="C8" s="1137">
        <v>0</v>
      </c>
      <c r="D8" s="1162">
        <v>22582638</v>
      </c>
    </row>
    <row r="9" spans="1:4" x14ac:dyDescent="0.2">
      <c r="A9" s="1161" t="s">
        <v>819</v>
      </c>
      <c r="B9" s="1137">
        <v>236239514</v>
      </c>
      <c r="C9" s="1137">
        <v>0</v>
      </c>
      <c r="D9" s="1162">
        <v>236239514</v>
      </c>
    </row>
    <row r="10" spans="1:4" ht="25.5" x14ac:dyDescent="0.2">
      <c r="A10" s="1163" t="s">
        <v>820</v>
      </c>
      <c r="B10" s="1140">
        <v>406955408</v>
      </c>
      <c r="C10" s="1140">
        <v>-63235426</v>
      </c>
      <c r="D10" s="1164">
        <v>343719982</v>
      </c>
    </row>
    <row r="11" spans="1:4" x14ac:dyDescent="0.2">
      <c r="A11" s="1161" t="s">
        <v>821</v>
      </c>
      <c r="B11" s="1137">
        <v>9827412</v>
      </c>
      <c r="C11" s="1137">
        <v>0</v>
      </c>
      <c r="D11" s="1162">
        <v>9827412</v>
      </c>
    </row>
    <row r="12" spans="1:4" x14ac:dyDescent="0.2">
      <c r="A12" s="1161" t="s">
        <v>822</v>
      </c>
      <c r="B12" s="1137">
        <v>53898630</v>
      </c>
      <c r="C12" s="1137">
        <v>0</v>
      </c>
      <c r="D12" s="1162">
        <v>53898630</v>
      </c>
    </row>
    <row r="13" spans="1:4" x14ac:dyDescent="0.2">
      <c r="A13" s="1161" t="s">
        <v>823</v>
      </c>
      <c r="B13" s="1137">
        <v>2119285</v>
      </c>
      <c r="C13" s="1137">
        <v>0</v>
      </c>
      <c r="D13" s="1162">
        <v>2119285</v>
      </c>
    </row>
    <row r="14" spans="1:4" x14ac:dyDescent="0.2">
      <c r="A14" s="1163" t="s">
        <v>824</v>
      </c>
      <c r="B14" s="1140">
        <v>65845327</v>
      </c>
      <c r="C14" s="1140">
        <v>0</v>
      </c>
      <c r="D14" s="1164">
        <v>65845327</v>
      </c>
    </row>
    <row r="15" spans="1:4" x14ac:dyDescent="0.2">
      <c r="A15" s="1161" t="s">
        <v>825</v>
      </c>
      <c r="B15" s="1137">
        <v>71612259</v>
      </c>
      <c r="C15" s="1137">
        <v>0</v>
      </c>
      <c r="D15" s="1162">
        <v>71612259</v>
      </c>
    </row>
    <row r="16" spans="1:4" x14ac:dyDescent="0.2">
      <c r="A16" s="1161" t="s">
        <v>826</v>
      </c>
      <c r="B16" s="1137">
        <v>22773334</v>
      </c>
      <c r="C16" s="1137">
        <v>0</v>
      </c>
      <c r="D16" s="1162">
        <v>22773334</v>
      </c>
    </row>
    <row r="17" spans="1:4" x14ac:dyDescent="0.2">
      <c r="A17" s="1161" t="s">
        <v>827</v>
      </c>
      <c r="B17" s="1137">
        <v>14488430</v>
      </c>
      <c r="C17" s="1137">
        <v>0</v>
      </c>
      <c r="D17" s="1162">
        <v>14488430</v>
      </c>
    </row>
    <row r="18" spans="1:4" x14ac:dyDescent="0.2">
      <c r="A18" s="1163" t="s">
        <v>828</v>
      </c>
      <c r="B18" s="1140">
        <v>108874023</v>
      </c>
      <c r="C18" s="1140">
        <v>0</v>
      </c>
      <c r="D18" s="1164">
        <v>108874023</v>
      </c>
    </row>
    <row r="19" spans="1:4" x14ac:dyDescent="0.2">
      <c r="A19" s="1163" t="s">
        <v>829</v>
      </c>
      <c r="B19" s="1140">
        <v>66801424</v>
      </c>
      <c r="C19" s="1140">
        <v>0</v>
      </c>
      <c r="D19" s="1164">
        <v>66801424</v>
      </c>
    </row>
    <row r="20" spans="1:4" x14ac:dyDescent="0.2">
      <c r="A20" s="1163" t="s">
        <v>830</v>
      </c>
      <c r="B20" s="1140">
        <v>157781361</v>
      </c>
      <c r="C20" s="1140">
        <v>-63235426</v>
      </c>
      <c r="D20" s="1164">
        <v>94545935</v>
      </c>
    </row>
    <row r="21" spans="1:4" ht="25.5" x14ac:dyDescent="0.2">
      <c r="A21" s="1167" t="s">
        <v>831</v>
      </c>
      <c r="B21" s="1148">
        <v>214320682</v>
      </c>
      <c r="C21" s="1148">
        <v>0</v>
      </c>
      <c r="D21" s="1168">
        <v>214320682</v>
      </c>
    </row>
    <row r="22" spans="1:4" ht="25.5" x14ac:dyDescent="0.2">
      <c r="A22" s="1161" t="s">
        <v>832</v>
      </c>
      <c r="B22" s="1137">
        <v>144</v>
      </c>
      <c r="C22" s="1137">
        <v>0</v>
      </c>
      <c r="D22" s="1162">
        <v>144</v>
      </c>
    </row>
    <row r="23" spans="1:4" ht="25.5" x14ac:dyDescent="0.2">
      <c r="A23" s="1163" t="s">
        <v>833</v>
      </c>
      <c r="B23" s="1140">
        <v>144</v>
      </c>
      <c r="C23" s="1140">
        <v>0</v>
      </c>
      <c r="D23" s="1164">
        <v>144</v>
      </c>
    </row>
    <row r="24" spans="1:4" ht="13.5" thickBot="1" x14ac:dyDescent="0.25">
      <c r="A24" s="1169" t="s">
        <v>834</v>
      </c>
      <c r="B24" s="1149">
        <v>144</v>
      </c>
      <c r="C24" s="1149">
        <v>0</v>
      </c>
      <c r="D24" s="1170">
        <v>144</v>
      </c>
    </row>
    <row r="25" spans="1:4" ht="16.5" thickBot="1" x14ac:dyDescent="0.25">
      <c r="A25" s="1158" t="s">
        <v>835</v>
      </c>
      <c r="B25" s="1135">
        <v>214320826</v>
      </c>
      <c r="C25" s="1135">
        <v>0</v>
      </c>
      <c r="D25" s="1136">
        <v>214320826</v>
      </c>
    </row>
  </sheetData>
  <sheetProtection algorithmName="SHA-512" hashValue="dRTSseguk5HYquSameN0pqOdBdM+MtG8s30/2n/PI+52uejqfREtzwK/d98eDRoAm2wdL7T0FDDmopY77ASKzw==" saltValue="PGRdW4PBCitOYOBSMoIYgw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4803149606299213" right="0.74803149606299213" top="1.21" bottom="0.31496062992125984" header="0.47" footer="0.19685039370078741"/>
  <pageSetup scale="74" orientation="portrait" horizontalDpi="300" verticalDpi="300" r:id="rId1"/>
  <headerFooter alignWithMargins="0">
    <oddHeader>&amp;LLevél Községi Önkormányzat&amp;C&amp;"Arial CE,Félkövér"&amp;12ZÁRSZÁMADÁSI RENDELET - 2019. év&amp;R&amp;9 22.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rgb="FF00B0F0"/>
    <pageSetUpPr fitToPage="1"/>
  </sheetPr>
  <dimension ref="A1:Z5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X13" sqref="X13"/>
    </sheetView>
  </sheetViews>
  <sheetFormatPr defaultColWidth="9.140625" defaultRowHeight="15.75" x14ac:dyDescent="0.25"/>
  <cols>
    <col min="1" max="1" width="7.7109375" style="109" bestFit="1" customWidth="1"/>
    <col min="2" max="2" width="60.85546875" style="106" bestFit="1" customWidth="1"/>
    <col min="3" max="3" width="14.28515625" style="209" bestFit="1" customWidth="1"/>
    <col min="4" max="4" width="12.7109375" style="209" bestFit="1" customWidth="1"/>
    <col min="5" max="6" width="14.28515625" style="209" bestFit="1" customWidth="1"/>
    <col min="7" max="7" width="12.7109375" style="209" bestFit="1" customWidth="1"/>
    <col min="8" max="8" width="14.28515625" style="209" bestFit="1" customWidth="1"/>
    <col min="9" max="9" width="14.140625" style="209" bestFit="1" customWidth="1"/>
    <col min="10" max="10" width="12.7109375" style="209" bestFit="1" customWidth="1"/>
    <col min="11" max="11" width="14.140625" style="209" bestFit="1" customWidth="1"/>
    <col min="12" max="12" width="14.28515625" style="209" bestFit="1" customWidth="1"/>
    <col min="13" max="13" width="12.7109375" style="209" bestFit="1" customWidth="1"/>
    <col min="14" max="15" width="14.28515625" style="209" bestFit="1" customWidth="1"/>
    <col min="16" max="16" width="12.7109375" style="209" bestFit="1" customWidth="1"/>
    <col min="17" max="18" width="14.28515625" style="209" bestFit="1" customWidth="1"/>
    <col min="19" max="19" width="12.7109375" style="209" bestFit="1" customWidth="1"/>
    <col min="20" max="21" width="14.28515625" style="209" bestFit="1" customWidth="1"/>
    <col min="22" max="22" width="12.7109375" style="209" bestFit="1" customWidth="1"/>
    <col min="23" max="23" width="14.28515625" style="209" bestFit="1" customWidth="1"/>
    <col min="24" max="24" width="16.42578125" style="139" bestFit="1" customWidth="1"/>
    <col min="25" max="25" width="10.85546875" style="139" bestFit="1" customWidth="1"/>
    <col min="26" max="26" width="16.42578125" style="139" bestFit="1" customWidth="1"/>
    <col min="27" max="16384" width="9.140625" style="106"/>
  </cols>
  <sheetData>
    <row r="1" spans="1:26" x14ac:dyDescent="0.2">
      <c r="A1" s="1247" t="s">
        <v>222</v>
      </c>
      <c r="B1" s="1228" t="s">
        <v>67</v>
      </c>
      <c r="C1" s="1253">
        <v>2019</v>
      </c>
      <c r="D1" s="1254"/>
      <c r="E1" s="1255"/>
      <c r="F1" s="1244">
        <v>2019</v>
      </c>
      <c r="G1" s="1245"/>
      <c r="H1" s="1245"/>
      <c r="I1" s="1245"/>
      <c r="J1" s="1245"/>
      <c r="K1" s="1246"/>
      <c r="L1" s="1244" t="s">
        <v>642</v>
      </c>
      <c r="M1" s="1245"/>
      <c r="N1" s="1245"/>
      <c r="O1" s="1245"/>
      <c r="P1" s="1245"/>
      <c r="Q1" s="1246"/>
      <c r="R1" s="1231">
        <v>2019</v>
      </c>
      <c r="S1" s="1232"/>
      <c r="T1" s="1232"/>
      <c r="U1" s="1232"/>
      <c r="V1" s="1232"/>
      <c r="W1" s="1232"/>
      <c r="X1" s="1236" t="s">
        <v>645</v>
      </c>
      <c r="Y1" s="1237"/>
      <c r="Z1" s="1238"/>
    </row>
    <row r="2" spans="1:26" x14ac:dyDescent="0.2">
      <c r="A2" s="1248"/>
      <c r="B2" s="1229"/>
      <c r="C2" s="1250" t="s">
        <v>57</v>
      </c>
      <c r="D2" s="1251"/>
      <c r="E2" s="1252"/>
      <c r="F2" s="1239" t="s">
        <v>648</v>
      </c>
      <c r="G2" s="1240"/>
      <c r="H2" s="1240"/>
      <c r="I2" s="1226" t="s">
        <v>496</v>
      </c>
      <c r="J2" s="1226"/>
      <c r="K2" s="1243"/>
      <c r="L2" s="1239" t="s">
        <v>649</v>
      </c>
      <c r="M2" s="1240"/>
      <c r="N2" s="1240"/>
      <c r="O2" s="1226" t="s">
        <v>496</v>
      </c>
      <c r="P2" s="1226"/>
      <c r="Q2" s="1243"/>
      <c r="R2" s="1239" t="s">
        <v>650</v>
      </c>
      <c r="S2" s="1240"/>
      <c r="T2" s="1240"/>
      <c r="U2" s="1226" t="s">
        <v>496</v>
      </c>
      <c r="V2" s="1226"/>
      <c r="W2" s="1227"/>
      <c r="X2" s="1233" t="s">
        <v>646</v>
      </c>
      <c r="Y2" s="1234"/>
      <c r="Z2" s="1235"/>
    </row>
    <row r="3" spans="1:26" ht="16.5" thickBot="1" x14ac:dyDescent="0.25">
      <c r="A3" s="1249"/>
      <c r="B3" s="1230"/>
      <c r="C3" s="147" t="s">
        <v>234</v>
      </c>
      <c r="D3" s="148" t="s">
        <v>41</v>
      </c>
      <c r="E3" s="149" t="s">
        <v>618</v>
      </c>
      <c r="F3" s="150" t="s">
        <v>234</v>
      </c>
      <c r="G3" s="151" t="s">
        <v>41</v>
      </c>
      <c r="H3" s="210" t="s">
        <v>618</v>
      </c>
      <c r="I3" s="211" t="s">
        <v>234</v>
      </c>
      <c r="J3" s="152" t="s">
        <v>41</v>
      </c>
      <c r="K3" s="153" t="s">
        <v>618</v>
      </c>
      <c r="L3" s="150" t="s">
        <v>234</v>
      </c>
      <c r="M3" s="151" t="s">
        <v>41</v>
      </c>
      <c r="N3" s="210" t="s">
        <v>618</v>
      </c>
      <c r="O3" s="211" t="s">
        <v>234</v>
      </c>
      <c r="P3" s="152" t="s">
        <v>41</v>
      </c>
      <c r="Q3" s="153" t="s">
        <v>618</v>
      </c>
      <c r="R3" s="150" t="s">
        <v>234</v>
      </c>
      <c r="S3" s="151" t="s">
        <v>41</v>
      </c>
      <c r="T3" s="210" t="s">
        <v>618</v>
      </c>
      <c r="U3" s="211" t="s">
        <v>234</v>
      </c>
      <c r="V3" s="152" t="s">
        <v>41</v>
      </c>
      <c r="W3" s="153" t="s">
        <v>618</v>
      </c>
      <c r="X3" s="319" t="s">
        <v>234</v>
      </c>
      <c r="Y3" s="129" t="s">
        <v>41</v>
      </c>
      <c r="Z3" s="130" t="s">
        <v>618</v>
      </c>
    </row>
    <row r="4" spans="1:26" x14ac:dyDescent="0.25">
      <c r="A4" s="63" t="s">
        <v>312</v>
      </c>
      <c r="B4" s="64" t="s">
        <v>318</v>
      </c>
      <c r="C4" s="154">
        <f>'Önkormányzat - 9. mell.'!$C83</f>
        <v>0</v>
      </c>
      <c r="D4" s="155">
        <f>'Óvoda - 10. mell.'!$C83</f>
        <v>0</v>
      </c>
      <c r="E4" s="156">
        <f>SUM(C4:D4)</f>
        <v>0</v>
      </c>
      <c r="F4" s="157">
        <f>'Önkormányzat - 9. mell.'!$D83</f>
        <v>138619</v>
      </c>
      <c r="G4" s="158">
        <f>'Óvoda - 10. mell.'!$D83</f>
        <v>0</v>
      </c>
      <c r="H4" s="212">
        <f t="shared" ref="H4:H57" si="0">SUM(F4,G4)</f>
        <v>138619</v>
      </c>
      <c r="I4" s="213">
        <f>'Önkormányzat - 9. mell.'!$E83</f>
        <v>138619</v>
      </c>
      <c r="J4" s="159">
        <f>'Óvoda - 10. mell.'!$E83</f>
        <v>0</v>
      </c>
      <c r="K4" s="160">
        <f t="shared" ref="K4:K57" si="1">SUM(I4,J4)</f>
        <v>138619</v>
      </c>
      <c r="L4" s="157">
        <f>'Önkormányzat - 9. mell.'!$F83</f>
        <v>207745</v>
      </c>
      <c r="M4" s="158">
        <f>'Óvoda - 10. mell.'!$F83</f>
        <v>0</v>
      </c>
      <c r="N4" s="212">
        <f t="shared" ref="N4:N57" si="2">SUM(L4,M4)</f>
        <v>207745</v>
      </c>
      <c r="O4" s="213">
        <f>'Önkormányzat - 9. mell.'!$G83</f>
        <v>207745</v>
      </c>
      <c r="P4" s="159">
        <f>'Óvoda - 10. mell.'!$G83</f>
        <v>0</v>
      </c>
      <c r="Q4" s="160">
        <f t="shared" ref="Q4:Q57" si="3">SUM(O4,P4)</f>
        <v>207745</v>
      </c>
      <c r="R4" s="157">
        <f>'Önkormányzat - 9. mell.'!$H83</f>
        <v>276483</v>
      </c>
      <c r="S4" s="158">
        <f>'Óvoda - 10. mell.'!$H83</f>
        <v>0</v>
      </c>
      <c r="T4" s="212">
        <f t="shared" ref="T4:T57" si="4">SUM(R4,S4)</f>
        <v>276483</v>
      </c>
      <c r="U4" s="213">
        <f>'Önkormányzat - 9. mell.'!$I83</f>
        <v>276483</v>
      </c>
      <c r="V4" s="159">
        <f>'Óvoda - 10. mell.'!$I83</f>
        <v>0</v>
      </c>
      <c r="W4" s="161">
        <f t="shared" ref="W4:W57" si="5">SUM(U4,V4)</f>
        <v>276483</v>
      </c>
      <c r="X4" s="320">
        <f t="shared" ref="X4:X35" si="6">IF(OR(U4="",U4=0),"",U4/R4)</f>
        <v>1</v>
      </c>
      <c r="Y4" s="131" t="str">
        <f t="shared" ref="Y4:Z59" si="7">IF(OR(V4="",V4=0),"",V4/S4)</f>
        <v/>
      </c>
      <c r="Z4" s="132">
        <f t="shared" si="7"/>
        <v>1</v>
      </c>
    </row>
    <row r="5" spans="1:26" x14ac:dyDescent="0.25">
      <c r="A5" s="62" t="s">
        <v>313</v>
      </c>
      <c r="B5" s="61" t="s">
        <v>319</v>
      </c>
      <c r="C5" s="162">
        <f>'Önkormányzat - 9. mell.'!$C84</f>
        <v>43679600</v>
      </c>
      <c r="D5" s="163">
        <f>'Óvoda - 10. mell.'!$C84</f>
        <v>0</v>
      </c>
      <c r="E5" s="164">
        <f t="shared" ref="E5:E57" si="8">SUM(C5:D5)</f>
        <v>43679600</v>
      </c>
      <c r="F5" s="165">
        <f>'Önkormányzat - 9. mell.'!$D84</f>
        <v>43679600</v>
      </c>
      <c r="G5" s="166">
        <f>'Óvoda - 10. mell.'!$D84</f>
        <v>0</v>
      </c>
      <c r="H5" s="214">
        <f t="shared" si="0"/>
        <v>43679600</v>
      </c>
      <c r="I5" s="215">
        <f>'Önkormányzat - 9. mell.'!$E84</f>
        <v>22685041</v>
      </c>
      <c r="J5" s="167">
        <f>'Óvoda - 10. mell.'!$E84</f>
        <v>0</v>
      </c>
      <c r="K5" s="168">
        <f t="shared" si="1"/>
        <v>22685041</v>
      </c>
      <c r="L5" s="165">
        <f>'Önkormányzat - 9. mell.'!$F84</f>
        <v>43679600</v>
      </c>
      <c r="M5" s="166">
        <f>'Óvoda - 10. mell.'!$F84</f>
        <v>0</v>
      </c>
      <c r="N5" s="214">
        <f t="shared" si="2"/>
        <v>43679600</v>
      </c>
      <c r="O5" s="215">
        <f>'Önkormányzat - 9. mell.'!$G84</f>
        <v>34623695</v>
      </c>
      <c r="P5" s="167">
        <f>'Óvoda - 10. mell.'!$G84</f>
        <v>0</v>
      </c>
      <c r="Q5" s="168">
        <f t="shared" si="3"/>
        <v>34623695</v>
      </c>
      <c r="R5" s="165">
        <f>'Önkormányzat - 9. mell.'!$H84</f>
        <v>44142975</v>
      </c>
      <c r="S5" s="166">
        <f>'Óvoda - 10. mell.'!$H84</f>
        <v>0</v>
      </c>
      <c r="T5" s="214">
        <f t="shared" si="4"/>
        <v>44142975</v>
      </c>
      <c r="U5" s="215">
        <f>'Önkormányzat - 9. mell.'!$I84</f>
        <v>44142975</v>
      </c>
      <c r="V5" s="167">
        <f>'Óvoda - 10. mell.'!$I84</f>
        <v>0</v>
      </c>
      <c r="W5" s="169">
        <f t="shared" si="5"/>
        <v>44142975</v>
      </c>
      <c r="X5" s="321">
        <f t="shared" si="6"/>
        <v>1</v>
      </c>
      <c r="Y5" s="133" t="str">
        <f t="shared" si="7"/>
        <v/>
      </c>
      <c r="Z5" s="134">
        <f t="shared" si="7"/>
        <v>1</v>
      </c>
    </row>
    <row r="6" spans="1:26" x14ac:dyDescent="0.25">
      <c r="A6" s="62" t="s">
        <v>314</v>
      </c>
      <c r="B6" s="61" t="s">
        <v>320</v>
      </c>
      <c r="C6" s="162">
        <f>'Önkormányzat - 9. mell.'!$C85</f>
        <v>10447209</v>
      </c>
      <c r="D6" s="163">
        <f>'Óvoda - 10. mell.'!$C85</f>
        <v>0</v>
      </c>
      <c r="E6" s="164">
        <f t="shared" si="8"/>
        <v>10447209</v>
      </c>
      <c r="F6" s="165">
        <f>'Önkormányzat - 9. mell.'!$D85</f>
        <v>10447209</v>
      </c>
      <c r="G6" s="166">
        <f>'Óvoda - 10. mell.'!$D85</f>
        <v>0</v>
      </c>
      <c r="H6" s="214">
        <f t="shared" si="0"/>
        <v>10447209</v>
      </c>
      <c r="I6" s="215">
        <f>'Önkormányzat - 9. mell.'!$E85</f>
        <v>5432550</v>
      </c>
      <c r="J6" s="167">
        <f>'Óvoda - 10. mell.'!$E85</f>
        <v>0</v>
      </c>
      <c r="K6" s="168">
        <f t="shared" si="1"/>
        <v>5432550</v>
      </c>
      <c r="L6" s="165">
        <f>'Önkormányzat - 9. mell.'!$F85</f>
        <v>10447209</v>
      </c>
      <c r="M6" s="166">
        <f>'Óvoda - 10. mell.'!$F85</f>
        <v>0</v>
      </c>
      <c r="N6" s="214">
        <f t="shared" si="2"/>
        <v>10447209</v>
      </c>
      <c r="O6" s="215">
        <f>'Önkormányzat - 9. mell.'!$G85</f>
        <v>8762025</v>
      </c>
      <c r="P6" s="167">
        <f>'Óvoda - 10. mell.'!$G85</f>
        <v>0</v>
      </c>
      <c r="Q6" s="168">
        <f t="shared" si="3"/>
        <v>8762025</v>
      </c>
      <c r="R6" s="165">
        <f>'Önkormányzat - 9. mell.'!$H85</f>
        <v>11659375</v>
      </c>
      <c r="S6" s="166">
        <f>'Óvoda - 10. mell.'!$H85</f>
        <v>0</v>
      </c>
      <c r="T6" s="214">
        <f t="shared" si="4"/>
        <v>11659375</v>
      </c>
      <c r="U6" s="215">
        <f>'Önkormányzat - 9. mell.'!$I85</f>
        <v>11659375</v>
      </c>
      <c r="V6" s="167">
        <f>'Óvoda - 10. mell.'!$I85</f>
        <v>0</v>
      </c>
      <c r="W6" s="169">
        <f t="shared" si="5"/>
        <v>11659375</v>
      </c>
      <c r="X6" s="321">
        <f t="shared" si="6"/>
        <v>1</v>
      </c>
      <c r="Y6" s="133" t="str">
        <f t="shared" si="7"/>
        <v/>
      </c>
      <c r="Z6" s="134">
        <f t="shared" si="7"/>
        <v>1</v>
      </c>
    </row>
    <row r="7" spans="1:26" x14ac:dyDescent="0.25">
      <c r="A7" s="62" t="s">
        <v>315</v>
      </c>
      <c r="B7" s="61" t="s">
        <v>321</v>
      </c>
      <c r="C7" s="162">
        <f>'Önkormányzat - 9. mell.'!$C86</f>
        <v>2386120</v>
      </c>
      <c r="D7" s="163">
        <f>'Óvoda - 10. mell.'!$C86</f>
        <v>0</v>
      </c>
      <c r="E7" s="164">
        <f t="shared" si="8"/>
        <v>2386120</v>
      </c>
      <c r="F7" s="165">
        <f>'Önkormányzat - 9. mell.'!$D86</f>
        <v>2579950</v>
      </c>
      <c r="G7" s="166">
        <f>'Óvoda - 10. mell.'!$D86</f>
        <v>0</v>
      </c>
      <c r="H7" s="214">
        <f t="shared" si="0"/>
        <v>2579950</v>
      </c>
      <c r="I7" s="215">
        <f>'Önkormányzat - 9. mell.'!$E86</f>
        <v>1434614</v>
      </c>
      <c r="J7" s="167">
        <f>'Óvoda - 10. mell.'!$E86</f>
        <v>0</v>
      </c>
      <c r="K7" s="168">
        <f t="shared" si="1"/>
        <v>1434614</v>
      </c>
      <c r="L7" s="165">
        <f>'Önkormányzat - 9. mell.'!$F86</f>
        <v>2676375</v>
      </c>
      <c r="M7" s="166">
        <f>'Óvoda - 10. mell.'!$F86</f>
        <v>0</v>
      </c>
      <c r="N7" s="214">
        <f t="shared" si="2"/>
        <v>2676375</v>
      </c>
      <c r="O7" s="215">
        <f>'Önkormányzat - 9. mell.'!$G86</f>
        <v>2184709</v>
      </c>
      <c r="P7" s="167">
        <f>'Óvoda - 10. mell.'!$G86</f>
        <v>0</v>
      </c>
      <c r="Q7" s="168">
        <f t="shared" si="3"/>
        <v>2184709</v>
      </c>
      <c r="R7" s="165">
        <f>'Önkormányzat - 9. mell.'!$H86</f>
        <v>2853253</v>
      </c>
      <c r="S7" s="166">
        <f>'Óvoda - 10. mell.'!$H86</f>
        <v>0</v>
      </c>
      <c r="T7" s="214">
        <f t="shared" si="4"/>
        <v>2853253</v>
      </c>
      <c r="U7" s="215">
        <f>'Önkormányzat - 9. mell.'!$I86</f>
        <v>2853253</v>
      </c>
      <c r="V7" s="167">
        <f>'Óvoda - 10. mell.'!$I86</f>
        <v>0</v>
      </c>
      <c r="W7" s="169">
        <f t="shared" si="5"/>
        <v>2853253</v>
      </c>
      <c r="X7" s="321">
        <f t="shared" si="6"/>
        <v>1</v>
      </c>
      <c r="Y7" s="133" t="str">
        <f t="shared" si="7"/>
        <v/>
      </c>
      <c r="Z7" s="134">
        <f t="shared" si="7"/>
        <v>1</v>
      </c>
    </row>
    <row r="8" spans="1:26" x14ac:dyDescent="0.25">
      <c r="A8" s="62" t="s">
        <v>316</v>
      </c>
      <c r="B8" s="61" t="s">
        <v>322</v>
      </c>
      <c r="C8" s="162">
        <f>'Önkormányzat - 9. mell.'!$C87</f>
        <v>0</v>
      </c>
      <c r="D8" s="163">
        <f>'Óvoda - 10. mell.'!$C87</f>
        <v>0</v>
      </c>
      <c r="E8" s="164">
        <f t="shared" si="8"/>
        <v>0</v>
      </c>
      <c r="F8" s="165">
        <f>'Önkormányzat - 9. mell.'!$D87</f>
        <v>0</v>
      </c>
      <c r="G8" s="166">
        <f>'Óvoda - 10. mell.'!$D87</f>
        <v>0</v>
      </c>
      <c r="H8" s="214">
        <f t="shared" si="0"/>
        <v>0</v>
      </c>
      <c r="I8" s="215">
        <f>'Önkormányzat - 9. mell.'!$E87</f>
        <v>0</v>
      </c>
      <c r="J8" s="167">
        <f>'Óvoda - 10. mell.'!$E87</f>
        <v>0</v>
      </c>
      <c r="K8" s="168">
        <f t="shared" si="1"/>
        <v>0</v>
      </c>
      <c r="L8" s="165">
        <f>'Önkormányzat - 9. mell.'!$F87</f>
        <v>457200</v>
      </c>
      <c r="M8" s="166">
        <f>'Óvoda - 10. mell.'!$F87</f>
        <v>0</v>
      </c>
      <c r="N8" s="214">
        <f t="shared" si="2"/>
        <v>457200</v>
      </c>
      <c r="O8" s="215">
        <f>'Önkormányzat - 9. mell.'!$G87</f>
        <v>457200</v>
      </c>
      <c r="P8" s="167">
        <f>'Óvoda - 10. mell.'!$G87</f>
        <v>0</v>
      </c>
      <c r="Q8" s="168">
        <f t="shared" si="3"/>
        <v>457200</v>
      </c>
      <c r="R8" s="165">
        <f>'Önkormányzat - 9. mell.'!$H87</f>
        <v>457200</v>
      </c>
      <c r="S8" s="166">
        <f>'Óvoda - 10. mell.'!$H87</f>
        <v>0</v>
      </c>
      <c r="T8" s="214">
        <f t="shared" si="4"/>
        <v>457200</v>
      </c>
      <c r="U8" s="215">
        <f>'Önkormányzat - 9. mell.'!$I87</f>
        <v>457200</v>
      </c>
      <c r="V8" s="167">
        <f>'Óvoda - 10. mell.'!$I87</f>
        <v>0</v>
      </c>
      <c r="W8" s="169">
        <f t="shared" si="5"/>
        <v>457200</v>
      </c>
      <c r="X8" s="321">
        <f t="shared" si="6"/>
        <v>1</v>
      </c>
      <c r="Y8" s="133" t="str">
        <f t="shared" si="7"/>
        <v/>
      </c>
      <c r="Z8" s="134">
        <f t="shared" si="7"/>
        <v>1</v>
      </c>
    </row>
    <row r="9" spans="1:26" x14ac:dyDescent="0.25">
      <c r="A9" s="62" t="s">
        <v>317</v>
      </c>
      <c r="B9" s="61" t="s">
        <v>323</v>
      </c>
      <c r="C9" s="162">
        <f>'Önkormányzat - 9. mell.'!$C88</f>
        <v>0</v>
      </c>
      <c r="D9" s="163">
        <f>'Óvoda - 10. mell.'!$C88</f>
        <v>0</v>
      </c>
      <c r="E9" s="164">
        <f t="shared" si="8"/>
        <v>0</v>
      </c>
      <c r="F9" s="165">
        <f>'Önkormányzat - 9. mell.'!$D88</f>
        <v>0</v>
      </c>
      <c r="G9" s="166">
        <f>'Óvoda - 10. mell.'!$D88</f>
        <v>0</v>
      </c>
      <c r="H9" s="214">
        <f t="shared" si="0"/>
        <v>0</v>
      </c>
      <c r="I9" s="215">
        <f>'Önkormányzat - 9. mell.'!$E88</f>
        <v>0</v>
      </c>
      <c r="J9" s="167">
        <f>'Óvoda - 10. mell.'!$E88</f>
        <v>0</v>
      </c>
      <c r="K9" s="168">
        <f t="shared" si="1"/>
        <v>0</v>
      </c>
      <c r="L9" s="165">
        <f>'Önkormányzat - 9. mell.'!$F88</f>
        <v>834667</v>
      </c>
      <c r="M9" s="166">
        <f>'Óvoda - 10. mell.'!$F88</f>
        <v>0</v>
      </c>
      <c r="N9" s="214">
        <f t="shared" si="2"/>
        <v>834667</v>
      </c>
      <c r="O9" s="215">
        <f>'Önkormányzat - 9. mell.'!$G88</f>
        <v>834667</v>
      </c>
      <c r="P9" s="167">
        <f>'Óvoda - 10. mell.'!$G88</f>
        <v>0</v>
      </c>
      <c r="Q9" s="168">
        <f t="shared" si="3"/>
        <v>834667</v>
      </c>
      <c r="R9" s="165">
        <f>'Önkormányzat - 9. mell.'!$H88</f>
        <v>834667</v>
      </c>
      <c r="S9" s="166">
        <f>'Óvoda - 10. mell.'!$H88</f>
        <v>0</v>
      </c>
      <c r="T9" s="214">
        <f t="shared" si="4"/>
        <v>834667</v>
      </c>
      <c r="U9" s="215">
        <f>'Önkormányzat - 9. mell.'!$I88</f>
        <v>834667</v>
      </c>
      <c r="V9" s="167">
        <f>'Óvoda - 10. mell.'!$I88</f>
        <v>0</v>
      </c>
      <c r="W9" s="169">
        <f t="shared" si="5"/>
        <v>834667</v>
      </c>
      <c r="X9" s="321">
        <f t="shared" si="6"/>
        <v>1</v>
      </c>
      <c r="Y9" s="133" t="str">
        <f t="shared" si="7"/>
        <v/>
      </c>
      <c r="Z9" s="134">
        <f t="shared" si="7"/>
        <v>1</v>
      </c>
    </row>
    <row r="10" spans="1:26" x14ac:dyDescent="0.25">
      <c r="A10" s="116" t="s">
        <v>256</v>
      </c>
      <c r="B10" s="117" t="s">
        <v>250</v>
      </c>
      <c r="C10" s="170">
        <f>SUM(C4:C9)</f>
        <v>56512929</v>
      </c>
      <c r="D10" s="171">
        <f t="shared" ref="D10:W10" si="9">SUM(D4:D9)</f>
        <v>0</v>
      </c>
      <c r="E10" s="172">
        <f t="shared" si="9"/>
        <v>56512929</v>
      </c>
      <c r="F10" s="173">
        <f t="shared" si="9"/>
        <v>56845378</v>
      </c>
      <c r="G10" s="171">
        <f t="shared" si="9"/>
        <v>0</v>
      </c>
      <c r="H10" s="216">
        <f t="shared" si="9"/>
        <v>56845378</v>
      </c>
      <c r="I10" s="217">
        <f t="shared" si="9"/>
        <v>29690824</v>
      </c>
      <c r="J10" s="171">
        <f t="shared" si="9"/>
        <v>0</v>
      </c>
      <c r="K10" s="174">
        <f t="shared" si="9"/>
        <v>29690824</v>
      </c>
      <c r="L10" s="173">
        <f t="shared" si="9"/>
        <v>58302796</v>
      </c>
      <c r="M10" s="171">
        <f t="shared" si="9"/>
        <v>0</v>
      </c>
      <c r="N10" s="216">
        <f t="shared" si="9"/>
        <v>58302796</v>
      </c>
      <c r="O10" s="217">
        <f t="shared" si="9"/>
        <v>47070041</v>
      </c>
      <c r="P10" s="171">
        <f t="shared" si="9"/>
        <v>0</v>
      </c>
      <c r="Q10" s="174">
        <f t="shared" si="9"/>
        <v>47070041</v>
      </c>
      <c r="R10" s="173">
        <f t="shared" si="9"/>
        <v>60223953</v>
      </c>
      <c r="S10" s="171">
        <f t="shared" si="9"/>
        <v>0</v>
      </c>
      <c r="T10" s="216">
        <f t="shared" si="9"/>
        <v>60223953</v>
      </c>
      <c r="U10" s="217">
        <f t="shared" si="9"/>
        <v>60223953</v>
      </c>
      <c r="V10" s="171">
        <f t="shared" si="9"/>
        <v>0</v>
      </c>
      <c r="W10" s="118">
        <f t="shared" si="9"/>
        <v>60223953</v>
      </c>
      <c r="X10" s="322">
        <f t="shared" si="6"/>
        <v>1</v>
      </c>
      <c r="Y10" s="140" t="str">
        <f t="shared" si="7"/>
        <v/>
      </c>
      <c r="Z10" s="141">
        <f t="shared" si="7"/>
        <v>1</v>
      </c>
    </row>
    <row r="11" spans="1:26" hidden="1" x14ac:dyDescent="0.25">
      <c r="A11" s="62"/>
      <c r="B11" s="61" t="s">
        <v>625</v>
      </c>
      <c r="C11" s="162">
        <f>'Önkormányzat - 9. mell.'!$C90</f>
        <v>0</v>
      </c>
      <c r="D11" s="163">
        <f>'Óvoda - 10. mell.'!$C90</f>
        <v>0</v>
      </c>
      <c r="E11" s="164">
        <f t="shared" si="8"/>
        <v>0</v>
      </c>
      <c r="F11" s="165">
        <f>'Önkormányzat - 9. mell.'!$D90</f>
        <v>0</v>
      </c>
      <c r="G11" s="166">
        <f>'Óvoda - 10. mell.'!$D90</f>
        <v>0</v>
      </c>
      <c r="H11" s="214">
        <f t="shared" si="0"/>
        <v>0</v>
      </c>
      <c r="I11" s="215">
        <f>'Önkormányzat - 9. mell.'!$E90</f>
        <v>0</v>
      </c>
      <c r="J11" s="167">
        <f>'Óvoda - 10. mell.'!$E90</f>
        <v>0</v>
      </c>
      <c r="K11" s="168">
        <f t="shared" si="1"/>
        <v>0</v>
      </c>
      <c r="L11" s="165">
        <f>'Önkormányzat - 9. mell.'!$F90</f>
        <v>0</v>
      </c>
      <c r="M11" s="166">
        <f>'Óvoda - 10. mell.'!$F90</f>
        <v>0</v>
      </c>
      <c r="N11" s="214">
        <f t="shared" si="2"/>
        <v>0</v>
      </c>
      <c r="O11" s="215">
        <f>'Önkormányzat - 9. mell.'!$G90</f>
        <v>0</v>
      </c>
      <c r="P11" s="167">
        <f>'Óvoda - 10. mell.'!$G90</f>
        <v>0</v>
      </c>
      <c r="Q11" s="168">
        <f t="shared" si="3"/>
        <v>0</v>
      </c>
      <c r="R11" s="165">
        <f>'Önkormányzat - 9. mell.'!$H90</f>
        <v>0</v>
      </c>
      <c r="S11" s="166">
        <f>'Óvoda - 10. mell.'!$H90</f>
        <v>0</v>
      </c>
      <c r="T11" s="214">
        <f t="shared" si="4"/>
        <v>0</v>
      </c>
      <c r="U11" s="215">
        <f>'Önkormányzat - 9. mell.'!$I90</f>
        <v>0</v>
      </c>
      <c r="V11" s="167">
        <f>'Óvoda - 10. mell.'!$I90</f>
        <v>0</v>
      </c>
      <c r="W11" s="169">
        <f t="shared" si="5"/>
        <v>0</v>
      </c>
      <c r="X11" s="321" t="str">
        <f t="shared" si="6"/>
        <v/>
      </c>
      <c r="Y11" s="133" t="str">
        <f t="shared" si="7"/>
        <v/>
      </c>
      <c r="Z11" s="134" t="str">
        <f t="shared" si="7"/>
        <v/>
      </c>
    </row>
    <row r="12" spans="1:26" x14ac:dyDescent="0.25">
      <c r="A12" s="62"/>
      <c r="B12" s="61" t="s">
        <v>372</v>
      </c>
      <c r="C12" s="162">
        <f>'Önkormányzat - 9. mell.'!$C91</f>
        <v>0</v>
      </c>
      <c r="D12" s="163">
        <f>'Óvoda - 10. mell.'!$C91</f>
        <v>0</v>
      </c>
      <c r="E12" s="164">
        <f t="shared" si="8"/>
        <v>0</v>
      </c>
      <c r="F12" s="165">
        <f>'Önkormányzat - 9. mell.'!$D91</f>
        <v>0</v>
      </c>
      <c r="G12" s="166">
        <f>'Óvoda - 10. mell.'!$D91</f>
        <v>0</v>
      </c>
      <c r="H12" s="214">
        <f t="shared" si="0"/>
        <v>0</v>
      </c>
      <c r="I12" s="215">
        <f>'Önkormányzat - 9. mell.'!$E91</f>
        <v>832152</v>
      </c>
      <c r="J12" s="167">
        <f>'Óvoda - 10. mell.'!$E91</f>
        <v>0</v>
      </c>
      <c r="K12" s="168">
        <f t="shared" si="1"/>
        <v>832152</v>
      </c>
      <c r="L12" s="165">
        <f>'Önkormányzat - 9. mell.'!$F91</f>
        <v>0</v>
      </c>
      <c r="M12" s="166">
        <f>'Óvoda - 10. mell.'!$F91</f>
        <v>0</v>
      </c>
      <c r="N12" s="214">
        <f t="shared" si="2"/>
        <v>0</v>
      </c>
      <c r="O12" s="215">
        <f>'Önkormányzat - 9. mell.'!$G91</f>
        <v>1679841</v>
      </c>
      <c r="P12" s="167">
        <f>'Óvoda - 10. mell.'!$G91</f>
        <v>0</v>
      </c>
      <c r="Q12" s="168">
        <f t="shared" si="3"/>
        <v>1679841</v>
      </c>
      <c r="R12" s="165">
        <f>'Önkormányzat - 9. mell.'!$H91</f>
        <v>2129017</v>
      </c>
      <c r="S12" s="166">
        <f>'Óvoda - 10. mell.'!$H91</f>
        <v>0</v>
      </c>
      <c r="T12" s="214">
        <f t="shared" si="4"/>
        <v>2129017</v>
      </c>
      <c r="U12" s="215">
        <f>'Önkormányzat - 9. mell.'!$I91</f>
        <v>2129017</v>
      </c>
      <c r="V12" s="167">
        <f>'Óvoda - 10. mell.'!$I91</f>
        <v>0</v>
      </c>
      <c r="W12" s="169">
        <f t="shared" si="5"/>
        <v>2129017</v>
      </c>
      <c r="X12" s="321">
        <f t="shared" si="6"/>
        <v>1</v>
      </c>
      <c r="Y12" s="133" t="str">
        <f t="shared" si="7"/>
        <v/>
      </c>
      <c r="Z12" s="134">
        <f t="shared" si="7"/>
        <v>1</v>
      </c>
    </row>
    <row r="13" spans="1:26" x14ac:dyDescent="0.25">
      <c r="A13" s="62"/>
      <c r="B13" s="61" t="s">
        <v>574</v>
      </c>
      <c r="C13" s="162">
        <f>'Önkormányzat - 9. mell.'!$C92</f>
        <v>0</v>
      </c>
      <c r="D13" s="163">
        <f>'Óvoda - 10. mell.'!$C92</f>
        <v>0</v>
      </c>
      <c r="E13" s="164">
        <f t="shared" si="8"/>
        <v>0</v>
      </c>
      <c r="F13" s="165">
        <f>'Önkormányzat - 9. mell.'!$D92</f>
        <v>0</v>
      </c>
      <c r="G13" s="166">
        <f>'Óvoda - 10. mell.'!$D92</f>
        <v>0</v>
      </c>
      <c r="H13" s="214">
        <f t="shared" si="0"/>
        <v>0</v>
      </c>
      <c r="I13" s="215">
        <f>'Önkormányzat - 9. mell.'!$E92</f>
        <v>40000</v>
      </c>
      <c r="J13" s="167">
        <f>'Óvoda - 10. mell.'!$E92</f>
        <v>0</v>
      </c>
      <c r="K13" s="168">
        <f t="shared" si="1"/>
        <v>40000</v>
      </c>
      <c r="L13" s="165">
        <f>'Önkormányzat - 9. mell.'!$F92</f>
        <v>0</v>
      </c>
      <c r="M13" s="166">
        <f>'Óvoda - 10. mell.'!$F92</f>
        <v>0</v>
      </c>
      <c r="N13" s="214">
        <f t="shared" si="2"/>
        <v>0</v>
      </c>
      <c r="O13" s="215">
        <f>'Önkormányzat - 9. mell.'!$G92</f>
        <v>60000</v>
      </c>
      <c r="P13" s="167">
        <f>'Óvoda - 10. mell.'!$G92</f>
        <v>0</v>
      </c>
      <c r="Q13" s="168">
        <f t="shared" si="3"/>
        <v>60000</v>
      </c>
      <c r="R13" s="165">
        <f>'Önkormányzat - 9. mell.'!$H92</f>
        <v>0</v>
      </c>
      <c r="S13" s="166">
        <f>'Óvoda - 10. mell.'!$H92</f>
        <v>0</v>
      </c>
      <c r="T13" s="214">
        <f t="shared" si="4"/>
        <v>0</v>
      </c>
      <c r="U13" s="215">
        <f>'Önkormányzat - 9. mell.'!$I92</f>
        <v>60000</v>
      </c>
      <c r="V13" s="167">
        <f>'Óvoda - 10. mell.'!$I92</f>
        <v>0</v>
      </c>
      <c r="W13" s="169">
        <f t="shared" si="5"/>
        <v>60000</v>
      </c>
      <c r="X13" s="321" t="e">
        <f t="shared" si="6"/>
        <v>#DIV/0!</v>
      </c>
      <c r="Y13" s="133" t="str">
        <f t="shared" si="7"/>
        <v/>
      </c>
      <c r="Z13" s="134" t="e">
        <f t="shared" si="7"/>
        <v>#DIV/0!</v>
      </c>
    </row>
    <row r="14" spans="1:26" x14ac:dyDescent="0.25">
      <c r="A14" s="62"/>
      <c r="B14" s="61" t="s">
        <v>253</v>
      </c>
      <c r="C14" s="162">
        <f>'Önkormányzat - 9. mell.'!$C93</f>
        <v>112800</v>
      </c>
      <c r="D14" s="163">
        <f>'Óvoda - 10. mell.'!$C93</f>
        <v>0</v>
      </c>
      <c r="E14" s="164">
        <f t="shared" si="8"/>
        <v>112800</v>
      </c>
      <c r="F14" s="165">
        <f>'Önkormányzat - 9. mell.'!$D93</f>
        <v>112800</v>
      </c>
      <c r="G14" s="166">
        <f>'Óvoda - 10. mell.'!$D93</f>
        <v>0</v>
      </c>
      <c r="H14" s="214">
        <f t="shared" si="0"/>
        <v>112800</v>
      </c>
      <c r="I14" s="215">
        <f>'Önkormányzat - 9. mell.'!$E93</f>
        <v>56400</v>
      </c>
      <c r="J14" s="167">
        <f>'Óvoda - 10. mell.'!$E93</f>
        <v>0</v>
      </c>
      <c r="K14" s="168">
        <f t="shared" si="1"/>
        <v>56400</v>
      </c>
      <c r="L14" s="165">
        <f>'Önkormányzat - 9. mell.'!$F93</f>
        <v>112800</v>
      </c>
      <c r="M14" s="166">
        <f>'Óvoda - 10. mell.'!$F93</f>
        <v>0</v>
      </c>
      <c r="N14" s="214">
        <f t="shared" si="2"/>
        <v>112800</v>
      </c>
      <c r="O14" s="215">
        <f>'Önkormányzat - 9. mell.'!$G93</f>
        <v>84600</v>
      </c>
      <c r="P14" s="167">
        <f>'Óvoda - 10. mell.'!$G93</f>
        <v>0</v>
      </c>
      <c r="Q14" s="168">
        <f t="shared" si="3"/>
        <v>84600</v>
      </c>
      <c r="R14" s="165">
        <f>'Önkormányzat - 9. mell.'!$H93</f>
        <v>112800</v>
      </c>
      <c r="S14" s="166">
        <f>'Óvoda - 10. mell.'!$H93</f>
        <v>0</v>
      </c>
      <c r="T14" s="214">
        <f t="shared" si="4"/>
        <v>112800</v>
      </c>
      <c r="U14" s="215">
        <f>'Önkormányzat - 9. mell.'!$I93</f>
        <v>127900</v>
      </c>
      <c r="V14" s="167">
        <f>'Óvoda - 10. mell.'!$I93</f>
        <v>0</v>
      </c>
      <c r="W14" s="169">
        <f t="shared" si="5"/>
        <v>127900</v>
      </c>
      <c r="X14" s="321">
        <f t="shared" si="6"/>
        <v>1.1338652482269505</v>
      </c>
      <c r="Y14" s="133" t="str">
        <f t="shared" si="7"/>
        <v/>
      </c>
      <c r="Z14" s="134">
        <f t="shared" si="7"/>
        <v>1.1338652482269505</v>
      </c>
    </row>
    <row r="15" spans="1:26" x14ac:dyDescent="0.25">
      <c r="A15" s="62"/>
      <c r="B15" s="61" t="s">
        <v>252</v>
      </c>
      <c r="C15" s="162">
        <f>'Önkormányzat - 9. mell.'!$C94</f>
        <v>21000000</v>
      </c>
      <c r="D15" s="163">
        <f>'Óvoda - 10. mell.'!$C94</f>
        <v>0</v>
      </c>
      <c r="E15" s="164">
        <f t="shared" si="8"/>
        <v>21000000</v>
      </c>
      <c r="F15" s="165">
        <f>'Önkormányzat - 9. mell.'!$D94</f>
        <v>21000000</v>
      </c>
      <c r="G15" s="166">
        <f>'Óvoda - 10. mell.'!$D94</f>
        <v>0</v>
      </c>
      <c r="H15" s="214">
        <f t="shared" si="0"/>
        <v>21000000</v>
      </c>
      <c r="I15" s="215">
        <f>'Önkormányzat - 9. mell.'!$E94</f>
        <v>11131600</v>
      </c>
      <c r="J15" s="167">
        <f>'Óvoda - 10. mell.'!$E94</f>
        <v>0</v>
      </c>
      <c r="K15" s="168">
        <f t="shared" si="1"/>
        <v>11131600</v>
      </c>
      <c r="L15" s="165">
        <f>'Önkormányzat - 9. mell.'!$F94</f>
        <v>21000000</v>
      </c>
      <c r="M15" s="166">
        <f>'Óvoda - 10. mell.'!$F94</f>
        <v>0</v>
      </c>
      <c r="N15" s="214">
        <f t="shared" si="2"/>
        <v>21000000</v>
      </c>
      <c r="O15" s="215">
        <f>'Önkormányzat - 9. mell.'!$G94</f>
        <v>16732000</v>
      </c>
      <c r="P15" s="167">
        <f>'Óvoda - 10. mell.'!$G94</f>
        <v>0</v>
      </c>
      <c r="Q15" s="168">
        <f t="shared" si="3"/>
        <v>16732000</v>
      </c>
      <c r="R15" s="165">
        <f>'Önkormányzat - 9. mell.'!$H94</f>
        <v>21000000</v>
      </c>
      <c r="S15" s="166">
        <f>'Óvoda - 10. mell.'!$H94</f>
        <v>0</v>
      </c>
      <c r="T15" s="214">
        <f t="shared" si="4"/>
        <v>21000000</v>
      </c>
      <c r="U15" s="215">
        <f>'Önkormányzat - 9. mell.'!$I94</f>
        <v>22309400</v>
      </c>
      <c r="V15" s="167">
        <f>'Óvoda - 10. mell.'!$I94</f>
        <v>0</v>
      </c>
      <c r="W15" s="169">
        <f t="shared" si="5"/>
        <v>22309400</v>
      </c>
      <c r="X15" s="321">
        <f t="shared" si="6"/>
        <v>1.0623523809523809</v>
      </c>
      <c r="Y15" s="133" t="str">
        <f t="shared" si="7"/>
        <v/>
      </c>
      <c r="Z15" s="134">
        <f t="shared" si="7"/>
        <v>1.0623523809523809</v>
      </c>
    </row>
    <row r="16" spans="1:26" x14ac:dyDescent="0.25">
      <c r="A16" s="116" t="s">
        <v>257</v>
      </c>
      <c r="B16" s="117" t="s">
        <v>251</v>
      </c>
      <c r="C16" s="170">
        <f>SUM(C11:C15)</f>
        <v>21112800</v>
      </c>
      <c r="D16" s="171">
        <f t="shared" ref="D16:W16" si="10">SUM(D11:D15)</f>
        <v>0</v>
      </c>
      <c r="E16" s="172">
        <f t="shared" si="10"/>
        <v>21112800</v>
      </c>
      <c r="F16" s="173">
        <f t="shared" si="10"/>
        <v>21112800</v>
      </c>
      <c r="G16" s="171">
        <f t="shared" si="10"/>
        <v>0</v>
      </c>
      <c r="H16" s="216">
        <f t="shared" si="10"/>
        <v>21112800</v>
      </c>
      <c r="I16" s="217">
        <f t="shared" si="10"/>
        <v>12060152</v>
      </c>
      <c r="J16" s="171">
        <f t="shared" si="10"/>
        <v>0</v>
      </c>
      <c r="K16" s="174">
        <f t="shared" si="10"/>
        <v>12060152</v>
      </c>
      <c r="L16" s="173">
        <f t="shared" si="10"/>
        <v>21112800</v>
      </c>
      <c r="M16" s="171">
        <f t="shared" si="10"/>
        <v>0</v>
      </c>
      <c r="N16" s="216">
        <f t="shared" si="10"/>
        <v>21112800</v>
      </c>
      <c r="O16" s="217">
        <f t="shared" si="10"/>
        <v>18556441</v>
      </c>
      <c r="P16" s="171">
        <f t="shared" si="10"/>
        <v>0</v>
      </c>
      <c r="Q16" s="174">
        <f t="shared" si="10"/>
        <v>18556441</v>
      </c>
      <c r="R16" s="173">
        <f t="shared" si="10"/>
        <v>23241817</v>
      </c>
      <c r="S16" s="171">
        <f t="shared" si="10"/>
        <v>0</v>
      </c>
      <c r="T16" s="216">
        <f t="shared" si="10"/>
        <v>23241817</v>
      </c>
      <c r="U16" s="217">
        <f t="shared" si="10"/>
        <v>24626317</v>
      </c>
      <c r="V16" s="171">
        <f t="shared" si="10"/>
        <v>0</v>
      </c>
      <c r="W16" s="118">
        <f t="shared" si="10"/>
        <v>24626317</v>
      </c>
      <c r="X16" s="322">
        <f t="shared" si="6"/>
        <v>1.0595693529468888</v>
      </c>
      <c r="Y16" s="140" t="str">
        <f t="shared" si="7"/>
        <v/>
      </c>
      <c r="Z16" s="141">
        <f t="shared" si="7"/>
        <v>1.0595693529468888</v>
      </c>
    </row>
    <row r="17" spans="1:26" x14ac:dyDescent="0.25">
      <c r="A17" s="114" t="s">
        <v>249</v>
      </c>
      <c r="B17" s="115" t="s">
        <v>254</v>
      </c>
      <c r="C17" s="175">
        <f>SUM(C16,C10)</f>
        <v>77625729</v>
      </c>
      <c r="D17" s="176">
        <f t="shared" ref="D17:W17" si="11">SUM(D16,D10)</f>
        <v>0</v>
      </c>
      <c r="E17" s="177">
        <f t="shared" si="11"/>
        <v>77625729</v>
      </c>
      <c r="F17" s="178">
        <f t="shared" si="11"/>
        <v>77958178</v>
      </c>
      <c r="G17" s="176">
        <f t="shared" si="11"/>
        <v>0</v>
      </c>
      <c r="H17" s="218">
        <f t="shared" si="11"/>
        <v>77958178</v>
      </c>
      <c r="I17" s="219">
        <f t="shared" si="11"/>
        <v>41750976</v>
      </c>
      <c r="J17" s="176">
        <f t="shared" si="11"/>
        <v>0</v>
      </c>
      <c r="K17" s="180">
        <f t="shared" si="11"/>
        <v>41750976</v>
      </c>
      <c r="L17" s="178">
        <f t="shared" si="11"/>
        <v>79415596</v>
      </c>
      <c r="M17" s="176">
        <f t="shared" si="11"/>
        <v>0</v>
      </c>
      <c r="N17" s="218">
        <f t="shared" si="11"/>
        <v>79415596</v>
      </c>
      <c r="O17" s="219">
        <f t="shared" si="11"/>
        <v>65626482</v>
      </c>
      <c r="P17" s="176">
        <f t="shared" si="11"/>
        <v>0</v>
      </c>
      <c r="Q17" s="180">
        <f t="shared" si="11"/>
        <v>65626482</v>
      </c>
      <c r="R17" s="178">
        <f t="shared" si="11"/>
        <v>83465770</v>
      </c>
      <c r="S17" s="176">
        <f t="shared" si="11"/>
        <v>0</v>
      </c>
      <c r="T17" s="218">
        <f t="shared" si="11"/>
        <v>83465770</v>
      </c>
      <c r="U17" s="219">
        <f t="shared" si="11"/>
        <v>84850270</v>
      </c>
      <c r="V17" s="176">
        <f t="shared" si="11"/>
        <v>0</v>
      </c>
      <c r="W17" s="179">
        <f t="shared" si="11"/>
        <v>84850270</v>
      </c>
      <c r="X17" s="323">
        <f t="shared" si="6"/>
        <v>1.0165876382617689</v>
      </c>
      <c r="Y17" s="142" t="str">
        <f t="shared" si="7"/>
        <v/>
      </c>
      <c r="Z17" s="143">
        <f t="shared" si="7"/>
        <v>1.0165876382617689</v>
      </c>
    </row>
    <row r="18" spans="1:26" hidden="1" x14ac:dyDescent="0.25">
      <c r="A18" s="62" t="s">
        <v>261</v>
      </c>
      <c r="B18" s="61" t="s">
        <v>255</v>
      </c>
      <c r="C18" s="181">
        <f>'Önkormányzat - 9. mell.'!$C97</f>
        <v>0</v>
      </c>
      <c r="D18" s="182">
        <f>'Óvoda - 10. mell.'!$C97</f>
        <v>0</v>
      </c>
      <c r="E18" s="183">
        <f t="shared" si="8"/>
        <v>0</v>
      </c>
      <c r="F18" s="184">
        <f>'Önkormányzat - 9. mell.'!$D97</f>
        <v>0</v>
      </c>
      <c r="G18" s="185">
        <f>'Óvoda - 10. mell.'!$D97</f>
        <v>0</v>
      </c>
      <c r="H18" s="220">
        <f t="shared" si="0"/>
        <v>0</v>
      </c>
      <c r="I18" s="221">
        <f>'Önkormányzat - 9. mell.'!$E97</f>
        <v>0</v>
      </c>
      <c r="J18" s="187">
        <f>'Óvoda - 10. mell.'!$E97</f>
        <v>0</v>
      </c>
      <c r="K18" s="188">
        <f t="shared" si="1"/>
        <v>0</v>
      </c>
      <c r="L18" s="184">
        <f>'Önkormányzat - 9. mell.'!$F97</f>
        <v>0</v>
      </c>
      <c r="M18" s="185">
        <f>'Óvoda - 10. mell.'!$F97</f>
        <v>0</v>
      </c>
      <c r="N18" s="220">
        <f t="shared" si="2"/>
        <v>0</v>
      </c>
      <c r="O18" s="221">
        <f>'Önkormányzat - 9. mell.'!$G97</f>
        <v>0</v>
      </c>
      <c r="P18" s="187">
        <f>'Óvoda - 10. mell.'!$G97</f>
        <v>0</v>
      </c>
      <c r="Q18" s="188">
        <f t="shared" si="3"/>
        <v>0</v>
      </c>
      <c r="R18" s="184">
        <f>'Önkormányzat - 9. mell.'!$H97</f>
        <v>0</v>
      </c>
      <c r="S18" s="185">
        <f>'Óvoda - 10. mell.'!$H97</f>
        <v>0</v>
      </c>
      <c r="T18" s="220">
        <f t="shared" si="4"/>
        <v>0</v>
      </c>
      <c r="U18" s="221">
        <f>'Önkormányzat - 9. mell.'!$I97</f>
        <v>0</v>
      </c>
      <c r="V18" s="187">
        <f>'Óvoda - 10. mell.'!$I97</f>
        <v>0</v>
      </c>
      <c r="W18" s="186">
        <f t="shared" si="5"/>
        <v>0</v>
      </c>
      <c r="X18" s="321" t="str">
        <f t="shared" si="6"/>
        <v/>
      </c>
      <c r="Y18" s="133" t="str">
        <f t="shared" si="7"/>
        <v/>
      </c>
      <c r="Z18" s="134" t="str">
        <f t="shared" si="7"/>
        <v/>
      </c>
    </row>
    <row r="19" spans="1:26" x14ac:dyDescent="0.25">
      <c r="A19" s="62" t="s">
        <v>259</v>
      </c>
      <c r="B19" s="61" t="s">
        <v>258</v>
      </c>
      <c r="C19" s="181">
        <f>'Önkormányzat - 9. mell.'!$C98</f>
        <v>0</v>
      </c>
      <c r="D19" s="182">
        <f>'Óvoda - 10. mell.'!$C98</f>
        <v>0</v>
      </c>
      <c r="E19" s="183">
        <f t="shared" si="8"/>
        <v>0</v>
      </c>
      <c r="F19" s="184">
        <f>'Önkormányzat - 9. mell.'!$D98</f>
        <v>0</v>
      </c>
      <c r="G19" s="185">
        <f>'Óvoda - 10. mell.'!$D98</f>
        <v>0</v>
      </c>
      <c r="H19" s="220">
        <f t="shared" si="0"/>
        <v>0</v>
      </c>
      <c r="I19" s="221">
        <f>'Önkormányzat - 9. mell.'!$E98</f>
        <v>1027702</v>
      </c>
      <c r="J19" s="187">
        <f>'Óvoda - 10. mell.'!$E98</f>
        <v>0</v>
      </c>
      <c r="K19" s="188">
        <f t="shared" si="1"/>
        <v>1027702</v>
      </c>
      <c r="L19" s="184">
        <f>'Önkormányzat - 9. mell.'!$F98</f>
        <v>175076</v>
      </c>
      <c r="M19" s="185">
        <f>'Óvoda - 10. mell.'!$F98</f>
        <v>0</v>
      </c>
      <c r="N19" s="220">
        <f t="shared" si="2"/>
        <v>175076</v>
      </c>
      <c r="O19" s="221">
        <f>'Önkormányzat - 9. mell.'!$G98</f>
        <v>1202778</v>
      </c>
      <c r="P19" s="187">
        <f>'Óvoda - 10. mell.'!$G98</f>
        <v>0</v>
      </c>
      <c r="Q19" s="188">
        <f t="shared" si="3"/>
        <v>1202778</v>
      </c>
      <c r="R19" s="184">
        <f>'Önkormányzat - 9. mell.'!$H98</f>
        <v>21554936</v>
      </c>
      <c r="S19" s="185">
        <f>'Óvoda - 10. mell.'!$H98</f>
        <v>0</v>
      </c>
      <c r="T19" s="220">
        <f t="shared" si="4"/>
        <v>21554936</v>
      </c>
      <c r="U19" s="221">
        <f>'Önkormányzat - 9. mell.'!$I98</f>
        <v>22582638</v>
      </c>
      <c r="V19" s="187">
        <f>'Óvoda - 10. mell.'!$I98</f>
        <v>0</v>
      </c>
      <c r="W19" s="186">
        <f t="shared" si="5"/>
        <v>22582638</v>
      </c>
      <c r="X19" s="321">
        <f t="shared" si="6"/>
        <v>1.0476782672887546</v>
      </c>
      <c r="Y19" s="133" t="str">
        <f t="shared" si="7"/>
        <v/>
      </c>
      <c r="Z19" s="134">
        <f t="shared" si="7"/>
        <v>1.0476782672887546</v>
      </c>
    </row>
    <row r="20" spans="1:26" x14ac:dyDescent="0.25">
      <c r="A20" s="114" t="s">
        <v>260</v>
      </c>
      <c r="B20" s="115" t="s">
        <v>262</v>
      </c>
      <c r="C20" s="175">
        <f>SUM(C18,C19)</f>
        <v>0</v>
      </c>
      <c r="D20" s="176">
        <f t="shared" ref="D20:W20" si="12">SUM(D18,D19)</f>
        <v>0</v>
      </c>
      <c r="E20" s="177">
        <f t="shared" si="12"/>
        <v>0</v>
      </c>
      <c r="F20" s="178">
        <f t="shared" si="12"/>
        <v>0</v>
      </c>
      <c r="G20" s="176">
        <f t="shared" si="12"/>
        <v>0</v>
      </c>
      <c r="H20" s="218">
        <f t="shared" si="12"/>
        <v>0</v>
      </c>
      <c r="I20" s="219">
        <f t="shared" si="12"/>
        <v>1027702</v>
      </c>
      <c r="J20" s="176">
        <f t="shared" si="12"/>
        <v>0</v>
      </c>
      <c r="K20" s="180">
        <f t="shared" si="12"/>
        <v>1027702</v>
      </c>
      <c r="L20" s="178">
        <f t="shared" si="12"/>
        <v>175076</v>
      </c>
      <c r="M20" s="176">
        <f t="shared" si="12"/>
        <v>0</v>
      </c>
      <c r="N20" s="218">
        <f t="shared" si="12"/>
        <v>175076</v>
      </c>
      <c r="O20" s="219">
        <f t="shared" si="12"/>
        <v>1202778</v>
      </c>
      <c r="P20" s="176">
        <f t="shared" si="12"/>
        <v>0</v>
      </c>
      <c r="Q20" s="180">
        <f t="shared" si="12"/>
        <v>1202778</v>
      </c>
      <c r="R20" s="178">
        <f t="shared" si="12"/>
        <v>21554936</v>
      </c>
      <c r="S20" s="176">
        <f t="shared" si="12"/>
        <v>0</v>
      </c>
      <c r="T20" s="218">
        <f t="shared" si="12"/>
        <v>21554936</v>
      </c>
      <c r="U20" s="219">
        <f t="shared" si="12"/>
        <v>22582638</v>
      </c>
      <c r="V20" s="176">
        <f t="shared" si="12"/>
        <v>0</v>
      </c>
      <c r="W20" s="179">
        <f t="shared" si="12"/>
        <v>22582638</v>
      </c>
      <c r="X20" s="323">
        <f t="shared" si="6"/>
        <v>1.0476782672887546</v>
      </c>
      <c r="Y20" s="142" t="str">
        <f t="shared" si="7"/>
        <v/>
      </c>
      <c r="Z20" s="143">
        <f t="shared" si="7"/>
        <v>1.0476782672887546</v>
      </c>
    </row>
    <row r="21" spans="1:26" x14ac:dyDescent="0.25">
      <c r="A21" s="116" t="s">
        <v>263</v>
      </c>
      <c r="B21" s="117" t="s">
        <v>615</v>
      </c>
      <c r="C21" s="189">
        <f>'Önkormányzat - 9. mell.'!$C100</f>
        <v>2500000</v>
      </c>
      <c r="D21" s="190">
        <f>'Óvoda - 10. mell.'!$C100</f>
        <v>0</v>
      </c>
      <c r="E21" s="191">
        <f t="shared" si="8"/>
        <v>2500000</v>
      </c>
      <c r="F21" s="192">
        <f>'Önkormányzat - 9. mell.'!$D100</f>
        <v>2500000</v>
      </c>
      <c r="G21" s="190">
        <f>'Óvoda - 10. mell.'!$D100</f>
        <v>0</v>
      </c>
      <c r="H21" s="222">
        <f t="shared" si="0"/>
        <v>2500000</v>
      </c>
      <c r="I21" s="223">
        <f>'Önkormányzat - 9. mell.'!$E100</f>
        <v>1170962</v>
      </c>
      <c r="J21" s="190">
        <f>'Óvoda - 10. mell.'!$E100</f>
        <v>0</v>
      </c>
      <c r="K21" s="193">
        <f t="shared" si="1"/>
        <v>1170962</v>
      </c>
      <c r="L21" s="192">
        <f>'Önkormányzat - 9. mell.'!$F100</f>
        <v>2500000</v>
      </c>
      <c r="M21" s="190">
        <f>'Óvoda - 10. mell.'!$F100</f>
        <v>0</v>
      </c>
      <c r="N21" s="222">
        <f t="shared" si="2"/>
        <v>2500000</v>
      </c>
      <c r="O21" s="223">
        <f>'Önkormányzat - 9. mell.'!$G100</f>
        <v>2649827</v>
      </c>
      <c r="P21" s="190">
        <f>'Óvoda - 10. mell.'!$G100</f>
        <v>0</v>
      </c>
      <c r="Q21" s="193">
        <f t="shared" si="3"/>
        <v>2649827</v>
      </c>
      <c r="R21" s="192">
        <f>'Önkormányzat - 9. mell.'!$H100</f>
        <v>2500000</v>
      </c>
      <c r="S21" s="190">
        <f>'Óvoda - 10. mell.'!$H100</f>
        <v>0</v>
      </c>
      <c r="T21" s="222">
        <f t="shared" si="4"/>
        <v>2500000</v>
      </c>
      <c r="U21" s="223">
        <f>'Önkormányzat - 9. mell.'!$I100</f>
        <v>2649831</v>
      </c>
      <c r="V21" s="190">
        <f>'Óvoda - 10. mell.'!$I100</f>
        <v>0</v>
      </c>
      <c r="W21" s="194">
        <f t="shared" si="5"/>
        <v>2649831</v>
      </c>
      <c r="X21" s="322">
        <f t="shared" si="6"/>
        <v>1.0599324000000001</v>
      </c>
      <c r="Y21" s="140" t="str">
        <f t="shared" si="7"/>
        <v/>
      </c>
      <c r="Z21" s="141">
        <f t="shared" si="7"/>
        <v>1.0599324000000001</v>
      </c>
    </row>
    <row r="22" spans="1:26" x14ac:dyDescent="0.25">
      <c r="A22" s="62" t="s">
        <v>783</v>
      </c>
      <c r="B22" s="61" t="s">
        <v>616</v>
      </c>
      <c r="C22" s="162">
        <f>'Önkormányzat - 9. mell.'!$C101</f>
        <v>6500000</v>
      </c>
      <c r="D22" s="163">
        <f>'Óvoda - 10. mell.'!$C101</f>
        <v>0</v>
      </c>
      <c r="E22" s="164">
        <f>SUM(C22:D22)</f>
        <v>6500000</v>
      </c>
      <c r="F22" s="165">
        <f>'Önkormányzat - 9. mell.'!$D101</f>
        <v>6500000</v>
      </c>
      <c r="G22" s="166">
        <f>'Óvoda - 10. mell.'!$D101</f>
        <v>0</v>
      </c>
      <c r="H22" s="214">
        <f>SUM(F22,G22)</f>
        <v>6500000</v>
      </c>
      <c r="I22" s="215">
        <f>'Önkormányzat - 9. mell.'!$E101</f>
        <v>2792901</v>
      </c>
      <c r="J22" s="167">
        <f>'Óvoda - 10. mell.'!$E101</f>
        <v>0</v>
      </c>
      <c r="K22" s="168">
        <f>SUM(I22,J22)</f>
        <v>2792901</v>
      </c>
      <c r="L22" s="165">
        <f>'Önkormányzat - 9. mell.'!$F101</f>
        <v>6500000</v>
      </c>
      <c r="M22" s="166">
        <f>'Óvoda - 10. mell.'!$F101</f>
        <v>0</v>
      </c>
      <c r="N22" s="214">
        <f>SUM(L22,M22)</f>
        <v>6500000</v>
      </c>
      <c r="O22" s="215">
        <f>'Önkormányzat - 9. mell.'!$G101</f>
        <v>5041092</v>
      </c>
      <c r="P22" s="167">
        <f>'Óvoda - 10. mell.'!$G101</f>
        <v>0</v>
      </c>
      <c r="Q22" s="168">
        <f>SUM(O22,P22)</f>
        <v>5041092</v>
      </c>
      <c r="R22" s="165">
        <f>'Önkormányzat - 9. mell.'!$H101</f>
        <v>6500000</v>
      </c>
      <c r="S22" s="166">
        <f>'Óvoda - 10. mell.'!$H101</f>
        <v>0</v>
      </c>
      <c r="T22" s="214">
        <f>SUM(R22,S22)</f>
        <v>6500000</v>
      </c>
      <c r="U22" s="215">
        <f>'Önkormányzat - 9. mell.'!$I101</f>
        <v>6292019</v>
      </c>
      <c r="V22" s="167">
        <f>'Óvoda - 10. mell.'!$I101</f>
        <v>0</v>
      </c>
      <c r="W22" s="169">
        <f>SUM(U22,V22)</f>
        <v>6292019</v>
      </c>
      <c r="X22" s="321">
        <f>IF(OR(U22="",U22=0),"",U22/R22)</f>
        <v>0.96800292307692304</v>
      </c>
      <c r="Y22" s="133" t="str">
        <f>IF(OR(V22="",V22=0),"",V22/S22)</f>
        <v/>
      </c>
      <c r="Z22" s="134">
        <f>IF(OR(W22="",W22=0),"",W22/T22)</f>
        <v>0.96800292307692304</v>
      </c>
    </row>
    <row r="23" spans="1:26" x14ac:dyDescent="0.25">
      <c r="A23" s="62" t="s">
        <v>782</v>
      </c>
      <c r="B23" s="61" t="s">
        <v>426</v>
      </c>
      <c r="C23" s="162">
        <f>'Önkormányzat - 9. mell.'!$C102</f>
        <v>4200000</v>
      </c>
      <c r="D23" s="163">
        <f>'Óvoda - 10. mell.'!$C102</f>
        <v>0</v>
      </c>
      <c r="E23" s="164">
        <f t="shared" si="8"/>
        <v>4200000</v>
      </c>
      <c r="F23" s="165">
        <f>'Önkormányzat - 9. mell.'!$D102</f>
        <v>4200000</v>
      </c>
      <c r="G23" s="166">
        <f>'Óvoda - 10. mell.'!$D102</f>
        <v>0</v>
      </c>
      <c r="H23" s="214">
        <f t="shared" si="0"/>
        <v>4200000</v>
      </c>
      <c r="I23" s="215">
        <f>'Önkormányzat - 9. mell.'!$E102</f>
        <v>2947286</v>
      </c>
      <c r="J23" s="167">
        <f>'Óvoda - 10. mell.'!$E102</f>
        <v>0</v>
      </c>
      <c r="K23" s="168">
        <f t="shared" si="1"/>
        <v>2947286</v>
      </c>
      <c r="L23" s="165">
        <f>'Önkormányzat - 9. mell.'!$F102</f>
        <v>4200000</v>
      </c>
      <c r="M23" s="166">
        <f>'Óvoda - 10. mell.'!$F102</f>
        <v>0</v>
      </c>
      <c r="N23" s="214">
        <f t="shared" si="2"/>
        <v>4200000</v>
      </c>
      <c r="O23" s="215">
        <f>'Önkormányzat - 9. mell.'!$G102</f>
        <v>4140970</v>
      </c>
      <c r="P23" s="167">
        <f>'Óvoda - 10. mell.'!$G102</f>
        <v>0</v>
      </c>
      <c r="Q23" s="168">
        <f t="shared" si="3"/>
        <v>4140970</v>
      </c>
      <c r="R23" s="165">
        <f>'Önkormányzat - 9. mell.'!$H102</f>
        <v>4200000</v>
      </c>
      <c r="S23" s="166">
        <f>'Óvoda - 10. mell.'!$H102</f>
        <v>0</v>
      </c>
      <c r="T23" s="214">
        <f t="shared" si="4"/>
        <v>4200000</v>
      </c>
      <c r="U23" s="215">
        <f>'Önkormányzat - 9. mell.'!$I102</f>
        <v>4366685</v>
      </c>
      <c r="V23" s="167">
        <f>'Óvoda - 10. mell.'!$I102</f>
        <v>0</v>
      </c>
      <c r="W23" s="169">
        <f t="shared" si="5"/>
        <v>4366685</v>
      </c>
      <c r="X23" s="321">
        <f t="shared" si="6"/>
        <v>1.0396869047619048</v>
      </c>
      <c r="Y23" s="133" t="str">
        <f t="shared" si="7"/>
        <v/>
      </c>
      <c r="Z23" s="134">
        <f t="shared" si="7"/>
        <v>1.0396869047619048</v>
      </c>
    </row>
    <row r="24" spans="1:26" x14ac:dyDescent="0.25">
      <c r="A24" s="116" t="s">
        <v>264</v>
      </c>
      <c r="B24" s="117" t="s">
        <v>634</v>
      </c>
      <c r="C24" s="189">
        <f>SUM(C22:C23)</f>
        <v>10700000</v>
      </c>
      <c r="D24" s="190">
        <f t="shared" ref="D24:Z24" si="13">SUM(D22:D23)</f>
        <v>0</v>
      </c>
      <c r="E24" s="191">
        <f t="shared" si="13"/>
        <v>10700000</v>
      </c>
      <c r="F24" s="192">
        <f t="shared" si="13"/>
        <v>10700000</v>
      </c>
      <c r="G24" s="190">
        <f t="shared" si="13"/>
        <v>0</v>
      </c>
      <c r="H24" s="222">
        <f t="shared" si="13"/>
        <v>10700000</v>
      </c>
      <c r="I24" s="223">
        <f t="shared" si="13"/>
        <v>5740187</v>
      </c>
      <c r="J24" s="190">
        <f t="shared" si="13"/>
        <v>0</v>
      </c>
      <c r="K24" s="193">
        <f t="shared" si="13"/>
        <v>5740187</v>
      </c>
      <c r="L24" s="192">
        <f t="shared" si="13"/>
        <v>10700000</v>
      </c>
      <c r="M24" s="190">
        <f t="shared" si="13"/>
        <v>0</v>
      </c>
      <c r="N24" s="222">
        <f t="shared" si="13"/>
        <v>10700000</v>
      </c>
      <c r="O24" s="223">
        <f t="shared" si="13"/>
        <v>9182062</v>
      </c>
      <c r="P24" s="190">
        <f t="shared" si="13"/>
        <v>0</v>
      </c>
      <c r="Q24" s="193">
        <f t="shared" si="13"/>
        <v>9182062</v>
      </c>
      <c r="R24" s="192">
        <f t="shared" si="13"/>
        <v>10700000</v>
      </c>
      <c r="S24" s="190">
        <f t="shared" si="13"/>
        <v>0</v>
      </c>
      <c r="T24" s="222">
        <f t="shared" si="13"/>
        <v>10700000</v>
      </c>
      <c r="U24" s="223">
        <f t="shared" si="13"/>
        <v>10658704</v>
      </c>
      <c r="V24" s="190">
        <f t="shared" si="13"/>
        <v>0</v>
      </c>
      <c r="W24" s="194">
        <f t="shared" si="13"/>
        <v>10658704</v>
      </c>
      <c r="X24" s="322">
        <f t="shared" si="13"/>
        <v>2.0076898278388278</v>
      </c>
      <c r="Y24" s="140">
        <f t="shared" si="13"/>
        <v>0</v>
      </c>
      <c r="Z24" s="141">
        <f t="shared" si="13"/>
        <v>2.0076898278388278</v>
      </c>
    </row>
    <row r="25" spans="1:26" x14ac:dyDescent="0.25">
      <c r="A25" s="62" t="s">
        <v>265</v>
      </c>
      <c r="B25" s="61" t="s">
        <v>617</v>
      </c>
      <c r="C25" s="162">
        <f>'Önkormányzat - 9. mell.'!$C104</f>
        <v>150000000</v>
      </c>
      <c r="D25" s="163">
        <f>'Óvoda - 10. mell.'!$C104</f>
        <v>0</v>
      </c>
      <c r="E25" s="164">
        <f t="shared" si="8"/>
        <v>150000000</v>
      </c>
      <c r="F25" s="165">
        <f>'Önkormányzat - 9. mell.'!$D104</f>
        <v>150000000</v>
      </c>
      <c r="G25" s="166">
        <f>'Óvoda - 10. mell.'!$D104</f>
        <v>0</v>
      </c>
      <c r="H25" s="214">
        <f t="shared" si="0"/>
        <v>150000000</v>
      </c>
      <c r="I25" s="215">
        <f>'Önkormányzat - 9. mell.'!$E104</f>
        <v>77239005</v>
      </c>
      <c r="J25" s="167">
        <f>'Óvoda - 10. mell.'!$E104</f>
        <v>0</v>
      </c>
      <c r="K25" s="168">
        <f t="shared" si="1"/>
        <v>77239005</v>
      </c>
      <c r="L25" s="165">
        <f>'Önkormányzat - 9. mell.'!$F104</f>
        <v>150000000</v>
      </c>
      <c r="M25" s="166">
        <f>'Óvoda - 10. mell.'!$F104</f>
        <v>0</v>
      </c>
      <c r="N25" s="214">
        <f t="shared" si="2"/>
        <v>150000000</v>
      </c>
      <c r="O25" s="215">
        <f>'Önkormányzat - 9. mell.'!$G104</f>
        <v>134379138</v>
      </c>
      <c r="P25" s="167">
        <f>'Óvoda - 10. mell.'!$G104</f>
        <v>0</v>
      </c>
      <c r="Q25" s="168">
        <f t="shared" si="3"/>
        <v>134379138</v>
      </c>
      <c r="R25" s="165">
        <f>'Önkormányzat - 9. mell.'!$H104</f>
        <v>150000000</v>
      </c>
      <c r="S25" s="166">
        <f>'Óvoda - 10. mell.'!$H104</f>
        <v>0</v>
      </c>
      <c r="T25" s="214">
        <f t="shared" si="4"/>
        <v>150000000</v>
      </c>
      <c r="U25" s="215">
        <f>'Önkormányzat - 9. mell.'!$I104</f>
        <v>171871757</v>
      </c>
      <c r="V25" s="167">
        <f>'Óvoda - 10. mell.'!$I104</f>
        <v>0</v>
      </c>
      <c r="W25" s="169">
        <f t="shared" si="5"/>
        <v>171871757</v>
      </c>
      <c r="X25" s="321">
        <f t="shared" si="6"/>
        <v>1.1458117133333334</v>
      </c>
      <c r="Y25" s="133" t="str">
        <f t="shared" si="7"/>
        <v/>
      </c>
      <c r="Z25" s="134">
        <f t="shared" si="7"/>
        <v>1.1458117133333334</v>
      </c>
    </row>
    <row r="26" spans="1:26" x14ac:dyDescent="0.25">
      <c r="A26" s="62" t="s">
        <v>266</v>
      </c>
      <c r="B26" s="61" t="s">
        <v>268</v>
      </c>
      <c r="C26" s="162">
        <f>'Önkormányzat - 9. mell.'!$C105</f>
        <v>6000000</v>
      </c>
      <c r="D26" s="163">
        <f>'Óvoda - 10. mell.'!$C105</f>
        <v>0</v>
      </c>
      <c r="E26" s="164">
        <f t="shared" si="8"/>
        <v>6000000</v>
      </c>
      <c r="F26" s="165">
        <f>'Önkormányzat - 9. mell.'!$D105</f>
        <v>6000000</v>
      </c>
      <c r="G26" s="166">
        <f>'Óvoda - 10. mell.'!$D105</f>
        <v>0</v>
      </c>
      <c r="H26" s="214">
        <f t="shared" si="0"/>
        <v>6000000</v>
      </c>
      <c r="I26" s="215">
        <f>'Önkormányzat - 9. mell.'!$E105</f>
        <v>4151699</v>
      </c>
      <c r="J26" s="167">
        <f>'Óvoda - 10. mell.'!$E105</f>
        <v>0</v>
      </c>
      <c r="K26" s="168">
        <f t="shared" si="1"/>
        <v>4151699</v>
      </c>
      <c r="L26" s="165">
        <f>'Önkormányzat - 9. mell.'!$F105</f>
        <v>6000000</v>
      </c>
      <c r="M26" s="166">
        <f>'Óvoda - 10. mell.'!$F105</f>
        <v>0</v>
      </c>
      <c r="N26" s="214">
        <f t="shared" si="2"/>
        <v>6000000</v>
      </c>
      <c r="O26" s="215">
        <f>'Önkormányzat - 9. mell.'!$G105</f>
        <v>4493377</v>
      </c>
      <c r="P26" s="167">
        <f>'Óvoda - 10. mell.'!$G105</f>
        <v>0</v>
      </c>
      <c r="Q26" s="168">
        <f t="shared" si="3"/>
        <v>4493377</v>
      </c>
      <c r="R26" s="165">
        <f>'Önkormányzat - 9. mell.'!$H105</f>
        <v>6000000</v>
      </c>
      <c r="S26" s="166">
        <f>'Óvoda - 10. mell.'!$H105</f>
        <v>0</v>
      </c>
      <c r="T26" s="214">
        <f t="shared" si="4"/>
        <v>6000000</v>
      </c>
      <c r="U26" s="215">
        <f>'Önkormányzat - 9. mell.'!$I105</f>
        <v>7136693</v>
      </c>
      <c r="V26" s="167">
        <f>'Óvoda - 10. mell.'!$I105</f>
        <v>0</v>
      </c>
      <c r="W26" s="169">
        <f t="shared" si="5"/>
        <v>7136693</v>
      </c>
      <c r="X26" s="321">
        <f t="shared" si="6"/>
        <v>1.1894488333333333</v>
      </c>
      <c r="Y26" s="133" t="str">
        <f t="shared" si="7"/>
        <v/>
      </c>
      <c r="Z26" s="134">
        <f t="shared" si="7"/>
        <v>1.1894488333333333</v>
      </c>
    </row>
    <row r="27" spans="1:26" x14ac:dyDescent="0.25">
      <c r="A27" s="62" t="s">
        <v>267</v>
      </c>
      <c r="B27" s="61" t="s">
        <v>425</v>
      </c>
      <c r="C27" s="162">
        <f>'Önkormányzat - 9. mell.'!$C106</f>
        <v>2000000</v>
      </c>
      <c r="D27" s="163">
        <f>'Óvoda - 10. mell.'!$C106</f>
        <v>0</v>
      </c>
      <c r="E27" s="164">
        <f t="shared" si="8"/>
        <v>2000000</v>
      </c>
      <c r="F27" s="165">
        <f>'Önkormányzat - 9. mell.'!$D106</f>
        <v>2000000</v>
      </c>
      <c r="G27" s="166">
        <f>'Óvoda - 10. mell.'!$D106</f>
        <v>0</v>
      </c>
      <c r="H27" s="214">
        <f t="shared" si="0"/>
        <v>2000000</v>
      </c>
      <c r="I27" s="215">
        <f>'Önkormányzat - 9. mell.'!$E106</f>
        <v>801600</v>
      </c>
      <c r="J27" s="167">
        <f>'Óvoda - 10. mell.'!$E106</f>
        <v>0</v>
      </c>
      <c r="K27" s="168">
        <f t="shared" si="1"/>
        <v>801600</v>
      </c>
      <c r="L27" s="165">
        <f>'Önkormányzat - 9. mell.'!$F106</f>
        <v>2000000</v>
      </c>
      <c r="M27" s="166">
        <f>'Óvoda - 10. mell.'!$F106</f>
        <v>0</v>
      </c>
      <c r="N27" s="214">
        <f t="shared" si="2"/>
        <v>2000000</v>
      </c>
      <c r="O27" s="215">
        <f>'Önkormányzat - 9. mell.'!$G106</f>
        <v>1687500</v>
      </c>
      <c r="P27" s="167">
        <f>'Óvoda - 10. mell.'!$G106</f>
        <v>0</v>
      </c>
      <c r="Q27" s="168">
        <f t="shared" si="3"/>
        <v>1687500</v>
      </c>
      <c r="R27" s="165">
        <f>'Önkormányzat - 9. mell.'!$H106</f>
        <v>2000000</v>
      </c>
      <c r="S27" s="166">
        <f>'Óvoda - 10. mell.'!$H106</f>
        <v>0</v>
      </c>
      <c r="T27" s="214">
        <f t="shared" si="4"/>
        <v>2000000</v>
      </c>
      <c r="U27" s="215">
        <f>'Önkormányzat - 9. mell.'!$I106</f>
        <v>2170500</v>
      </c>
      <c r="V27" s="167">
        <f>'Óvoda - 10. mell.'!$I106</f>
        <v>0</v>
      </c>
      <c r="W27" s="169">
        <f t="shared" si="5"/>
        <v>2170500</v>
      </c>
      <c r="X27" s="321">
        <f t="shared" si="6"/>
        <v>1.08525</v>
      </c>
      <c r="Y27" s="133" t="str">
        <f t="shared" si="7"/>
        <v/>
      </c>
      <c r="Z27" s="134">
        <f t="shared" si="7"/>
        <v>1.08525</v>
      </c>
    </row>
    <row r="28" spans="1:26" x14ac:dyDescent="0.25">
      <c r="A28" s="116" t="s">
        <v>579</v>
      </c>
      <c r="B28" s="117" t="s">
        <v>580</v>
      </c>
      <c r="C28" s="189">
        <f>SUM(C25:C27)</f>
        <v>158000000</v>
      </c>
      <c r="D28" s="190">
        <f t="shared" ref="D28:W28" si="14">SUM(D25:D27)</f>
        <v>0</v>
      </c>
      <c r="E28" s="191">
        <f t="shared" si="14"/>
        <v>158000000</v>
      </c>
      <c r="F28" s="192">
        <f t="shared" si="14"/>
        <v>158000000</v>
      </c>
      <c r="G28" s="190">
        <f t="shared" si="14"/>
        <v>0</v>
      </c>
      <c r="H28" s="222">
        <f t="shared" si="14"/>
        <v>158000000</v>
      </c>
      <c r="I28" s="223">
        <f t="shared" si="14"/>
        <v>82192304</v>
      </c>
      <c r="J28" s="190">
        <f t="shared" si="14"/>
        <v>0</v>
      </c>
      <c r="K28" s="193">
        <f t="shared" si="14"/>
        <v>82192304</v>
      </c>
      <c r="L28" s="192">
        <f t="shared" si="14"/>
        <v>158000000</v>
      </c>
      <c r="M28" s="190">
        <f t="shared" si="14"/>
        <v>0</v>
      </c>
      <c r="N28" s="222">
        <f t="shared" si="14"/>
        <v>158000000</v>
      </c>
      <c r="O28" s="223">
        <f t="shared" si="14"/>
        <v>140560015</v>
      </c>
      <c r="P28" s="190">
        <f t="shared" si="14"/>
        <v>0</v>
      </c>
      <c r="Q28" s="193">
        <f t="shared" si="14"/>
        <v>140560015</v>
      </c>
      <c r="R28" s="192">
        <f t="shared" si="14"/>
        <v>158000000</v>
      </c>
      <c r="S28" s="190">
        <f t="shared" si="14"/>
        <v>0</v>
      </c>
      <c r="T28" s="222">
        <f t="shared" si="14"/>
        <v>158000000</v>
      </c>
      <c r="U28" s="223">
        <f t="shared" si="14"/>
        <v>181178950</v>
      </c>
      <c r="V28" s="190">
        <f t="shared" si="14"/>
        <v>0</v>
      </c>
      <c r="W28" s="194">
        <f t="shared" si="14"/>
        <v>181178950</v>
      </c>
      <c r="X28" s="322">
        <f t="shared" si="6"/>
        <v>1.1467022151898734</v>
      </c>
      <c r="Y28" s="140" t="str">
        <f t="shared" si="7"/>
        <v/>
      </c>
      <c r="Z28" s="141">
        <f t="shared" si="7"/>
        <v>1.1467022151898734</v>
      </c>
    </row>
    <row r="29" spans="1:26" x14ac:dyDescent="0.25">
      <c r="A29" s="62" t="s">
        <v>584</v>
      </c>
      <c r="B29" s="61" t="s">
        <v>386</v>
      </c>
      <c r="C29" s="162">
        <f>'Önkormányzat - 9. mell.'!$C108</f>
        <v>50000</v>
      </c>
      <c r="D29" s="163">
        <f>'Óvoda - 10. mell.'!$C108</f>
        <v>0</v>
      </c>
      <c r="E29" s="164">
        <f t="shared" si="8"/>
        <v>50000</v>
      </c>
      <c r="F29" s="165">
        <f>'Önkormányzat - 9. mell.'!$D108</f>
        <v>50000</v>
      </c>
      <c r="G29" s="166">
        <f>'Óvoda - 10. mell.'!$D108</f>
        <v>0</v>
      </c>
      <c r="H29" s="214">
        <f t="shared" si="0"/>
        <v>50000</v>
      </c>
      <c r="I29" s="215">
        <f>'Önkormányzat - 9. mell.'!$E108</f>
        <v>63000</v>
      </c>
      <c r="J29" s="167">
        <f>'Óvoda - 10. mell.'!$E108</f>
        <v>0</v>
      </c>
      <c r="K29" s="168">
        <f t="shared" si="1"/>
        <v>63000</v>
      </c>
      <c r="L29" s="165">
        <f>'Önkormányzat - 9. mell.'!$F108</f>
        <v>50000</v>
      </c>
      <c r="M29" s="166">
        <f>'Óvoda - 10. mell.'!$F108</f>
        <v>0</v>
      </c>
      <c r="N29" s="214">
        <f t="shared" si="2"/>
        <v>50000</v>
      </c>
      <c r="O29" s="215">
        <f>'Önkormányzat - 9. mell.'!$G108</f>
        <v>417600</v>
      </c>
      <c r="P29" s="167">
        <f>'Óvoda - 10. mell.'!$G108</f>
        <v>0</v>
      </c>
      <c r="Q29" s="168">
        <f t="shared" si="3"/>
        <v>417600</v>
      </c>
      <c r="R29" s="165">
        <f>'Önkormányzat - 9. mell.'!$H108</f>
        <v>129947</v>
      </c>
      <c r="S29" s="166">
        <f>'Óvoda - 10. mell.'!$H108</f>
        <v>0</v>
      </c>
      <c r="T29" s="214">
        <f t="shared" si="4"/>
        <v>129947</v>
      </c>
      <c r="U29" s="215">
        <f>'Önkormányzat - 9. mell.'!$I108</f>
        <v>627340</v>
      </c>
      <c r="V29" s="167">
        <f>'Óvoda - 10. mell.'!$I108</f>
        <v>0</v>
      </c>
      <c r="W29" s="169">
        <f t="shared" si="5"/>
        <v>627340</v>
      </c>
      <c r="X29" s="321">
        <f t="shared" si="6"/>
        <v>4.8276605077454651</v>
      </c>
      <c r="Y29" s="133" t="str">
        <f t="shared" si="7"/>
        <v/>
      </c>
      <c r="Z29" s="134">
        <f t="shared" si="7"/>
        <v>4.8276605077454651</v>
      </c>
    </row>
    <row r="30" spans="1:26" x14ac:dyDescent="0.25">
      <c r="A30" s="62" t="s">
        <v>585</v>
      </c>
      <c r="B30" s="61" t="s">
        <v>637</v>
      </c>
      <c r="C30" s="162">
        <f>'Önkormányzat - 9. mell.'!$C109</f>
        <v>15000</v>
      </c>
      <c r="D30" s="163">
        <f>'Óvoda - 10. mell.'!$C109</f>
        <v>0</v>
      </c>
      <c r="E30" s="164">
        <f t="shared" si="8"/>
        <v>15000</v>
      </c>
      <c r="F30" s="165">
        <f>'Önkormányzat - 9. mell.'!$D109</f>
        <v>15000</v>
      </c>
      <c r="G30" s="166">
        <f>'Óvoda - 10. mell.'!$D109</f>
        <v>0</v>
      </c>
      <c r="H30" s="214">
        <f t="shared" si="0"/>
        <v>15000</v>
      </c>
      <c r="I30" s="215">
        <f>'Önkormányzat - 9. mell.'!$E109</f>
        <v>10341</v>
      </c>
      <c r="J30" s="167">
        <f>'Óvoda - 10. mell.'!$E109</f>
        <v>0</v>
      </c>
      <c r="K30" s="168">
        <f t="shared" si="1"/>
        <v>10341</v>
      </c>
      <c r="L30" s="165">
        <f>'Önkormányzat - 9. mell.'!$F109</f>
        <v>15000</v>
      </c>
      <c r="M30" s="166">
        <f>'Óvoda - 10. mell.'!$F109</f>
        <v>0</v>
      </c>
      <c r="N30" s="214">
        <f t="shared" si="2"/>
        <v>15000</v>
      </c>
      <c r="O30" s="215">
        <f>'Önkormányzat - 9. mell.'!$G109</f>
        <v>60053</v>
      </c>
      <c r="P30" s="167">
        <f>'Óvoda - 10. mell.'!$G109</f>
        <v>0</v>
      </c>
      <c r="Q30" s="168">
        <f t="shared" si="3"/>
        <v>60053</v>
      </c>
      <c r="R30" s="165">
        <f>'Önkormányzat - 9. mell.'!$H109</f>
        <v>60053</v>
      </c>
      <c r="S30" s="166">
        <f>'Óvoda - 10. mell.'!$H109</f>
        <v>0</v>
      </c>
      <c r="T30" s="214">
        <f t="shared" si="4"/>
        <v>60053</v>
      </c>
      <c r="U30" s="215">
        <f>'Önkormányzat - 9. mell.'!$I109</f>
        <v>220054</v>
      </c>
      <c r="V30" s="167">
        <f>'Óvoda - 10. mell.'!$I109</f>
        <v>0</v>
      </c>
      <c r="W30" s="169">
        <f t="shared" si="5"/>
        <v>220054</v>
      </c>
      <c r="X30" s="321">
        <f t="shared" si="6"/>
        <v>3.6643298419729238</v>
      </c>
      <c r="Y30" s="133" t="str">
        <f t="shared" si="7"/>
        <v/>
      </c>
      <c r="Z30" s="134">
        <f t="shared" si="7"/>
        <v>3.6643298419729238</v>
      </c>
    </row>
    <row r="31" spans="1:26" x14ac:dyDescent="0.25">
      <c r="A31" s="62" t="s">
        <v>636</v>
      </c>
      <c r="B31" s="61" t="s">
        <v>582</v>
      </c>
      <c r="C31" s="162">
        <f>'Önkormányzat - 9. mell.'!$C110</f>
        <v>0</v>
      </c>
      <c r="D31" s="163">
        <f>'Óvoda - 10. mell.'!$C110</f>
        <v>0</v>
      </c>
      <c r="E31" s="164">
        <f t="shared" si="8"/>
        <v>0</v>
      </c>
      <c r="F31" s="165">
        <f>'Önkormányzat - 9. mell.'!$D110</f>
        <v>0</v>
      </c>
      <c r="G31" s="166">
        <f>'Óvoda - 10. mell.'!$D110</f>
        <v>0</v>
      </c>
      <c r="H31" s="214">
        <f t="shared" si="0"/>
        <v>0</v>
      </c>
      <c r="I31" s="215">
        <f>'Önkormányzat - 9. mell.'!$E110</f>
        <v>5000</v>
      </c>
      <c r="J31" s="167">
        <f>'Óvoda - 10. mell.'!$E110</f>
        <v>0</v>
      </c>
      <c r="K31" s="168">
        <f t="shared" si="1"/>
        <v>5000</v>
      </c>
      <c r="L31" s="165">
        <f>'Önkormányzat - 9. mell.'!$F110</f>
        <v>0</v>
      </c>
      <c r="M31" s="166">
        <f>'Óvoda - 10. mell.'!$F110</f>
        <v>0</v>
      </c>
      <c r="N31" s="214">
        <f t="shared" si="2"/>
        <v>0</v>
      </c>
      <c r="O31" s="215">
        <f>'Önkormányzat - 9. mell.'!$G110</f>
        <v>5000</v>
      </c>
      <c r="P31" s="167">
        <f>'Óvoda - 10. mell.'!$G110</f>
        <v>0</v>
      </c>
      <c r="Q31" s="168">
        <f t="shared" si="3"/>
        <v>5000</v>
      </c>
      <c r="R31" s="165">
        <f>'Önkormányzat - 9. mell.'!$H110</f>
        <v>5000</v>
      </c>
      <c r="S31" s="166">
        <f>'Óvoda - 10. mell.'!$H110</f>
        <v>0</v>
      </c>
      <c r="T31" s="214">
        <f t="shared" si="4"/>
        <v>5000</v>
      </c>
      <c r="U31" s="215">
        <f>'Önkormányzat - 9. mell.'!$I110</f>
        <v>5000</v>
      </c>
      <c r="V31" s="167">
        <f>'Óvoda - 10. mell.'!$I110</f>
        <v>0</v>
      </c>
      <c r="W31" s="169">
        <f t="shared" si="5"/>
        <v>5000</v>
      </c>
      <c r="X31" s="321">
        <f t="shared" si="6"/>
        <v>1</v>
      </c>
      <c r="Y31" s="133" t="str">
        <f t="shared" si="7"/>
        <v/>
      </c>
      <c r="Z31" s="134">
        <f t="shared" si="7"/>
        <v>1</v>
      </c>
    </row>
    <row r="32" spans="1:26" x14ac:dyDescent="0.25">
      <c r="A32" s="116" t="s">
        <v>578</v>
      </c>
      <c r="B32" s="118" t="s">
        <v>581</v>
      </c>
      <c r="C32" s="189">
        <f>SUM(C29:C31)</f>
        <v>65000</v>
      </c>
      <c r="D32" s="190">
        <f t="shared" ref="D32:W32" si="15">SUM(D29:D31)</f>
        <v>0</v>
      </c>
      <c r="E32" s="191">
        <f t="shared" si="15"/>
        <v>65000</v>
      </c>
      <c r="F32" s="192">
        <f t="shared" si="15"/>
        <v>65000</v>
      </c>
      <c r="G32" s="190">
        <f t="shared" si="15"/>
        <v>0</v>
      </c>
      <c r="H32" s="222">
        <f t="shared" si="15"/>
        <v>65000</v>
      </c>
      <c r="I32" s="223">
        <f t="shared" si="15"/>
        <v>78341</v>
      </c>
      <c r="J32" s="190">
        <f t="shared" si="15"/>
        <v>0</v>
      </c>
      <c r="K32" s="193">
        <f t="shared" si="15"/>
        <v>78341</v>
      </c>
      <c r="L32" s="192">
        <f t="shared" si="15"/>
        <v>65000</v>
      </c>
      <c r="M32" s="190">
        <f t="shared" si="15"/>
        <v>0</v>
      </c>
      <c r="N32" s="222">
        <f t="shared" si="15"/>
        <v>65000</v>
      </c>
      <c r="O32" s="223">
        <f t="shared" si="15"/>
        <v>482653</v>
      </c>
      <c r="P32" s="190">
        <f t="shared" si="15"/>
        <v>0</v>
      </c>
      <c r="Q32" s="193">
        <f t="shared" si="15"/>
        <v>482653</v>
      </c>
      <c r="R32" s="192">
        <f t="shared" si="15"/>
        <v>195000</v>
      </c>
      <c r="S32" s="190">
        <f t="shared" si="15"/>
        <v>0</v>
      </c>
      <c r="T32" s="222">
        <f t="shared" si="15"/>
        <v>195000</v>
      </c>
      <c r="U32" s="223">
        <f t="shared" si="15"/>
        <v>852394</v>
      </c>
      <c r="V32" s="190">
        <f t="shared" si="15"/>
        <v>0</v>
      </c>
      <c r="W32" s="194">
        <f t="shared" si="15"/>
        <v>852394</v>
      </c>
      <c r="X32" s="322">
        <f t="shared" si="6"/>
        <v>4.3712512820512819</v>
      </c>
      <c r="Y32" s="140" t="str">
        <f t="shared" si="7"/>
        <v/>
      </c>
      <c r="Z32" s="141">
        <f t="shared" si="7"/>
        <v>4.3712512820512819</v>
      </c>
    </row>
    <row r="33" spans="1:26" x14ac:dyDescent="0.25">
      <c r="A33" s="114" t="s">
        <v>269</v>
      </c>
      <c r="B33" s="115" t="s">
        <v>270</v>
      </c>
      <c r="C33" s="175">
        <f t="shared" ref="C33:W33" si="16">SUM(C32,C28,C24,C21)</f>
        <v>171265000</v>
      </c>
      <c r="D33" s="176">
        <f t="shared" si="16"/>
        <v>0</v>
      </c>
      <c r="E33" s="177">
        <f t="shared" si="16"/>
        <v>171265000</v>
      </c>
      <c r="F33" s="178">
        <f t="shared" si="16"/>
        <v>171265000</v>
      </c>
      <c r="G33" s="176">
        <f t="shared" si="16"/>
        <v>0</v>
      </c>
      <c r="H33" s="218">
        <f t="shared" si="16"/>
        <v>171265000</v>
      </c>
      <c r="I33" s="219">
        <f t="shared" si="16"/>
        <v>89181794</v>
      </c>
      <c r="J33" s="176">
        <f t="shared" si="16"/>
        <v>0</v>
      </c>
      <c r="K33" s="180">
        <f t="shared" si="16"/>
        <v>89181794</v>
      </c>
      <c r="L33" s="178">
        <f t="shared" si="16"/>
        <v>171265000</v>
      </c>
      <c r="M33" s="176">
        <f t="shared" si="16"/>
        <v>0</v>
      </c>
      <c r="N33" s="218">
        <f t="shared" si="16"/>
        <v>171265000</v>
      </c>
      <c r="O33" s="219">
        <f t="shared" si="16"/>
        <v>152874557</v>
      </c>
      <c r="P33" s="176">
        <f t="shared" si="16"/>
        <v>0</v>
      </c>
      <c r="Q33" s="180">
        <f t="shared" si="16"/>
        <v>152874557</v>
      </c>
      <c r="R33" s="178">
        <f t="shared" si="16"/>
        <v>171395000</v>
      </c>
      <c r="S33" s="176">
        <f t="shared" si="16"/>
        <v>0</v>
      </c>
      <c r="T33" s="218">
        <f t="shared" si="16"/>
        <v>171395000</v>
      </c>
      <c r="U33" s="219">
        <f t="shared" si="16"/>
        <v>195339879</v>
      </c>
      <c r="V33" s="176">
        <f t="shared" si="16"/>
        <v>0</v>
      </c>
      <c r="W33" s="179">
        <f t="shared" si="16"/>
        <v>195339879</v>
      </c>
      <c r="X33" s="323">
        <f t="shared" si="6"/>
        <v>1.1397058198897283</v>
      </c>
      <c r="Y33" s="142" t="str">
        <f t="shared" si="7"/>
        <v/>
      </c>
      <c r="Z33" s="143">
        <f t="shared" si="7"/>
        <v>1.1397058198897283</v>
      </c>
    </row>
    <row r="34" spans="1:26" x14ac:dyDescent="0.25">
      <c r="A34" s="62" t="s">
        <v>273</v>
      </c>
      <c r="B34" s="61" t="s">
        <v>279</v>
      </c>
      <c r="C34" s="162">
        <f>'Önkormányzat - 9. mell.'!$C113</f>
        <v>0</v>
      </c>
      <c r="D34" s="163">
        <f>'Óvoda - 10. mell.'!$C113</f>
        <v>0</v>
      </c>
      <c r="E34" s="164">
        <f t="shared" si="8"/>
        <v>0</v>
      </c>
      <c r="F34" s="165">
        <f>'Önkormányzat - 9. mell.'!$D113</f>
        <v>0</v>
      </c>
      <c r="G34" s="166">
        <f>'Óvoda - 10. mell.'!$D113</f>
        <v>0</v>
      </c>
      <c r="H34" s="214">
        <f t="shared" si="0"/>
        <v>0</v>
      </c>
      <c r="I34" s="215">
        <f>'Önkormányzat - 9. mell.'!$E113</f>
        <v>0</v>
      </c>
      <c r="J34" s="167">
        <f>'Óvoda - 10. mell.'!$E113</f>
        <v>0</v>
      </c>
      <c r="K34" s="168">
        <f t="shared" si="1"/>
        <v>0</v>
      </c>
      <c r="L34" s="165">
        <f>'Önkormányzat - 9. mell.'!$F113</f>
        <v>0</v>
      </c>
      <c r="M34" s="166">
        <f>'Óvoda - 10. mell.'!$F113</f>
        <v>0</v>
      </c>
      <c r="N34" s="214">
        <f t="shared" si="2"/>
        <v>0</v>
      </c>
      <c r="O34" s="215">
        <f>'Önkormányzat - 9. mell.'!$G113</f>
        <v>207080</v>
      </c>
      <c r="P34" s="167">
        <f>'Óvoda - 10. mell.'!$G113</f>
        <v>0</v>
      </c>
      <c r="Q34" s="168">
        <f t="shared" si="3"/>
        <v>207080</v>
      </c>
      <c r="R34" s="165">
        <f>'Önkormányzat - 9. mell.'!$H113</f>
        <v>207080</v>
      </c>
      <c r="S34" s="166">
        <f>'Óvoda - 10. mell.'!$H113</f>
        <v>0</v>
      </c>
      <c r="T34" s="214">
        <f t="shared" si="4"/>
        <v>207080</v>
      </c>
      <c r="U34" s="215">
        <f>'Önkormányzat - 9. mell.'!$I113</f>
        <v>207080</v>
      </c>
      <c r="V34" s="167">
        <f>'Óvoda - 10. mell.'!$I113</f>
        <v>0</v>
      </c>
      <c r="W34" s="169">
        <f t="shared" si="5"/>
        <v>207080</v>
      </c>
      <c r="X34" s="321">
        <f t="shared" si="6"/>
        <v>1</v>
      </c>
      <c r="Y34" s="133" t="str">
        <f t="shared" si="7"/>
        <v/>
      </c>
      <c r="Z34" s="134">
        <f t="shared" si="7"/>
        <v>1</v>
      </c>
    </row>
    <row r="35" spans="1:26" x14ac:dyDescent="0.25">
      <c r="A35" s="62" t="s">
        <v>274</v>
      </c>
      <c r="B35" s="61" t="s">
        <v>325</v>
      </c>
      <c r="C35" s="162">
        <f>'Önkormányzat - 9. mell.'!$C114</f>
        <v>4208581</v>
      </c>
      <c r="D35" s="163">
        <f>'Óvoda - 10. mell.'!$C114</f>
        <v>0</v>
      </c>
      <c r="E35" s="164">
        <f t="shared" si="8"/>
        <v>4208581</v>
      </c>
      <c r="F35" s="165">
        <f>'Önkormányzat - 9. mell.'!$D114</f>
        <v>4208581</v>
      </c>
      <c r="G35" s="166">
        <f>'Óvoda - 10. mell.'!$D114</f>
        <v>0</v>
      </c>
      <c r="H35" s="214">
        <f t="shared" si="0"/>
        <v>4208581</v>
      </c>
      <c r="I35" s="215">
        <f>'Önkormányzat - 9. mell.'!$E114</f>
        <v>2288881</v>
      </c>
      <c r="J35" s="167">
        <f>'Óvoda - 10. mell.'!$E114</f>
        <v>0</v>
      </c>
      <c r="K35" s="168">
        <f t="shared" si="1"/>
        <v>2288881</v>
      </c>
      <c r="L35" s="165">
        <f>'Önkormányzat - 9. mell.'!$F114</f>
        <v>4287321</v>
      </c>
      <c r="M35" s="166">
        <f>'Óvoda - 10. mell.'!$F114</f>
        <v>0</v>
      </c>
      <c r="N35" s="214">
        <f t="shared" si="2"/>
        <v>4287321</v>
      </c>
      <c r="O35" s="215">
        <f>'Önkormányzat - 9. mell.'!$G114</f>
        <v>3400526</v>
      </c>
      <c r="P35" s="167">
        <f>'Óvoda - 10. mell.'!$G114</f>
        <v>0</v>
      </c>
      <c r="Q35" s="168">
        <f t="shared" si="3"/>
        <v>3400526</v>
      </c>
      <c r="R35" s="165">
        <f>'Önkormányzat - 9. mell.'!$H114</f>
        <v>4287321</v>
      </c>
      <c r="S35" s="166">
        <f>'Óvoda - 10. mell.'!$H114</f>
        <v>0</v>
      </c>
      <c r="T35" s="214">
        <f t="shared" si="4"/>
        <v>4287321</v>
      </c>
      <c r="U35" s="215">
        <f>'Önkormányzat - 9. mell.'!$I114</f>
        <v>4733174</v>
      </c>
      <c r="V35" s="167">
        <f>'Óvoda - 10. mell.'!$I114</f>
        <v>0</v>
      </c>
      <c r="W35" s="169">
        <f t="shared" si="5"/>
        <v>4733174</v>
      </c>
      <c r="X35" s="321">
        <f t="shared" si="6"/>
        <v>1.1039933795486738</v>
      </c>
      <c r="Y35" s="133" t="str">
        <f t="shared" si="7"/>
        <v/>
      </c>
      <c r="Z35" s="134">
        <f t="shared" si="7"/>
        <v>1.1039933795486738</v>
      </c>
    </row>
    <row r="36" spans="1:26" x14ac:dyDescent="0.25">
      <c r="A36" s="62" t="s">
        <v>275</v>
      </c>
      <c r="B36" s="61" t="s">
        <v>166</v>
      </c>
      <c r="C36" s="162">
        <f>'Önkormányzat - 9. mell.'!$C115</f>
        <v>3635000</v>
      </c>
      <c r="D36" s="163">
        <f>'Óvoda - 10. mell.'!$C115</f>
        <v>0</v>
      </c>
      <c r="E36" s="164">
        <f t="shared" si="8"/>
        <v>3635000</v>
      </c>
      <c r="F36" s="165">
        <f>'Önkormányzat - 9. mell.'!$D115</f>
        <v>3635000</v>
      </c>
      <c r="G36" s="166">
        <f>'Óvoda - 10. mell.'!$D115</f>
        <v>0</v>
      </c>
      <c r="H36" s="214">
        <f t="shared" si="0"/>
        <v>3635000</v>
      </c>
      <c r="I36" s="215">
        <f>'Önkormányzat - 9. mell.'!$E115</f>
        <v>655607</v>
      </c>
      <c r="J36" s="167">
        <f>'Óvoda - 10. mell.'!$E115</f>
        <v>0</v>
      </c>
      <c r="K36" s="168">
        <f t="shared" si="1"/>
        <v>655607</v>
      </c>
      <c r="L36" s="165">
        <f>'Önkormányzat - 9. mell.'!$F115</f>
        <v>3635000</v>
      </c>
      <c r="M36" s="166">
        <f>'Óvoda - 10. mell.'!$F115</f>
        <v>0</v>
      </c>
      <c r="N36" s="214">
        <f t="shared" si="2"/>
        <v>3635000</v>
      </c>
      <c r="O36" s="215">
        <f>'Önkormányzat - 9. mell.'!$G115</f>
        <v>685607</v>
      </c>
      <c r="P36" s="167">
        <f>'Óvoda - 10. mell.'!$G115</f>
        <v>0</v>
      </c>
      <c r="Q36" s="168">
        <f t="shared" si="3"/>
        <v>685607</v>
      </c>
      <c r="R36" s="165">
        <f>'Önkormányzat - 9. mell.'!$H115</f>
        <v>3635000</v>
      </c>
      <c r="S36" s="166">
        <f>'Óvoda - 10. mell.'!$H115</f>
        <v>0</v>
      </c>
      <c r="T36" s="214">
        <f t="shared" si="4"/>
        <v>3635000</v>
      </c>
      <c r="U36" s="215">
        <f>'Önkormányzat - 9. mell.'!$I115</f>
        <v>685607</v>
      </c>
      <c r="V36" s="167">
        <f>'Óvoda - 10. mell.'!$I115</f>
        <v>0</v>
      </c>
      <c r="W36" s="169">
        <f t="shared" si="5"/>
        <v>685607</v>
      </c>
      <c r="X36" s="321">
        <f t="shared" ref="X36:X59" si="17">IF(OR(U36="",U36=0),"",U36/R36)</f>
        <v>0.18861265474552957</v>
      </c>
      <c r="Y36" s="133" t="str">
        <f t="shared" si="7"/>
        <v/>
      </c>
      <c r="Z36" s="134">
        <f t="shared" si="7"/>
        <v>0.18861265474552957</v>
      </c>
    </row>
    <row r="37" spans="1:26" hidden="1" x14ac:dyDescent="0.25">
      <c r="A37" s="62" t="s">
        <v>276</v>
      </c>
      <c r="B37" s="61" t="s">
        <v>280</v>
      </c>
      <c r="C37" s="162">
        <f>'Önkormányzat - 9. mell.'!$C116</f>
        <v>0</v>
      </c>
      <c r="D37" s="163">
        <f>'Óvoda - 10. mell.'!$C116</f>
        <v>0</v>
      </c>
      <c r="E37" s="164">
        <f t="shared" si="8"/>
        <v>0</v>
      </c>
      <c r="F37" s="165">
        <f>'Önkormányzat - 9. mell.'!$D116</f>
        <v>0</v>
      </c>
      <c r="G37" s="166">
        <f>'Óvoda - 10. mell.'!$D116</f>
        <v>0</v>
      </c>
      <c r="H37" s="214">
        <f t="shared" si="0"/>
        <v>0</v>
      </c>
      <c r="I37" s="215">
        <f>'Önkormányzat - 9. mell.'!$E116</f>
        <v>0</v>
      </c>
      <c r="J37" s="167">
        <f>'Óvoda - 10. mell.'!$E116</f>
        <v>0</v>
      </c>
      <c r="K37" s="168">
        <f t="shared" si="1"/>
        <v>0</v>
      </c>
      <c r="L37" s="165">
        <f>'Önkormányzat - 9. mell.'!$F116</f>
        <v>0</v>
      </c>
      <c r="M37" s="166">
        <f>'Óvoda - 10. mell.'!$F116</f>
        <v>0</v>
      </c>
      <c r="N37" s="214">
        <f t="shared" si="2"/>
        <v>0</v>
      </c>
      <c r="O37" s="215">
        <f>'Önkormányzat - 9. mell.'!$G116</f>
        <v>0</v>
      </c>
      <c r="P37" s="167">
        <f>'Óvoda - 10. mell.'!$G116</f>
        <v>0</v>
      </c>
      <c r="Q37" s="168">
        <f t="shared" si="3"/>
        <v>0</v>
      </c>
      <c r="R37" s="165">
        <f>'Önkormányzat - 9. mell.'!$H116</f>
        <v>0</v>
      </c>
      <c r="S37" s="166">
        <f>'Óvoda - 10. mell.'!$H116</f>
        <v>0</v>
      </c>
      <c r="T37" s="214">
        <f t="shared" si="4"/>
        <v>0</v>
      </c>
      <c r="U37" s="215">
        <f>'Önkormányzat - 9. mell.'!$I116</f>
        <v>0</v>
      </c>
      <c r="V37" s="167">
        <f>'Óvoda - 10. mell.'!$I116</f>
        <v>0</v>
      </c>
      <c r="W37" s="169">
        <f t="shared" si="5"/>
        <v>0</v>
      </c>
      <c r="X37" s="321" t="str">
        <f t="shared" si="17"/>
        <v/>
      </c>
      <c r="Y37" s="133" t="str">
        <f t="shared" si="7"/>
        <v/>
      </c>
      <c r="Z37" s="134" t="str">
        <f t="shared" si="7"/>
        <v/>
      </c>
    </row>
    <row r="38" spans="1:26" x14ac:dyDescent="0.25">
      <c r="A38" s="62" t="s">
        <v>277</v>
      </c>
      <c r="B38" s="61" t="s">
        <v>281</v>
      </c>
      <c r="C38" s="162">
        <f>'Önkormányzat - 9. mell.'!$C117</f>
        <v>2789430</v>
      </c>
      <c r="D38" s="163">
        <f>'Óvoda - 10. mell.'!$C117</f>
        <v>1443200</v>
      </c>
      <c r="E38" s="164">
        <f t="shared" si="8"/>
        <v>4232630</v>
      </c>
      <c r="F38" s="165">
        <f>'Önkormányzat - 9. mell.'!$D117</f>
        <v>2789430</v>
      </c>
      <c r="G38" s="166">
        <f>'Óvoda - 10. mell.'!$D117</f>
        <v>1443200</v>
      </c>
      <c r="H38" s="214">
        <f t="shared" si="0"/>
        <v>4232630</v>
      </c>
      <c r="I38" s="215">
        <f>'Önkormányzat - 9. mell.'!$E117</f>
        <v>1898615</v>
      </c>
      <c r="J38" s="167">
        <f>'Óvoda - 10. mell.'!$E117</f>
        <v>901180</v>
      </c>
      <c r="K38" s="168">
        <f t="shared" si="1"/>
        <v>2799795</v>
      </c>
      <c r="L38" s="165">
        <f>'Önkormányzat - 9. mell.'!$F117</f>
        <v>2789430</v>
      </c>
      <c r="M38" s="166">
        <f>'Óvoda - 10. mell.'!$F117</f>
        <v>1443200</v>
      </c>
      <c r="N38" s="214">
        <f t="shared" si="2"/>
        <v>4232630</v>
      </c>
      <c r="O38" s="215">
        <f>'Önkormányzat - 9. mell.'!$G117</f>
        <v>2439192</v>
      </c>
      <c r="P38" s="167">
        <f>'Óvoda - 10. mell.'!$G117</f>
        <v>1258140</v>
      </c>
      <c r="Q38" s="168">
        <f t="shared" si="3"/>
        <v>3697332</v>
      </c>
      <c r="R38" s="165">
        <f>'Önkormányzat - 9. mell.'!$H117</f>
        <v>2789430</v>
      </c>
      <c r="S38" s="166">
        <f>'Óvoda - 10. mell.'!$H117</f>
        <v>1443200</v>
      </c>
      <c r="T38" s="214">
        <f t="shared" si="4"/>
        <v>4232630</v>
      </c>
      <c r="U38" s="215">
        <f>'Önkormányzat - 9. mell.'!$I117</f>
        <v>3533959</v>
      </c>
      <c r="V38" s="167">
        <f>'Óvoda - 10. mell.'!$I117</f>
        <v>1746972</v>
      </c>
      <c r="W38" s="169">
        <f t="shared" si="5"/>
        <v>5280931</v>
      </c>
      <c r="X38" s="321">
        <f t="shared" si="17"/>
        <v>1.2669108025653986</v>
      </c>
      <c r="Y38" s="133">
        <f t="shared" si="7"/>
        <v>1.2104850332594235</v>
      </c>
      <c r="Z38" s="134">
        <f t="shared" si="7"/>
        <v>1.2476713060201341</v>
      </c>
    </row>
    <row r="39" spans="1:26" x14ac:dyDescent="0.25">
      <c r="A39" s="62" t="s">
        <v>278</v>
      </c>
      <c r="B39" s="61" t="s">
        <v>324</v>
      </c>
      <c r="C39" s="162">
        <f>'Önkormányzat - 9. mell.'!$C118</f>
        <v>1764596</v>
      </c>
      <c r="D39" s="163">
        <f>'Óvoda - 10. mell.'!$C118</f>
        <v>0</v>
      </c>
      <c r="E39" s="164">
        <f t="shared" si="8"/>
        <v>1764596</v>
      </c>
      <c r="F39" s="165">
        <f>'Önkormányzat - 9. mell.'!$D118</f>
        <v>1764596</v>
      </c>
      <c r="G39" s="166">
        <f>'Óvoda - 10. mell.'!$D118</f>
        <v>0</v>
      </c>
      <c r="H39" s="214">
        <f t="shared" si="0"/>
        <v>1764596</v>
      </c>
      <c r="I39" s="215">
        <f>'Önkormányzat - 9. mell.'!$E118</f>
        <v>718779</v>
      </c>
      <c r="J39" s="167">
        <f>'Óvoda - 10. mell.'!$E118</f>
        <v>0</v>
      </c>
      <c r="K39" s="168">
        <f t="shared" si="1"/>
        <v>718779</v>
      </c>
      <c r="L39" s="165">
        <f>'Önkormányzat - 9. mell.'!$F118</f>
        <v>1785856</v>
      </c>
      <c r="M39" s="166">
        <f>'Óvoda - 10. mell.'!$F118</f>
        <v>0</v>
      </c>
      <c r="N39" s="214">
        <f t="shared" si="2"/>
        <v>1785856</v>
      </c>
      <c r="O39" s="215">
        <f>'Önkormányzat - 9. mell.'!$G118</f>
        <v>921203</v>
      </c>
      <c r="P39" s="167">
        <f>'Óvoda - 10. mell.'!$G118</f>
        <v>0</v>
      </c>
      <c r="Q39" s="168">
        <f t="shared" si="3"/>
        <v>921203</v>
      </c>
      <c r="R39" s="165">
        <f>'Önkormányzat - 9. mell.'!$H118</f>
        <v>1785856</v>
      </c>
      <c r="S39" s="166">
        <f>'Óvoda - 10. mell.'!$H118</f>
        <v>0</v>
      </c>
      <c r="T39" s="214">
        <f t="shared" si="4"/>
        <v>1785856</v>
      </c>
      <c r="U39" s="215">
        <f>'Önkormányzat - 9. mell.'!$I118</f>
        <v>1257619</v>
      </c>
      <c r="V39" s="167">
        <f>'Óvoda - 10. mell.'!$I118</f>
        <v>0</v>
      </c>
      <c r="W39" s="169">
        <f t="shared" si="5"/>
        <v>1257619</v>
      </c>
      <c r="X39" s="321">
        <f t="shared" si="17"/>
        <v>0.70421075383457565</v>
      </c>
      <c r="Y39" s="133" t="str">
        <f t="shared" si="7"/>
        <v/>
      </c>
      <c r="Z39" s="134">
        <f t="shared" si="7"/>
        <v>0.70421075383457565</v>
      </c>
    </row>
    <row r="40" spans="1:26" x14ac:dyDescent="0.25">
      <c r="A40" s="62" t="s">
        <v>282</v>
      </c>
      <c r="B40" s="61" t="s">
        <v>283</v>
      </c>
      <c r="C40" s="162">
        <f>'Önkormányzat - 9. mell.'!$C119</f>
        <v>0</v>
      </c>
      <c r="D40" s="163">
        <f>'Óvoda - 10. mell.'!$C119</f>
        <v>0</v>
      </c>
      <c r="E40" s="164">
        <f t="shared" si="8"/>
        <v>0</v>
      </c>
      <c r="F40" s="165">
        <f>'Önkormányzat - 9. mell.'!$D119</f>
        <v>0</v>
      </c>
      <c r="G40" s="166">
        <f>'Óvoda - 10. mell.'!$D119</f>
        <v>0</v>
      </c>
      <c r="H40" s="214">
        <f t="shared" si="0"/>
        <v>0</v>
      </c>
      <c r="I40" s="215">
        <f>'Önkormányzat - 9. mell.'!$E119</f>
        <v>794000</v>
      </c>
      <c r="J40" s="167">
        <f>'Óvoda - 10. mell.'!$E119</f>
        <v>0</v>
      </c>
      <c r="K40" s="168">
        <f t="shared" si="1"/>
        <v>794000</v>
      </c>
      <c r="L40" s="165">
        <f>'Önkormányzat - 9. mell.'!$F119</f>
        <v>0</v>
      </c>
      <c r="M40" s="166">
        <f>'Óvoda - 10. mell.'!$F119</f>
        <v>0</v>
      </c>
      <c r="N40" s="214">
        <f t="shared" si="2"/>
        <v>0</v>
      </c>
      <c r="O40" s="215">
        <f>'Önkormányzat - 9. mell.'!$G119</f>
        <v>794000</v>
      </c>
      <c r="P40" s="167">
        <f>'Óvoda - 10. mell.'!$G119</f>
        <v>0</v>
      </c>
      <c r="Q40" s="168">
        <f t="shared" si="3"/>
        <v>794000</v>
      </c>
      <c r="R40" s="165">
        <f>'Önkormányzat - 9. mell.'!$H119</f>
        <v>0</v>
      </c>
      <c r="S40" s="166">
        <f>'Óvoda - 10. mell.'!$H119</f>
        <v>0</v>
      </c>
      <c r="T40" s="214">
        <f t="shared" si="4"/>
        <v>0</v>
      </c>
      <c r="U40" s="215">
        <f>'Önkormányzat - 9. mell.'!$I119</f>
        <v>503000</v>
      </c>
      <c r="V40" s="167">
        <f>'Óvoda - 10. mell.'!$I119</f>
        <v>0</v>
      </c>
      <c r="W40" s="169">
        <f t="shared" si="5"/>
        <v>503000</v>
      </c>
      <c r="X40" s="321" t="str">
        <f>IF(OR(R40="",R40=0),"",U40/R40)</f>
        <v/>
      </c>
      <c r="Y40" s="133" t="str">
        <f t="shared" si="7"/>
        <v/>
      </c>
      <c r="Z40" s="134" t="str">
        <f>IF(OR(T40="",T40=0),"",W40/T40)</f>
        <v/>
      </c>
    </row>
    <row r="41" spans="1:26" x14ac:dyDescent="0.25">
      <c r="A41" s="62" t="s">
        <v>284</v>
      </c>
      <c r="B41" s="61" t="s">
        <v>285</v>
      </c>
      <c r="C41" s="162">
        <f>'Önkormányzat - 9. mell.'!$C120</f>
        <v>0</v>
      </c>
      <c r="D41" s="163">
        <f>'Óvoda - 10. mell.'!$C120</f>
        <v>0</v>
      </c>
      <c r="E41" s="164">
        <f t="shared" si="8"/>
        <v>0</v>
      </c>
      <c r="F41" s="165">
        <f>'Önkormányzat - 9. mell.'!$D120</f>
        <v>0</v>
      </c>
      <c r="G41" s="166">
        <f>'Óvoda - 10. mell.'!$D120</f>
        <v>0</v>
      </c>
      <c r="H41" s="214">
        <f t="shared" si="0"/>
        <v>0</v>
      </c>
      <c r="I41" s="215">
        <f>'Önkormányzat - 9. mell.'!$E120</f>
        <v>80</v>
      </c>
      <c r="J41" s="167">
        <f>'Óvoda - 10. mell.'!$E120</f>
        <v>0</v>
      </c>
      <c r="K41" s="168">
        <f t="shared" si="1"/>
        <v>80</v>
      </c>
      <c r="L41" s="165">
        <f>'Önkormányzat - 9. mell.'!$F120</f>
        <v>0</v>
      </c>
      <c r="M41" s="166">
        <f>'Óvoda - 10. mell.'!$F120</f>
        <v>0</v>
      </c>
      <c r="N41" s="214">
        <f t="shared" si="2"/>
        <v>0</v>
      </c>
      <c r="O41" s="215">
        <f>'Önkormányzat - 9. mell.'!$G120</f>
        <v>112</v>
      </c>
      <c r="P41" s="167">
        <f>'Óvoda - 10. mell.'!$G120</f>
        <v>0</v>
      </c>
      <c r="Q41" s="168">
        <f t="shared" si="3"/>
        <v>112</v>
      </c>
      <c r="R41" s="165">
        <f>'Önkormányzat - 9. mell.'!$H120</f>
        <v>0</v>
      </c>
      <c r="S41" s="166">
        <f>'Óvoda - 10. mell.'!$H120</f>
        <v>0</v>
      </c>
      <c r="T41" s="214">
        <f t="shared" si="4"/>
        <v>0</v>
      </c>
      <c r="U41" s="215">
        <f>'Önkormányzat - 9. mell.'!$I120</f>
        <v>144</v>
      </c>
      <c r="V41" s="167">
        <f>'Óvoda - 10. mell.'!$I120</f>
        <v>0</v>
      </c>
      <c r="W41" s="169">
        <f t="shared" si="5"/>
        <v>144</v>
      </c>
      <c r="X41" s="321" t="str">
        <f>IF(OR(R41="",R41=0),"",U41/R41)</f>
        <v/>
      </c>
      <c r="Y41" s="133" t="str">
        <f t="shared" si="7"/>
        <v/>
      </c>
      <c r="Z41" s="134" t="str">
        <f>IF(OR(T41="",T41=0),"",W41/T41)</f>
        <v/>
      </c>
    </row>
    <row r="42" spans="1:26" x14ac:dyDescent="0.25">
      <c r="A42" s="62" t="s">
        <v>588</v>
      </c>
      <c r="B42" s="61" t="s">
        <v>286</v>
      </c>
      <c r="C42" s="162">
        <f>'Önkormányzat - 9. mell.'!$C121</f>
        <v>11000</v>
      </c>
      <c r="D42" s="163">
        <f>'Óvoda - 10. mell.'!$C121</f>
        <v>0</v>
      </c>
      <c r="E42" s="164">
        <f t="shared" si="8"/>
        <v>11000</v>
      </c>
      <c r="F42" s="165">
        <f>'Önkormányzat - 9. mell.'!$D121</f>
        <v>11000</v>
      </c>
      <c r="G42" s="166">
        <f>'Óvoda - 10. mell.'!$D121</f>
        <v>0</v>
      </c>
      <c r="H42" s="214">
        <f t="shared" si="0"/>
        <v>11000</v>
      </c>
      <c r="I42" s="215">
        <f>'Önkormányzat - 9. mell.'!$E121</f>
        <v>111334</v>
      </c>
      <c r="J42" s="167">
        <f>'Óvoda - 10. mell.'!$E121</f>
        <v>2868</v>
      </c>
      <c r="K42" s="168">
        <f t="shared" si="1"/>
        <v>114202</v>
      </c>
      <c r="L42" s="165">
        <f>'Önkormányzat - 9. mell.'!$F121</f>
        <v>1011000</v>
      </c>
      <c r="M42" s="166">
        <f>'Óvoda - 10. mell.'!$F121</f>
        <v>0</v>
      </c>
      <c r="N42" s="214">
        <f t="shared" si="2"/>
        <v>1011000</v>
      </c>
      <c r="O42" s="215">
        <f>'Önkormányzat - 9. mell.'!$G121</f>
        <v>1658930</v>
      </c>
      <c r="P42" s="167">
        <f>'Óvoda - 10. mell.'!$G121</f>
        <v>3537</v>
      </c>
      <c r="Q42" s="168">
        <f t="shared" si="3"/>
        <v>1662467</v>
      </c>
      <c r="R42" s="165">
        <f>'Önkormányzat - 9. mell.'!$H121</f>
        <v>1011000</v>
      </c>
      <c r="S42" s="166">
        <f>'Óvoda - 10. mell.'!$H121</f>
        <v>0</v>
      </c>
      <c r="T42" s="214">
        <f t="shared" si="4"/>
        <v>1011000</v>
      </c>
      <c r="U42" s="215">
        <f>'Önkormányzat - 9. mell.'!$I121</f>
        <v>1717749</v>
      </c>
      <c r="V42" s="167">
        <f>'Óvoda - 10. mell.'!$I121</f>
        <v>3989</v>
      </c>
      <c r="W42" s="169">
        <f t="shared" si="5"/>
        <v>1721738</v>
      </c>
      <c r="X42" s="321">
        <f t="shared" si="17"/>
        <v>1.6990593471810089</v>
      </c>
      <c r="Y42" s="133" t="str">
        <f>IF(OR(S42="",S42=0),"",V42/S42)</f>
        <v/>
      </c>
      <c r="Z42" s="134">
        <f t="shared" si="7"/>
        <v>1.7030049455984173</v>
      </c>
    </row>
    <row r="43" spans="1:26" x14ac:dyDescent="0.25">
      <c r="A43" s="114" t="s">
        <v>271</v>
      </c>
      <c r="B43" s="115" t="s">
        <v>272</v>
      </c>
      <c r="C43" s="175">
        <f>SUM(C34:C42)</f>
        <v>12408607</v>
      </c>
      <c r="D43" s="176">
        <f t="shared" ref="D43:W43" si="18">SUM(D34:D42)</f>
        <v>1443200</v>
      </c>
      <c r="E43" s="177">
        <f t="shared" si="18"/>
        <v>13851807</v>
      </c>
      <c r="F43" s="178">
        <f t="shared" si="18"/>
        <v>12408607</v>
      </c>
      <c r="G43" s="176">
        <f t="shared" si="18"/>
        <v>1443200</v>
      </c>
      <c r="H43" s="218">
        <f t="shared" si="18"/>
        <v>13851807</v>
      </c>
      <c r="I43" s="219">
        <f t="shared" si="18"/>
        <v>6467296</v>
      </c>
      <c r="J43" s="176">
        <f t="shared" si="18"/>
        <v>904048</v>
      </c>
      <c r="K43" s="180">
        <f t="shared" si="18"/>
        <v>7371344</v>
      </c>
      <c r="L43" s="178">
        <f t="shared" si="18"/>
        <v>13508607</v>
      </c>
      <c r="M43" s="176">
        <f t="shared" si="18"/>
        <v>1443200</v>
      </c>
      <c r="N43" s="218">
        <f t="shared" si="18"/>
        <v>14951807</v>
      </c>
      <c r="O43" s="219">
        <f t="shared" si="18"/>
        <v>10106650</v>
      </c>
      <c r="P43" s="176">
        <f t="shared" si="18"/>
        <v>1261677</v>
      </c>
      <c r="Q43" s="180">
        <f t="shared" si="18"/>
        <v>11368327</v>
      </c>
      <c r="R43" s="178">
        <f t="shared" si="18"/>
        <v>13715687</v>
      </c>
      <c r="S43" s="176">
        <f t="shared" si="18"/>
        <v>1443200</v>
      </c>
      <c r="T43" s="218">
        <f t="shared" si="18"/>
        <v>15158887</v>
      </c>
      <c r="U43" s="219">
        <f t="shared" si="18"/>
        <v>12638332</v>
      </c>
      <c r="V43" s="176">
        <f t="shared" si="18"/>
        <v>1750961</v>
      </c>
      <c r="W43" s="179">
        <f t="shared" si="18"/>
        <v>14389293</v>
      </c>
      <c r="X43" s="323">
        <f t="shared" si="17"/>
        <v>0.92145089050224027</v>
      </c>
      <c r="Y43" s="142">
        <f t="shared" si="7"/>
        <v>1.213249029933481</v>
      </c>
      <c r="Z43" s="143">
        <f t="shared" si="7"/>
        <v>0.94923149700898224</v>
      </c>
    </row>
    <row r="44" spans="1:26" x14ac:dyDescent="0.25">
      <c r="A44" s="62" t="s">
        <v>287</v>
      </c>
      <c r="B44" s="61" t="s">
        <v>289</v>
      </c>
      <c r="C44" s="162">
        <f>'Önkormányzat - 9. mell.'!$C123</f>
        <v>460000</v>
      </c>
      <c r="D44" s="163">
        <f>'Óvoda - 10. mell.'!$C123</f>
        <v>0</v>
      </c>
      <c r="E44" s="164">
        <f t="shared" si="8"/>
        <v>460000</v>
      </c>
      <c r="F44" s="165">
        <f>'Önkormányzat - 9. mell.'!$D123</f>
        <v>460000</v>
      </c>
      <c r="G44" s="166">
        <f>'Óvoda - 10. mell.'!$D123</f>
        <v>0</v>
      </c>
      <c r="H44" s="214">
        <f t="shared" si="0"/>
        <v>460000</v>
      </c>
      <c r="I44" s="215">
        <f>'Önkormányzat - 9. mell.'!$E123</f>
        <v>215000</v>
      </c>
      <c r="J44" s="167">
        <f>'Óvoda - 10. mell.'!$E123</f>
        <v>0</v>
      </c>
      <c r="K44" s="168">
        <f t="shared" si="1"/>
        <v>215000</v>
      </c>
      <c r="L44" s="165">
        <f>'Önkormányzat - 9. mell.'!$F123</f>
        <v>460000</v>
      </c>
      <c r="M44" s="166">
        <f>'Óvoda - 10. mell.'!$F123</f>
        <v>0</v>
      </c>
      <c r="N44" s="214">
        <f t="shared" si="2"/>
        <v>460000</v>
      </c>
      <c r="O44" s="215">
        <f>'Önkormányzat - 9. mell.'!$G123</f>
        <v>215000</v>
      </c>
      <c r="P44" s="167">
        <f>'Óvoda - 10. mell.'!$G123</f>
        <v>0</v>
      </c>
      <c r="Q44" s="168">
        <f t="shared" si="3"/>
        <v>215000</v>
      </c>
      <c r="R44" s="165">
        <f>'Önkormányzat - 9. mell.'!$H123</f>
        <v>460000</v>
      </c>
      <c r="S44" s="166">
        <f>'Óvoda - 10. mell.'!$H123</f>
        <v>0</v>
      </c>
      <c r="T44" s="214">
        <f t="shared" si="4"/>
        <v>460000</v>
      </c>
      <c r="U44" s="215">
        <f>'Önkormányzat - 9. mell.'!$I123</f>
        <v>822500</v>
      </c>
      <c r="V44" s="167">
        <f>'Óvoda - 10. mell.'!$I123</f>
        <v>0</v>
      </c>
      <c r="W44" s="169">
        <f t="shared" si="5"/>
        <v>822500</v>
      </c>
      <c r="X44" s="321">
        <f t="shared" si="17"/>
        <v>1.7880434782608696</v>
      </c>
      <c r="Y44" s="133" t="str">
        <f t="shared" si="7"/>
        <v/>
      </c>
      <c r="Z44" s="134">
        <f t="shared" si="7"/>
        <v>1.7880434782608696</v>
      </c>
    </row>
    <row r="45" spans="1:26" hidden="1" x14ac:dyDescent="0.25">
      <c r="A45" s="62" t="s">
        <v>288</v>
      </c>
      <c r="B45" s="61" t="s">
        <v>290</v>
      </c>
      <c r="C45" s="162">
        <f>'Önkormányzat - 9. mell.'!$C124</f>
        <v>0</v>
      </c>
      <c r="D45" s="163">
        <f>'Óvoda - 10. mell.'!$C124</f>
        <v>0</v>
      </c>
      <c r="E45" s="164">
        <f t="shared" si="8"/>
        <v>0</v>
      </c>
      <c r="F45" s="165">
        <f>'Önkormányzat - 9. mell.'!$D124</f>
        <v>0</v>
      </c>
      <c r="G45" s="166">
        <f>'Óvoda - 10. mell.'!$D124</f>
        <v>0</v>
      </c>
      <c r="H45" s="214">
        <f t="shared" si="0"/>
        <v>0</v>
      </c>
      <c r="I45" s="215">
        <f>'Önkormányzat - 9. mell.'!$E124</f>
        <v>0</v>
      </c>
      <c r="J45" s="167">
        <f>'Óvoda - 10. mell.'!$E124</f>
        <v>0</v>
      </c>
      <c r="K45" s="168">
        <f t="shared" si="1"/>
        <v>0</v>
      </c>
      <c r="L45" s="165">
        <f>'Önkormányzat - 9. mell.'!$F124</f>
        <v>0</v>
      </c>
      <c r="M45" s="166">
        <f>'Óvoda - 10. mell.'!$F124</f>
        <v>0</v>
      </c>
      <c r="N45" s="214">
        <f t="shared" si="2"/>
        <v>0</v>
      </c>
      <c r="O45" s="215">
        <f>'Önkormányzat - 9. mell.'!$G124</f>
        <v>0</v>
      </c>
      <c r="P45" s="167">
        <f>'Óvoda - 10. mell.'!$G124</f>
        <v>0</v>
      </c>
      <c r="Q45" s="168">
        <f t="shared" si="3"/>
        <v>0</v>
      </c>
      <c r="R45" s="165">
        <f>'Önkormányzat - 9. mell.'!$H124</f>
        <v>0</v>
      </c>
      <c r="S45" s="166">
        <f>'Óvoda - 10. mell.'!$H124</f>
        <v>0</v>
      </c>
      <c r="T45" s="214">
        <f t="shared" si="4"/>
        <v>0</v>
      </c>
      <c r="U45" s="215">
        <f>'Önkormányzat - 9. mell.'!$I124</f>
        <v>0</v>
      </c>
      <c r="V45" s="167">
        <f>'Óvoda - 10. mell.'!$I124</f>
        <v>0</v>
      </c>
      <c r="W45" s="169">
        <f t="shared" si="5"/>
        <v>0</v>
      </c>
      <c r="X45" s="321" t="str">
        <f t="shared" si="17"/>
        <v/>
      </c>
      <c r="Y45" s="133" t="str">
        <f t="shared" si="7"/>
        <v/>
      </c>
      <c r="Z45" s="134" t="str">
        <f t="shared" si="7"/>
        <v/>
      </c>
    </row>
    <row r="46" spans="1:26" x14ac:dyDescent="0.25">
      <c r="A46" s="114" t="s">
        <v>291</v>
      </c>
      <c r="B46" s="115" t="s">
        <v>292</v>
      </c>
      <c r="C46" s="175">
        <f>SUM(C44:C45)</f>
        <v>460000</v>
      </c>
      <c r="D46" s="176">
        <f t="shared" ref="D46:W46" si="19">SUM(D44:D45)</f>
        <v>0</v>
      </c>
      <c r="E46" s="177">
        <f t="shared" si="19"/>
        <v>460000</v>
      </c>
      <c r="F46" s="178">
        <f t="shared" si="19"/>
        <v>460000</v>
      </c>
      <c r="G46" s="176">
        <f t="shared" si="19"/>
        <v>0</v>
      </c>
      <c r="H46" s="218">
        <f t="shared" si="19"/>
        <v>460000</v>
      </c>
      <c r="I46" s="219">
        <f t="shared" si="19"/>
        <v>215000</v>
      </c>
      <c r="J46" s="176">
        <f t="shared" si="19"/>
        <v>0</v>
      </c>
      <c r="K46" s="180">
        <f t="shared" si="19"/>
        <v>215000</v>
      </c>
      <c r="L46" s="178">
        <f t="shared" si="19"/>
        <v>460000</v>
      </c>
      <c r="M46" s="176">
        <f t="shared" si="19"/>
        <v>0</v>
      </c>
      <c r="N46" s="218">
        <f t="shared" si="19"/>
        <v>460000</v>
      </c>
      <c r="O46" s="219">
        <f t="shared" si="19"/>
        <v>215000</v>
      </c>
      <c r="P46" s="176">
        <f t="shared" si="19"/>
        <v>0</v>
      </c>
      <c r="Q46" s="180">
        <f t="shared" si="19"/>
        <v>215000</v>
      </c>
      <c r="R46" s="178">
        <f t="shared" si="19"/>
        <v>460000</v>
      </c>
      <c r="S46" s="176">
        <f t="shared" si="19"/>
        <v>0</v>
      </c>
      <c r="T46" s="218">
        <f t="shared" si="19"/>
        <v>460000</v>
      </c>
      <c r="U46" s="219">
        <f t="shared" si="19"/>
        <v>822500</v>
      </c>
      <c r="V46" s="176">
        <f t="shared" si="19"/>
        <v>0</v>
      </c>
      <c r="W46" s="179">
        <f t="shared" si="19"/>
        <v>822500</v>
      </c>
      <c r="X46" s="323">
        <f t="shared" si="17"/>
        <v>1.7880434782608696</v>
      </c>
      <c r="Y46" s="142" t="str">
        <f t="shared" si="7"/>
        <v/>
      </c>
      <c r="Z46" s="143">
        <f t="shared" si="7"/>
        <v>1.7880434782608696</v>
      </c>
    </row>
    <row r="47" spans="1:26" hidden="1" x14ac:dyDescent="0.25">
      <c r="A47" s="62" t="s">
        <v>293</v>
      </c>
      <c r="B47" s="61" t="s">
        <v>294</v>
      </c>
      <c r="C47" s="162">
        <f>'Önkormányzat - 9. mell.'!$C126</f>
        <v>0</v>
      </c>
      <c r="D47" s="163">
        <f>'Óvoda - 10. mell.'!$C126</f>
        <v>0</v>
      </c>
      <c r="E47" s="164">
        <f t="shared" si="8"/>
        <v>0</v>
      </c>
      <c r="F47" s="165">
        <f>'Önkormányzat - 9. mell.'!$D126</f>
        <v>0</v>
      </c>
      <c r="G47" s="166">
        <f>'Óvoda - 10. mell.'!$D126</f>
        <v>0</v>
      </c>
      <c r="H47" s="214">
        <f t="shared" si="0"/>
        <v>0</v>
      </c>
      <c r="I47" s="215">
        <f>'Önkormányzat - 9. mell.'!$E126</f>
        <v>0</v>
      </c>
      <c r="J47" s="167">
        <f>'Óvoda - 10. mell.'!$E126</f>
        <v>0</v>
      </c>
      <c r="K47" s="168">
        <f t="shared" si="1"/>
        <v>0</v>
      </c>
      <c r="L47" s="165">
        <f>'Önkormányzat - 9. mell.'!$F126</f>
        <v>0</v>
      </c>
      <c r="M47" s="166">
        <f>'Óvoda - 10. mell.'!$F126</f>
        <v>0</v>
      </c>
      <c r="N47" s="214">
        <f t="shared" si="2"/>
        <v>0</v>
      </c>
      <c r="O47" s="215">
        <f>'Önkormányzat - 9. mell.'!$G126</f>
        <v>0</v>
      </c>
      <c r="P47" s="167">
        <f>'Óvoda - 10. mell.'!$G126</f>
        <v>0</v>
      </c>
      <c r="Q47" s="168">
        <f t="shared" si="3"/>
        <v>0</v>
      </c>
      <c r="R47" s="165">
        <f>'Önkormányzat - 9. mell.'!$H126</f>
        <v>0</v>
      </c>
      <c r="S47" s="166">
        <f>'Óvoda - 10. mell.'!$H126</f>
        <v>0</v>
      </c>
      <c r="T47" s="214">
        <f t="shared" si="4"/>
        <v>0</v>
      </c>
      <c r="U47" s="215">
        <f>'Önkormányzat - 9. mell.'!$I126</f>
        <v>0</v>
      </c>
      <c r="V47" s="167">
        <f>'Óvoda - 10. mell.'!$I126</f>
        <v>0</v>
      </c>
      <c r="W47" s="169">
        <f t="shared" si="5"/>
        <v>0</v>
      </c>
      <c r="X47" s="321" t="str">
        <f t="shared" si="17"/>
        <v/>
      </c>
      <c r="Y47" s="133" t="str">
        <f t="shared" si="7"/>
        <v/>
      </c>
      <c r="Z47" s="134" t="str">
        <f t="shared" si="7"/>
        <v/>
      </c>
    </row>
    <row r="48" spans="1:26" x14ac:dyDescent="0.25">
      <c r="A48" s="62" t="s">
        <v>590</v>
      </c>
      <c r="B48" s="61" t="s">
        <v>295</v>
      </c>
      <c r="C48" s="162">
        <f>'Önkormányzat - 9. mell.'!$C127</f>
        <v>0</v>
      </c>
      <c r="D48" s="163">
        <f>'Óvoda - 10. mell.'!$C127</f>
        <v>0</v>
      </c>
      <c r="E48" s="164">
        <f t="shared" si="8"/>
        <v>0</v>
      </c>
      <c r="F48" s="165">
        <f>'Önkormányzat - 9. mell.'!$D127</f>
        <v>47560</v>
      </c>
      <c r="G48" s="166">
        <f>'Óvoda - 10. mell.'!$D127</f>
        <v>0</v>
      </c>
      <c r="H48" s="214">
        <f t="shared" si="0"/>
        <v>47560</v>
      </c>
      <c r="I48" s="215">
        <f>'Önkormányzat - 9. mell.'!$E127</f>
        <v>363560</v>
      </c>
      <c r="J48" s="167">
        <f>'Óvoda - 10. mell.'!$E127</f>
        <v>0</v>
      </c>
      <c r="K48" s="168">
        <f t="shared" si="1"/>
        <v>363560</v>
      </c>
      <c r="L48" s="165">
        <f>'Önkormányzat - 9. mell.'!$F127</f>
        <v>47560</v>
      </c>
      <c r="M48" s="166">
        <f>'Óvoda - 10. mell.'!$F127</f>
        <v>0</v>
      </c>
      <c r="N48" s="214">
        <f t="shared" si="2"/>
        <v>47560</v>
      </c>
      <c r="O48" s="215">
        <f>'Önkormányzat - 9. mell.'!$G127</f>
        <v>363560</v>
      </c>
      <c r="P48" s="167">
        <f>'Óvoda - 10. mell.'!$G127</f>
        <v>0</v>
      </c>
      <c r="Q48" s="168">
        <f t="shared" si="3"/>
        <v>363560</v>
      </c>
      <c r="R48" s="165">
        <f>'Önkormányzat - 9. mell.'!$H127</f>
        <v>47560</v>
      </c>
      <c r="S48" s="166">
        <f>'Óvoda - 10. mell.'!$H127</f>
        <v>0</v>
      </c>
      <c r="T48" s="214">
        <f t="shared" si="4"/>
        <v>47560</v>
      </c>
      <c r="U48" s="215">
        <f>'Önkormányzat - 9. mell.'!$I127</f>
        <v>363560</v>
      </c>
      <c r="V48" s="167">
        <f>'Óvoda - 10. mell.'!$I127</f>
        <v>0</v>
      </c>
      <c r="W48" s="169">
        <f t="shared" si="5"/>
        <v>363560</v>
      </c>
      <c r="X48" s="321">
        <f t="shared" si="17"/>
        <v>7.6442388561816657</v>
      </c>
      <c r="Y48" s="133" t="str">
        <f t="shared" si="7"/>
        <v/>
      </c>
      <c r="Z48" s="134">
        <f t="shared" si="7"/>
        <v>7.6442388561816657</v>
      </c>
    </row>
    <row r="49" spans="1:26" x14ac:dyDescent="0.25">
      <c r="A49" s="114" t="s">
        <v>296</v>
      </c>
      <c r="B49" s="115" t="s">
        <v>299</v>
      </c>
      <c r="C49" s="175">
        <f>SUM(C47:C48)</f>
        <v>0</v>
      </c>
      <c r="D49" s="176">
        <f t="shared" ref="D49:W49" si="20">SUM(D47:D48)</f>
        <v>0</v>
      </c>
      <c r="E49" s="177">
        <f t="shared" si="20"/>
        <v>0</v>
      </c>
      <c r="F49" s="178">
        <f t="shared" si="20"/>
        <v>47560</v>
      </c>
      <c r="G49" s="176">
        <f t="shared" si="20"/>
        <v>0</v>
      </c>
      <c r="H49" s="218">
        <f t="shared" si="20"/>
        <v>47560</v>
      </c>
      <c r="I49" s="219">
        <f t="shared" si="20"/>
        <v>363560</v>
      </c>
      <c r="J49" s="176">
        <f t="shared" si="20"/>
        <v>0</v>
      </c>
      <c r="K49" s="180">
        <f t="shared" si="20"/>
        <v>363560</v>
      </c>
      <c r="L49" s="178">
        <f t="shared" si="20"/>
        <v>47560</v>
      </c>
      <c r="M49" s="176">
        <f t="shared" si="20"/>
        <v>0</v>
      </c>
      <c r="N49" s="218">
        <f t="shared" si="20"/>
        <v>47560</v>
      </c>
      <c r="O49" s="219">
        <f t="shared" si="20"/>
        <v>363560</v>
      </c>
      <c r="P49" s="176">
        <f t="shared" si="20"/>
        <v>0</v>
      </c>
      <c r="Q49" s="180">
        <f t="shared" si="20"/>
        <v>363560</v>
      </c>
      <c r="R49" s="178">
        <f t="shared" si="20"/>
        <v>47560</v>
      </c>
      <c r="S49" s="176">
        <f t="shared" si="20"/>
        <v>0</v>
      </c>
      <c r="T49" s="218">
        <f t="shared" si="20"/>
        <v>47560</v>
      </c>
      <c r="U49" s="219">
        <f t="shared" si="20"/>
        <v>363560</v>
      </c>
      <c r="V49" s="176">
        <f t="shared" si="20"/>
        <v>0</v>
      </c>
      <c r="W49" s="179">
        <f t="shared" si="20"/>
        <v>363560</v>
      </c>
      <c r="X49" s="323">
        <f t="shared" si="17"/>
        <v>7.6442388561816657</v>
      </c>
      <c r="Y49" s="142" t="str">
        <f t="shared" si="7"/>
        <v/>
      </c>
      <c r="Z49" s="143">
        <f t="shared" si="7"/>
        <v>7.6442388561816657</v>
      </c>
    </row>
    <row r="50" spans="1:26" hidden="1" x14ac:dyDescent="0.25">
      <c r="A50" s="62" t="s">
        <v>300</v>
      </c>
      <c r="B50" s="61" t="s">
        <v>301</v>
      </c>
      <c r="C50" s="162">
        <f>'Önkormányzat - 9. mell.'!$C129</f>
        <v>0</v>
      </c>
      <c r="D50" s="163">
        <f>'Óvoda - 10. mell.'!$C129</f>
        <v>0</v>
      </c>
      <c r="E50" s="164">
        <f t="shared" si="8"/>
        <v>0</v>
      </c>
      <c r="F50" s="165">
        <f>'Önkormányzat - 9. mell.'!$D129</f>
        <v>0</v>
      </c>
      <c r="G50" s="166">
        <f>'Óvoda - 10. mell.'!$D129</f>
        <v>0</v>
      </c>
      <c r="H50" s="214">
        <f t="shared" si="0"/>
        <v>0</v>
      </c>
      <c r="I50" s="215">
        <f>'Önkormányzat - 9. mell.'!$E129</f>
        <v>0</v>
      </c>
      <c r="J50" s="167">
        <f>'Óvoda - 10. mell.'!$E129</f>
        <v>0</v>
      </c>
      <c r="K50" s="168">
        <f t="shared" si="1"/>
        <v>0</v>
      </c>
      <c r="L50" s="165">
        <f>'Önkormányzat - 9. mell.'!$F129</f>
        <v>0</v>
      </c>
      <c r="M50" s="166">
        <f>'Óvoda - 10. mell.'!$F129</f>
        <v>0</v>
      </c>
      <c r="N50" s="214">
        <f t="shared" si="2"/>
        <v>0</v>
      </c>
      <c r="O50" s="215">
        <f>'Önkormányzat - 9. mell.'!$G129</f>
        <v>0</v>
      </c>
      <c r="P50" s="167">
        <f>'Óvoda - 10. mell.'!$G129</f>
        <v>0</v>
      </c>
      <c r="Q50" s="168">
        <f t="shared" si="3"/>
        <v>0</v>
      </c>
      <c r="R50" s="165">
        <f>'Önkormányzat - 9. mell.'!$H129</f>
        <v>0</v>
      </c>
      <c r="S50" s="166">
        <f>'Óvoda - 10. mell.'!$H129</f>
        <v>0</v>
      </c>
      <c r="T50" s="214">
        <f t="shared" si="4"/>
        <v>0</v>
      </c>
      <c r="U50" s="215">
        <f>'Önkormányzat - 9. mell.'!$I129</f>
        <v>0</v>
      </c>
      <c r="V50" s="167">
        <f>'Óvoda - 10. mell.'!$I129</f>
        <v>0</v>
      </c>
      <c r="W50" s="169">
        <f t="shared" si="5"/>
        <v>0</v>
      </c>
      <c r="X50" s="321" t="str">
        <f t="shared" si="17"/>
        <v/>
      </c>
      <c r="Y50" s="133" t="str">
        <f t="shared" si="7"/>
        <v/>
      </c>
      <c r="Z50" s="134" t="str">
        <f t="shared" si="7"/>
        <v/>
      </c>
    </row>
    <row r="51" spans="1:26" x14ac:dyDescent="0.25">
      <c r="A51" s="62" t="s">
        <v>592</v>
      </c>
      <c r="B51" s="61" t="s">
        <v>302</v>
      </c>
      <c r="C51" s="162">
        <f>'Önkormányzat - 9. mell.'!$C130</f>
        <v>2886600</v>
      </c>
      <c r="D51" s="163">
        <f>'Óvoda - 10. mell.'!$C130</f>
        <v>0</v>
      </c>
      <c r="E51" s="164">
        <f t="shared" si="8"/>
        <v>2886600</v>
      </c>
      <c r="F51" s="165">
        <f>'Önkormányzat - 9. mell.'!$D130</f>
        <v>2886600</v>
      </c>
      <c r="G51" s="166">
        <f>'Óvoda - 10. mell.'!$D130</f>
        <v>0</v>
      </c>
      <c r="H51" s="214">
        <f t="shared" si="0"/>
        <v>2886600</v>
      </c>
      <c r="I51" s="215">
        <f>'Önkormányzat - 9. mell.'!$E130</f>
        <v>0</v>
      </c>
      <c r="J51" s="167">
        <f>'Óvoda - 10. mell.'!$E130</f>
        <v>0</v>
      </c>
      <c r="K51" s="168">
        <f t="shared" si="1"/>
        <v>0</v>
      </c>
      <c r="L51" s="165">
        <f>'Önkormányzat - 9. mell.'!$F130</f>
        <v>2886600</v>
      </c>
      <c r="M51" s="166">
        <f>'Óvoda - 10. mell.'!$F130</f>
        <v>0</v>
      </c>
      <c r="N51" s="214">
        <f t="shared" si="2"/>
        <v>2886600</v>
      </c>
      <c r="O51" s="215">
        <f>'Önkormányzat - 9. mell.'!$G130</f>
        <v>0</v>
      </c>
      <c r="P51" s="167">
        <f>'Óvoda - 10. mell.'!$G130</f>
        <v>0</v>
      </c>
      <c r="Q51" s="168">
        <f t="shared" si="3"/>
        <v>0</v>
      </c>
      <c r="R51" s="165">
        <f>'Önkormányzat - 9. mell.'!$H130</f>
        <v>2886600</v>
      </c>
      <c r="S51" s="166">
        <f>'Óvoda - 10. mell.'!$H130</f>
        <v>0</v>
      </c>
      <c r="T51" s="214">
        <f t="shared" si="4"/>
        <v>2886600</v>
      </c>
      <c r="U51" s="215">
        <f>'Önkormányzat - 9. mell.'!$I130</f>
        <v>0</v>
      </c>
      <c r="V51" s="167">
        <f>'Óvoda - 10. mell.'!$I130</f>
        <v>0</v>
      </c>
      <c r="W51" s="169">
        <f t="shared" si="5"/>
        <v>0</v>
      </c>
      <c r="X51" s="321" t="str">
        <f t="shared" si="17"/>
        <v/>
      </c>
      <c r="Y51" s="133" t="str">
        <f t="shared" si="7"/>
        <v/>
      </c>
      <c r="Z51" s="134" t="str">
        <f t="shared" si="7"/>
        <v/>
      </c>
    </row>
    <row r="52" spans="1:26" ht="16.5" thickBot="1" x14ac:dyDescent="0.3">
      <c r="A52" s="112" t="s">
        <v>297</v>
      </c>
      <c r="B52" s="113" t="s">
        <v>298</v>
      </c>
      <c r="C52" s="195">
        <f>SUM(C50:C51)</f>
        <v>2886600</v>
      </c>
      <c r="D52" s="196">
        <f t="shared" ref="D52:W52" si="21">SUM(D50:D51)</f>
        <v>0</v>
      </c>
      <c r="E52" s="197">
        <f t="shared" si="21"/>
        <v>2886600</v>
      </c>
      <c r="F52" s="198">
        <f t="shared" si="21"/>
        <v>2886600</v>
      </c>
      <c r="G52" s="196">
        <f t="shared" si="21"/>
        <v>0</v>
      </c>
      <c r="H52" s="224">
        <f t="shared" si="21"/>
        <v>2886600</v>
      </c>
      <c r="I52" s="225">
        <f t="shared" si="21"/>
        <v>0</v>
      </c>
      <c r="J52" s="196">
        <f t="shared" si="21"/>
        <v>0</v>
      </c>
      <c r="K52" s="200">
        <f t="shared" si="21"/>
        <v>0</v>
      </c>
      <c r="L52" s="198">
        <f t="shared" si="21"/>
        <v>2886600</v>
      </c>
      <c r="M52" s="196">
        <f t="shared" si="21"/>
        <v>0</v>
      </c>
      <c r="N52" s="224">
        <f t="shared" si="21"/>
        <v>2886600</v>
      </c>
      <c r="O52" s="225">
        <f t="shared" si="21"/>
        <v>0</v>
      </c>
      <c r="P52" s="196">
        <f t="shared" si="21"/>
        <v>0</v>
      </c>
      <c r="Q52" s="200">
        <f t="shared" si="21"/>
        <v>0</v>
      </c>
      <c r="R52" s="198">
        <f t="shared" si="21"/>
        <v>2886600</v>
      </c>
      <c r="S52" s="196">
        <f t="shared" si="21"/>
        <v>0</v>
      </c>
      <c r="T52" s="224">
        <f t="shared" si="21"/>
        <v>2886600</v>
      </c>
      <c r="U52" s="225">
        <f t="shared" si="21"/>
        <v>0</v>
      </c>
      <c r="V52" s="196">
        <f t="shared" si="21"/>
        <v>0</v>
      </c>
      <c r="W52" s="199">
        <f t="shared" si="21"/>
        <v>0</v>
      </c>
      <c r="X52" s="324" t="str">
        <f t="shared" si="17"/>
        <v/>
      </c>
      <c r="Y52" s="144" t="str">
        <f t="shared" si="7"/>
        <v/>
      </c>
      <c r="Z52" s="145" t="str">
        <f t="shared" si="7"/>
        <v/>
      </c>
    </row>
    <row r="53" spans="1:26" s="587" customFormat="1" ht="17.25" thickBot="1" x14ac:dyDescent="0.3">
      <c r="A53" s="1241" t="s">
        <v>593</v>
      </c>
      <c r="B53" s="1242"/>
      <c r="C53" s="580">
        <f t="shared" ref="C53:W53" si="22">SUM(C17,C20,C33,C43,C46,C49,C52)</f>
        <v>264645936</v>
      </c>
      <c r="D53" s="261">
        <f t="shared" si="22"/>
        <v>1443200</v>
      </c>
      <c r="E53" s="581">
        <f t="shared" si="22"/>
        <v>266089136</v>
      </c>
      <c r="F53" s="263">
        <f t="shared" si="22"/>
        <v>265025945</v>
      </c>
      <c r="G53" s="261">
        <f t="shared" si="22"/>
        <v>1443200</v>
      </c>
      <c r="H53" s="264">
        <f t="shared" si="22"/>
        <v>266469145</v>
      </c>
      <c r="I53" s="582">
        <f t="shared" si="22"/>
        <v>139006328</v>
      </c>
      <c r="J53" s="261">
        <f t="shared" si="22"/>
        <v>904048</v>
      </c>
      <c r="K53" s="583">
        <f t="shared" si="22"/>
        <v>139910376</v>
      </c>
      <c r="L53" s="263">
        <f t="shared" si="22"/>
        <v>267758439</v>
      </c>
      <c r="M53" s="261">
        <f t="shared" si="22"/>
        <v>1443200</v>
      </c>
      <c r="N53" s="264">
        <f t="shared" si="22"/>
        <v>269201639</v>
      </c>
      <c r="O53" s="582">
        <f t="shared" si="22"/>
        <v>230389027</v>
      </c>
      <c r="P53" s="261">
        <f t="shared" si="22"/>
        <v>1261677</v>
      </c>
      <c r="Q53" s="583">
        <f t="shared" si="22"/>
        <v>231650704</v>
      </c>
      <c r="R53" s="263">
        <f t="shared" si="22"/>
        <v>293525553</v>
      </c>
      <c r="S53" s="261">
        <f t="shared" si="22"/>
        <v>1443200</v>
      </c>
      <c r="T53" s="264">
        <f t="shared" si="22"/>
        <v>294968753</v>
      </c>
      <c r="U53" s="582">
        <f t="shared" si="22"/>
        <v>316597179</v>
      </c>
      <c r="V53" s="261">
        <f t="shared" si="22"/>
        <v>1750961</v>
      </c>
      <c r="W53" s="265">
        <f t="shared" si="22"/>
        <v>318348140</v>
      </c>
      <c r="X53" s="584">
        <f t="shared" si="17"/>
        <v>1.0786017631657439</v>
      </c>
      <c r="Y53" s="585">
        <f t="shared" si="7"/>
        <v>1.213249029933481</v>
      </c>
      <c r="Z53" s="586">
        <f t="shared" si="7"/>
        <v>1.0792605547612022</v>
      </c>
    </row>
    <row r="54" spans="1:26" x14ac:dyDescent="0.25">
      <c r="A54" s="63" t="s">
        <v>304</v>
      </c>
      <c r="B54" s="64" t="s">
        <v>303</v>
      </c>
      <c r="C54" s="154">
        <f>'Önkormányzat - 9. mell.'!$C133</f>
        <v>5000000</v>
      </c>
      <c r="D54" s="155">
        <f>'Óvoda - 10. mell.'!$C133</f>
        <v>0</v>
      </c>
      <c r="E54" s="156">
        <f t="shared" si="8"/>
        <v>5000000</v>
      </c>
      <c r="F54" s="157">
        <f>'Önkormányzat - 9. mell.'!$D133</f>
        <v>5000000</v>
      </c>
      <c r="G54" s="158">
        <f>'Óvoda - 10. mell.'!$D133</f>
        <v>0</v>
      </c>
      <c r="H54" s="212">
        <f t="shared" si="0"/>
        <v>5000000</v>
      </c>
      <c r="I54" s="213">
        <f>'Önkormányzat - 9. mell.'!$E133</f>
        <v>0</v>
      </c>
      <c r="J54" s="159">
        <f>'Óvoda - 10. mell.'!$E133</f>
        <v>0</v>
      </c>
      <c r="K54" s="160">
        <f t="shared" si="1"/>
        <v>0</v>
      </c>
      <c r="L54" s="157">
        <f>'Önkormányzat - 9. mell.'!$F133</f>
        <v>5000000</v>
      </c>
      <c r="M54" s="158">
        <f>'Óvoda - 10. mell.'!$F133</f>
        <v>0</v>
      </c>
      <c r="N54" s="212">
        <f t="shared" si="2"/>
        <v>5000000</v>
      </c>
      <c r="O54" s="213">
        <f>'Önkormányzat - 9. mell.'!$G133</f>
        <v>0</v>
      </c>
      <c r="P54" s="159">
        <f>'Óvoda - 10. mell.'!$G133</f>
        <v>0</v>
      </c>
      <c r="Q54" s="160">
        <f t="shared" si="3"/>
        <v>0</v>
      </c>
      <c r="R54" s="157">
        <f>'Önkormányzat - 9. mell.'!$H133</f>
        <v>5000000</v>
      </c>
      <c r="S54" s="158">
        <f>'Óvoda - 10. mell.'!$H133</f>
        <v>0</v>
      </c>
      <c r="T54" s="212">
        <f t="shared" si="4"/>
        <v>5000000</v>
      </c>
      <c r="U54" s="213">
        <f>'Önkormányzat - 9. mell.'!$I133</f>
        <v>0</v>
      </c>
      <c r="V54" s="159">
        <f>'Óvoda - 10. mell.'!$I133</f>
        <v>0</v>
      </c>
      <c r="W54" s="161">
        <f t="shared" si="5"/>
        <v>0</v>
      </c>
      <c r="X54" s="325" t="str">
        <f t="shared" si="17"/>
        <v/>
      </c>
      <c r="Y54" s="135" t="str">
        <f t="shared" si="7"/>
        <v/>
      </c>
      <c r="Z54" s="136" t="str">
        <f t="shared" si="7"/>
        <v/>
      </c>
    </row>
    <row r="55" spans="1:26" x14ac:dyDescent="0.25">
      <c r="A55" s="62" t="s">
        <v>305</v>
      </c>
      <c r="B55" s="61" t="s">
        <v>306</v>
      </c>
      <c r="C55" s="162">
        <f>'Önkormányzat - 9. mell.'!$C134</f>
        <v>164147292</v>
      </c>
      <c r="D55" s="163">
        <f>'Óvoda - 10. mell.'!$C134</f>
        <v>0</v>
      </c>
      <c r="E55" s="164">
        <f t="shared" si="8"/>
        <v>164147292</v>
      </c>
      <c r="F55" s="165">
        <f>'Önkormányzat - 9. mell.'!$D134</f>
        <v>189550609</v>
      </c>
      <c r="G55" s="166">
        <f>'Óvoda - 10. mell.'!$D134</f>
        <v>77550</v>
      </c>
      <c r="H55" s="214">
        <f t="shared" si="0"/>
        <v>189628159</v>
      </c>
      <c r="I55" s="215">
        <f>'Önkormányzat - 9. mell.'!$E134</f>
        <v>189550609</v>
      </c>
      <c r="J55" s="167">
        <f>'Óvoda - 10. mell.'!$E134</f>
        <v>77550</v>
      </c>
      <c r="K55" s="168">
        <f t="shared" si="1"/>
        <v>189628159</v>
      </c>
      <c r="L55" s="165">
        <f>'Önkormányzat - 9. mell.'!$F134</f>
        <v>189550609</v>
      </c>
      <c r="M55" s="166">
        <f>'Óvoda - 10. mell.'!$F134</f>
        <v>77550</v>
      </c>
      <c r="N55" s="214">
        <f t="shared" si="2"/>
        <v>189628159</v>
      </c>
      <c r="O55" s="215">
        <f>'Önkormányzat - 9. mell.'!$G134</f>
        <v>189550609</v>
      </c>
      <c r="P55" s="167">
        <f>'Óvoda - 10. mell.'!$G134</f>
        <v>77550</v>
      </c>
      <c r="Q55" s="168">
        <f t="shared" si="3"/>
        <v>189628159</v>
      </c>
      <c r="R55" s="165">
        <f>'Önkormányzat - 9. mell.'!$H134</f>
        <v>189550609</v>
      </c>
      <c r="S55" s="166">
        <f>'Óvoda - 10. mell.'!$H134</f>
        <v>77550</v>
      </c>
      <c r="T55" s="214">
        <f t="shared" si="4"/>
        <v>189628159</v>
      </c>
      <c r="U55" s="215">
        <f>'Önkormányzat - 9. mell.'!$I134</f>
        <v>189550609</v>
      </c>
      <c r="V55" s="167">
        <f>'Óvoda - 10. mell.'!$I134</f>
        <v>77550</v>
      </c>
      <c r="W55" s="169">
        <f t="shared" si="5"/>
        <v>189628159</v>
      </c>
      <c r="X55" s="321">
        <f t="shared" si="17"/>
        <v>1</v>
      </c>
      <c r="Y55" s="133">
        <f t="shared" si="7"/>
        <v>1</v>
      </c>
      <c r="Z55" s="134">
        <f t="shared" si="7"/>
        <v>1</v>
      </c>
    </row>
    <row r="56" spans="1:26" x14ac:dyDescent="0.25">
      <c r="A56" s="62" t="s">
        <v>307</v>
      </c>
      <c r="B56" s="61" t="s">
        <v>61</v>
      </c>
      <c r="C56" s="162">
        <f>'Önkormányzat - 9. mell.'!$C135</f>
        <v>0</v>
      </c>
      <c r="D56" s="163">
        <f>'Óvoda - 10. mell.'!$C135</f>
        <v>69183233</v>
      </c>
      <c r="E56" s="164">
        <f t="shared" si="8"/>
        <v>69183233</v>
      </c>
      <c r="F56" s="165">
        <f>'Önkormányzat - 9. mell.'!$D135</f>
        <v>0</v>
      </c>
      <c r="G56" s="166">
        <f>'Óvoda - 10. mell.'!$D135</f>
        <v>69201874</v>
      </c>
      <c r="H56" s="214">
        <f t="shared" si="0"/>
        <v>69201874</v>
      </c>
      <c r="I56" s="215">
        <f>'Önkormányzat - 9. mell.'!$E135</f>
        <v>0</v>
      </c>
      <c r="J56" s="167">
        <f>'Óvoda - 10. mell.'!$E135</f>
        <v>30592654</v>
      </c>
      <c r="K56" s="168">
        <f t="shared" si="1"/>
        <v>30592654</v>
      </c>
      <c r="L56" s="165">
        <f>'Önkormányzat - 9. mell.'!$F135</f>
        <v>0</v>
      </c>
      <c r="M56" s="166">
        <f>'Óvoda - 10. mell.'!$F135</f>
        <v>69212153</v>
      </c>
      <c r="N56" s="214">
        <f t="shared" si="2"/>
        <v>69212153</v>
      </c>
      <c r="O56" s="215">
        <f>'Önkormányzat - 9. mell.'!$G135</f>
        <v>0</v>
      </c>
      <c r="P56" s="167">
        <f>'Óvoda - 10. mell.'!$G135</f>
        <v>43604709</v>
      </c>
      <c r="Q56" s="168">
        <f t="shared" si="3"/>
        <v>43604709</v>
      </c>
      <c r="R56" s="165">
        <f>'Önkormányzat - 9. mell.'!$H135</f>
        <v>0</v>
      </c>
      <c r="S56" s="166">
        <f>'Óvoda - 10. mell.'!$H135</f>
        <v>69222376</v>
      </c>
      <c r="T56" s="214">
        <f t="shared" si="4"/>
        <v>69222376</v>
      </c>
      <c r="U56" s="215">
        <f>'Önkormányzat - 9. mell.'!$I135</f>
        <v>0</v>
      </c>
      <c r="V56" s="167">
        <f>'Óvoda - 10. mell.'!$I135</f>
        <v>63235426</v>
      </c>
      <c r="W56" s="169">
        <f t="shared" si="5"/>
        <v>63235426</v>
      </c>
      <c r="X56" s="321" t="str">
        <f t="shared" si="17"/>
        <v/>
      </c>
      <c r="Y56" s="133">
        <f t="shared" si="7"/>
        <v>0.91351134783353871</v>
      </c>
      <c r="Z56" s="134">
        <f t="shared" si="7"/>
        <v>0.91351134783353871</v>
      </c>
    </row>
    <row r="57" spans="1:26" hidden="1" x14ac:dyDescent="0.25">
      <c r="A57" s="110" t="s">
        <v>308</v>
      </c>
      <c r="B57" s="111" t="s">
        <v>309</v>
      </c>
      <c r="C57" s="201">
        <f>'Önkormányzat - 9. mell.'!$C136</f>
        <v>0</v>
      </c>
      <c r="D57" s="202">
        <f>'Óvoda - 10. mell.'!$C136</f>
        <v>0</v>
      </c>
      <c r="E57" s="203">
        <f t="shared" si="8"/>
        <v>0</v>
      </c>
      <c r="F57" s="204">
        <f>'Önkormányzat - 9. mell.'!$D136</f>
        <v>0</v>
      </c>
      <c r="G57" s="205">
        <f>'Óvoda - 10. mell.'!$D136</f>
        <v>0</v>
      </c>
      <c r="H57" s="226">
        <f t="shared" si="0"/>
        <v>0</v>
      </c>
      <c r="I57" s="227">
        <f>'Önkormányzat - 9. mell.'!$E136</f>
        <v>0</v>
      </c>
      <c r="J57" s="206">
        <f>'Óvoda - 10. mell.'!$E136</f>
        <v>0</v>
      </c>
      <c r="K57" s="207">
        <f t="shared" si="1"/>
        <v>0</v>
      </c>
      <c r="L57" s="204">
        <f>'Önkormányzat - 9. mell.'!$F136</f>
        <v>0</v>
      </c>
      <c r="M57" s="205">
        <f>'Óvoda - 10. mell.'!$F136</f>
        <v>0</v>
      </c>
      <c r="N57" s="226">
        <f t="shared" si="2"/>
        <v>0</v>
      </c>
      <c r="O57" s="227">
        <f>'Önkormányzat - 9. mell.'!$G136</f>
        <v>0</v>
      </c>
      <c r="P57" s="206">
        <f>'Óvoda - 10. mell.'!$G136</f>
        <v>0</v>
      </c>
      <c r="Q57" s="207">
        <f t="shared" si="3"/>
        <v>0</v>
      </c>
      <c r="R57" s="204">
        <f>'Önkormányzat - 9. mell.'!$H136</f>
        <v>0</v>
      </c>
      <c r="S57" s="205">
        <f>'Óvoda - 10. mell.'!$H136</f>
        <v>0</v>
      </c>
      <c r="T57" s="226">
        <f t="shared" si="4"/>
        <v>0</v>
      </c>
      <c r="U57" s="227">
        <f>'Önkormányzat - 9. mell.'!$I136</f>
        <v>0</v>
      </c>
      <c r="V57" s="206">
        <f>'Óvoda - 10. mell.'!$I136</f>
        <v>0</v>
      </c>
      <c r="W57" s="208">
        <f t="shared" si="5"/>
        <v>0</v>
      </c>
      <c r="X57" s="326" t="str">
        <f t="shared" si="17"/>
        <v/>
      </c>
      <c r="Y57" s="137" t="str">
        <f t="shared" si="7"/>
        <v/>
      </c>
      <c r="Z57" s="138" t="str">
        <f t="shared" si="7"/>
        <v/>
      </c>
    </row>
    <row r="58" spans="1:26" ht="16.5" thickBot="1" x14ac:dyDescent="0.3">
      <c r="A58" s="112" t="s">
        <v>344</v>
      </c>
      <c r="B58" s="113" t="s">
        <v>594</v>
      </c>
      <c r="C58" s="195">
        <f>SUM(C54:C57)</f>
        <v>169147292</v>
      </c>
      <c r="D58" s="196">
        <f t="shared" ref="D58:W58" si="23">SUM(D54:D57)</f>
        <v>69183233</v>
      </c>
      <c r="E58" s="197">
        <f t="shared" si="23"/>
        <v>238330525</v>
      </c>
      <c r="F58" s="198">
        <f t="shared" si="23"/>
        <v>194550609</v>
      </c>
      <c r="G58" s="196">
        <f t="shared" si="23"/>
        <v>69279424</v>
      </c>
      <c r="H58" s="224">
        <f t="shared" si="23"/>
        <v>263830033</v>
      </c>
      <c r="I58" s="225">
        <f t="shared" si="23"/>
        <v>189550609</v>
      </c>
      <c r="J58" s="196">
        <f t="shared" si="23"/>
        <v>30670204</v>
      </c>
      <c r="K58" s="200">
        <f t="shared" si="23"/>
        <v>220220813</v>
      </c>
      <c r="L58" s="198">
        <f t="shared" si="23"/>
        <v>194550609</v>
      </c>
      <c r="M58" s="196">
        <f t="shared" si="23"/>
        <v>69289703</v>
      </c>
      <c r="N58" s="224">
        <f t="shared" si="23"/>
        <v>263840312</v>
      </c>
      <c r="O58" s="225">
        <f t="shared" si="23"/>
        <v>189550609</v>
      </c>
      <c r="P58" s="196">
        <f t="shared" si="23"/>
        <v>43682259</v>
      </c>
      <c r="Q58" s="200">
        <f t="shared" si="23"/>
        <v>233232868</v>
      </c>
      <c r="R58" s="198">
        <f t="shared" si="23"/>
        <v>194550609</v>
      </c>
      <c r="S58" s="196">
        <f t="shared" si="23"/>
        <v>69299926</v>
      </c>
      <c r="T58" s="224">
        <f t="shared" si="23"/>
        <v>263850535</v>
      </c>
      <c r="U58" s="225">
        <f t="shared" si="23"/>
        <v>189550609</v>
      </c>
      <c r="V58" s="196">
        <f t="shared" si="23"/>
        <v>63312976</v>
      </c>
      <c r="W58" s="199">
        <f t="shared" si="23"/>
        <v>252863585</v>
      </c>
      <c r="X58" s="324">
        <f t="shared" si="17"/>
        <v>0.97429974634517846</v>
      </c>
      <c r="Y58" s="144">
        <f t="shared" si="7"/>
        <v>0.91360813285716924</v>
      </c>
      <c r="Z58" s="145">
        <f t="shared" si="7"/>
        <v>0.95835918998610325</v>
      </c>
    </row>
    <row r="59" spans="1:26" s="587" customFormat="1" ht="17.25" thickBot="1" x14ac:dyDescent="0.3">
      <c r="A59" s="1241" t="s">
        <v>629</v>
      </c>
      <c r="B59" s="1242"/>
      <c r="C59" s="580">
        <f>SUM(C58,C53)</f>
        <v>433793228</v>
      </c>
      <c r="D59" s="261">
        <f t="shared" ref="D59:W59" si="24">SUM(D58,D53)</f>
        <v>70626433</v>
      </c>
      <c r="E59" s="581">
        <f t="shared" si="24"/>
        <v>504419661</v>
      </c>
      <c r="F59" s="263">
        <f t="shared" si="24"/>
        <v>459576554</v>
      </c>
      <c r="G59" s="261">
        <f t="shared" si="24"/>
        <v>70722624</v>
      </c>
      <c r="H59" s="264">
        <f t="shared" si="24"/>
        <v>530299178</v>
      </c>
      <c r="I59" s="582">
        <f t="shared" si="24"/>
        <v>328556937</v>
      </c>
      <c r="J59" s="261">
        <f t="shared" si="24"/>
        <v>31574252</v>
      </c>
      <c r="K59" s="583">
        <f t="shared" si="24"/>
        <v>360131189</v>
      </c>
      <c r="L59" s="263">
        <f t="shared" si="24"/>
        <v>462309048</v>
      </c>
      <c r="M59" s="261">
        <f t="shared" si="24"/>
        <v>70732903</v>
      </c>
      <c r="N59" s="264">
        <f t="shared" si="24"/>
        <v>533041951</v>
      </c>
      <c r="O59" s="582">
        <f t="shared" si="24"/>
        <v>419939636</v>
      </c>
      <c r="P59" s="261">
        <f t="shared" si="24"/>
        <v>44943936</v>
      </c>
      <c r="Q59" s="583">
        <f t="shared" si="24"/>
        <v>464883572</v>
      </c>
      <c r="R59" s="263">
        <f t="shared" si="24"/>
        <v>488076162</v>
      </c>
      <c r="S59" s="261">
        <f t="shared" si="24"/>
        <v>70743126</v>
      </c>
      <c r="T59" s="264">
        <f t="shared" si="24"/>
        <v>558819288</v>
      </c>
      <c r="U59" s="582">
        <f t="shared" si="24"/>
        <v>506147788</v>
      </c>
      <c r="V59" s="261">
        <f t="shared" si="24"/>
        <v>65063937</v>
      </c>
      <c r="W59" s="265">
        <f t="shared" si="24"/>
        <v>571211725</v>
      </c>
      <c r="X59" s="584">
        <f t="shared" si="17"/>
        <v>1.0370262418183824</v>
      </c>
      <c r="Y59" s="585">
        <f t="shared" si="7"/>
        <v>0.91972097755476623</v>
      </c>
      <c r="Z59" s="586">
        <f t="shared" si="7"/>
        <v>1.0221761082090639</v>
      </c>
    </row>
  </sheetData>
  <sheetProtection algorithmName="SHA-512" hashValue="c0wrQpDZtdQIqEZutRbOUThhQ+NAC44dfehtCtao2O5n/0lc99AtoUp6707Ahzp1mmjlYXlPgAvaCMkh0jzAdw==" saltValue="MkhtiPyGO+OGkYEkcYGX4w==" spinCount="100000" sheet="1" formatCells="0" formatColumns="0" formatRows="0" insertColumns="0" insertRows="0" insertHyperlinks="0" deleteColumns="0" deleteRows="0" sort="0" autoFilter="0" pivotTables="0"/>
  <mergeCells count="17">
    <mergeCell ref="A59:B59"/>
    <mergeCell ref="A53:B53"/>
    <mergeCell ref="L2:N2"/>
    <mergeCell ref="O2:Q2"/>
    <mergeCell ref="F1:K1"/>
    <mergeCell ref="L1:Q1"/>
    <mergeCell ref="A1:A3"/>
    <mergeCell ref="I2:K2"/>
    <mergeCell ref="F2:H2"/>
    <mergeCell ref="C2:E2"/>
    <mergeCell ref="C1:E1"/>
    <mergeCell ref="U2:W2"/>
    <mergeCell ref="B1:B3"/>
    <mergeCell ref="R1:W1"/>
    <mergeCell ref="X2:Z2"/>
    <mergeCell ref="X1:Z1"/>
    <mergeCell ref="R2:T2"/>
  </mergeCells>
  <phoneticPr fontId="2" type="noConversion"/>
  <printOptions horizontalCentered="1"/>
  <pageMargins left="0.59055118110236227" right="0.59055118110236227" top="1.0629921259842521" bottom="0.39370078740157483" header="0.47244094488188981" footer="0.31496062992125984"/>
  <pageSetup paperSize="8" scale="49" orientation="landscape" r:id="rId1"/>
  <headerFooter>
    <oddHeader>&amp;L&amp;12Levél Községi Önkormányzat&amp;C&amp;"Arial CE,Félkövér"&amp;14ZÁRSZÁMADÁSI RENDELET - 2019. év
Bevételek összesen&amp;R&amp;12 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tabColor rgb="FF00B0F0"/>
    <pageSetUpPr fitToPage="1"/>
  </sheetPr>
  <dimension ref="A1:AD27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W11" sqref="W11"/>
    </sheetView>
  </sheetViews>
  <sheetFormatPr defaultColWidth="8.85546875" defaultRowHeight="12.75" x14ac:dyDescent="0.2"/>
  <cols>
    <col min="1" max="1" width="5.28515625" style="122" bestFit="1" customWidth="1"/>
    <col min="2" max="2" width="40" style="122" bestFit="1" customWidth="1"/>
    <col min="3" max="3" width="14.140625" style="128" bestFit="1" customWidth="1"/>
    <col min="4" max="4" width="12.7109375" style="128" bestFit="1" customWidth="1"/>
    <col min="5" max="5" width="14.140625" style="128" bestFit="1" customWidth="1"/>
    <col min="6" max="6" width="14.140625" style="122" bestFit="1" customWidth="1"/>
    <col min="7" max="7" width="12.7109375" style="122" bestFit="1" customWidth="1"/>
    <col min="8" max="9" width="14.140625" style="122" bestFit="1" customWidth="1"/>
    <col min="10" max="10" width="12.7109375" style="122" bestFit="1" customWidth="1"/>
    <col min="11" max="12" width="14.140625" style="122" bestFit="1" customWidth="1"/>
    <col min="13" max="13" width="12.7109375" style="122" bestFit="1" customWidth="1"/>
    <col min="14" max="15" width="14.140625" style="122" bestFit="1" customWidth="1"/>
    <col min="16" max="16" width="12.7109375" style="122" bestFit="1" customWidth="1"/>
    <col min="17" max="18" width="14.140625" style="122" bestFit="1" customWidth="1"/>
    <col min="19" max="19" width="12.7109375" style="122" bestFit="1" customWidth="1"/>
    <col min="20" max="21" width="14.140625" style="122" bestFit="1" customWidth="1"/>
    <col min="22" max="22" width="12.7109375" style="122" bestFit="1" customWidth="1"/>
    <col min="23" max="23" width="14.140625" style="122" bestFit="1" customWidth="1"/>
    <col min="24" max="24" width="9.28515625" style="127" bestFit="1" customWidth="1"/>
    <col min="25" max="26" width="9.28515625" style="122" bestFit="1" customWidth="1"/>
    <col min="27" max="29" width="8.85546875" style="122"/>
    <col min="30" max="30" width="14.7109375" style="122" bestFit="1" customWidth="1"/>
    <col min="31" max="16384" width="8.85546875" style="122"/>
  </cols>
  <sheetData>
    <row r="1" spans="1:26" s="128" customFormat="1" ht="14.45" customHeight="1" x14ac:dyDescent="0.2">
      <c r="A1" s="1281" t="s">
        <v>222</v>
      </c>
      <c r="B1" s="1278" t="s">
        <v>4</v>
      </c>
      <c r="C1" s="1275">
        <v>2019</v>
      </c>
      <c r="D1" s="1276"/>
      <c r="E1" s="1277"/>
      <c r="F1" s="1266">
        <v>2019</v>
      </c>
      <c r="G1" s="1267"/>
      <c r="H1" s="1267"/>
      <c r="I1" s="1267"/>
      <c r="J1" s="1267"/>
      <c r="K1" s="1271"/>
      <c r="L1" s="1266" t="s">
        <v>642</v>
      </c>
      <c r="M1" s="1267"/>
      <c r="N1" s="1267"/>
      <c r="O1" s="1267"/>
      <c r="P1" s="1267"/>
      <c r="Q1" s="1271"/>
      <c r="R1" s="1266" t="s">
        <v>645</v>
      </c>
      <c r="S1" s="1267"/>
      <c r="T1" s="1267"/>
      <c r="U1" s="1267"/>
      <c r="V1" s="1267"/>
      <c r="W1" s="1267"/>
      <c r="X1" s="1256" t="s">
        <v>644</v>
      </c>
      <c r="Y1" s="1257"/>
      <c r="Z1" s="1258"/>
    </row>
    <row r="2" spans="1:26" s="128" customFormat="1" ht="13.9" customHeight="1" x14ac:dyDescent="0.2">
      <c r="A2" s="1282"/>
      <c r="B2" s="1279"/>
      <c r="C2" s="1272" t="s">
        <v>57</v>
      </c>
      <c r="D2" s="1273"/>
      <c r="E2" s="1274"/>
      <c r="F2" s="1262" t="s">
        <v>648</v>
      </c>
      <c r="G2" s="1263"/>
      <c r="H2" s="1263"/>
      <c r="I2" s="1264" t="s">
        <v>496</v>
      </c>
      <c r="J2" s="1264"/>
      <c r="K2" s="1268"/>
      <c r="L2" s="1262" t="s">
        <v>649</v>
      </c>
      <c r="M2" s="1263"/>
      <c r="N2" s="1263"/>
      <c r="O2" s="1264" t="s">
        <v>496</v>
      </c>
      <c r="P2" s="1264"/>
      <c r="Q2" s="1268"/>
      <c r="R2" s="1262" t="s">
        <v>650</v>
      </c>
      <c r="S2" s="1263"/>
      <c r="T2" s="1263"/>
      <c r="U2" s="1264" t="s">
        <v>496</v>
      </c>
      <c r="V2" s="1264"/>
      <c r="W2" s="1265"/>
      <c r="X2" s="1259"/>
      <c r="Y2" s="1260"/>
      <c r="Z2" s="1261"/>
    </row>
    <row r="3" spans="1:26" s="146" customFormat="1" ht="22.5" customHeight="1" thickBot="1" x14ac:dyDescent="0.25">
      <c r="A3" s="1283"/>
      <c r="B3" s="1280"/>
      <c r="C3" s="228" t="s">
        <v>234</v>
      </c>
      <c r="D3" s="229" t="s">
        <v>41</v>
      </c>
      <c r="E3" s="230" t="s">
        <v>618</v>
      </c>
      <c r="F3" s="231" t="s">
        <v>234</v>
      </c>
      <c r="G3" s="234" t="s">
        <v>41</v>
      </c>
      <c r="H3" s="235" t="s">
        <v>618</v>
      </c>
      <c r="I3" s="240" t="s">
        <v>234</v>
      </c>
      <c r="J3" s="241" t="s">
        <v>41</v>
      </c>
      <c r="K3" s="244" t="s">
        <v>618</v>
      </c>
      <c r="L3" s="231" t="s">
        <v>234</v>
      </c>
      <c r="M3" s="234" t="s">
        <v>41</v>
      </c>
      <c r="N3" s="235" t="s">
        <v>618</v>
      </c>
      <c r="O3" s="240" t="s">
        <v>234</v>
      </c>
      <c r="P3" s="241" t="s">
        <v>41</v>
      </c>
      <c r="Q3" s="244" t="s">
        <v>618</v>
      </c>
      <c r="R3" s="231" t="s">
        <v>234</v>
      </c>
      <c r="S3" s="234" t="s">
        <v>41</v>
      </c>
      <c r="T3" s="235" t="s">
        <v>618</v>
      </c>
      <c r="U3" s="240" t="s">
        <v>234</v>
      </c>
      <c r="V3" s="241" t="s">
        <v>41</v>
      </c>
      <c r="W3" s="309" t="s">
        <v>618</v>
      </c>
      <c r="X3" s="577" t="s">
        <v>234</v>
      </c>
      <c r="Y3" s="578" t="s">
        <v>41</v>
      </c>
      <c r="Z3" s="579" t="s">
        <v>618</v>
      </c>
    </row>
    <row r="4" spans="1:26" x14ac:dyDescent="0.2">
      <c r="A4" s="249" t="s">
        <v>131</v>
      </c>
      <c r="B4" s="123" t="s">
        <v>0</v>
      </c>
      <c r="C4" s="295">
        <f>'Önkormányzat - 9. mell.'!$C22</f>
        <v>40775651</v>
      </c>
      <c r="D4" s="296">
        <f>'Óvoda - 10. mell.'!$C22</f>
        <v>46207993</v>
      </c>
      <c r="E4" s="297">
        <f>SUM(C4:D4)</f>
        <v>86983644</v>
      </c>
      <c r="F4" s="245">
        <f>'Önkormányzat - 9. mell.'!$D22</f>
        <v>41007651</v>
      </c>
      <c r="G4" s="236">
        <f>'Óvoda - 10. mell.'!$D22</f>
        <v>46223593</v>
      </c>
      <c r="H4" s="237">
        <f>SUM(F4:G4)</f>
        <v>87231244</v>
      </c>
      <c r="I4" s="232">
        <f>'Önkormányzat - 9. mell.'!$E22</f>
        <v>20089774</v>
      </c>
      <c r="J4" s="242">
        <f>'Óvoda - 10. mell.'!$E22</f>
        <v>19776119</v>
      </c>
      <c r="K4" s="246">
        <f>SUM(I4:J4)</f>
        <v>39865893</v>
      </c>
      <c r="L4" s="245">
        <f>'Önkormányzat - 9. mell.'!$F22</f>
        <v>43228576</v>
      </c>
      <c r="M4" s="236">
        <f>'Óvoda - 10. mell.'!$F22</f>
        <v>46232293</v>
      </c>
      <c r="N4" s="237">
        <f>SUM(L4:M4)</f>
        <v>89460869</v>
      </c>
      <c r="O4" s="232">
        <f>'Önkormányzat - 9. mell.'!$G22</f>
        <v>32129698</v>
      </c>
      <c r="P4" s="242">
        <f>'Óvoda - 10. mell.'!$G22</f>
        <v>30541049</v>
      </c>
      <c r="Q4" s="246">
        <f>SUM(O4:P4)</f>
        <v>62670747</v>
      </c>
      <c r="R4" s="245">
        <f>'Önkormányzat - 9. mell.'!$H22</f>
        <v>50308206</v>
      </c>
      <c r="S4" s="236">
        <f>'Óvoda - 10. mell.'!$H22</f>
        <v>46605688</v>
      </c>
      <c r="T4" s="237">
        <f>SUM(R4:S4)</f>
        <v>96913894</v>
      </c>
      <c r="U4" s="232">
        <f>'Önkormányzat - 9. mell.'!$I22</f>
        <v>47273574</v>
      </c>
      <c r="V4" s="242">
        <f>'Óvoda - 10. mell.'!$I22</f>
        <v>44187975</v>
      </c>
      <c r="W4" s="310">
        <f>SUM(U4:V4)</f>
        <v>91461549</v>
      </c>
      <c r="X4" s="568">
        <f>IF(OR(U4="",U4=0),"",U4/R4)</f>
        <v>0.93967918474373746</v>
      </c>
      <c r="Y4" s="569">
        <f t="shared" ref="Y4:Y24" si="0">IF(OR(V4="",V4=0),"",V4/S4)</f>
        <v>0.94812407876051519</v>
      </c>
      <c r="Z4" s="570">
        <f t="shared" ref="Z4:Z24" si="1">IF(OR(W4="",W4=0),"",W4/T4)</f>
        <v>0.9437403165329421</v>
      </c>
    </row>
    <row r="5" spans="1:26" x14ac:dyDescent="0.2">
      <c r="A5" s="250" t="s">
        <v>136</v>
      </c>
      <c r="B5" s="124" t="s">
        <v>43</v>
      </c>
      <c r="C5" s="298">
        <f>'Önkormányzat - 9. mell.'!$C28</f>
        <v>8212948</v>
      </c>
      <c r="D5" s="299">
        <f>'Óvoda - 10. mell.'!$C28</f>
        <v>9170660</v>
      </c>
      <c r="E5" s="300">
        <f t="shared" ref="E5:E23" si="2">SUM(C5:D5)</f>
        <v>17383608</v>
      </c>
      <c r="F5" s="247">
        <f>'Önkormányzat - 9. mell.'!$D28</f>
        <v>8258188</v>
      </c>
      <c r="G5" s="238">
        <f>'Óvoda - 10. mell.'!$D28</f>
        <v>9173701</v>
      </c>
      <c r="H5" s="239">
        <f t="shared" ref="H5:H23" si="3">SUM(F5:G5)</f>
        <v>17431889</v>
      </c>
      <c r="I5" s="233">
        <f>'Önkormányzat - 9. mell.'!$E28</f>
        <v>4044517</v>
      </c>
      <c r="J5" s="243">
        <f>'Óvoda - 10. mell.'!$E28</f>
        <v>4099033</v>
      </c>
      <c r="K5" s="248">
        <f t="shared" ref="K5:K23" si="4">SUM(I5:J5)</f>
        <v>8143550</v>
      </c>
      <c r="L5" s="247">
        <f>'Önkormányzat - 9. mell.'!$F28</f>
        <v>7423603</v>
      </c>
      <c r="M5" s="238">
        <f>'Óvoda - 10. mell.'!$F28</f>
        <v>9175280</v>
      </c>
      <c r="N5" s="239">
        <f t="shared" ref="N5:N23" si="5">SUM(L5:M5)</f>
        <v>16598883</v>
      </c>
      <c r="O5" s="233">
        <f>'Önkormányzat - 9. mell.'!$G28</f>
        <v>6155051</v>
      </c>
      <c r="P5" s="243">
        <f>'Óvoda - 10. mell.'!$G28</f>
        <v>6067185</v>
      </c>
      <c r="Q5" s="248">
        <f t="shared" ref="Q5:Q23" si="6">SUM(O5:P5)</f>
        <v>12222236</v>
      </c>
      <c r="R5" s="247">
        <f>'Önkormányzat - 9. mell.'!$H28</f>
        <v>8904513</v>
      </c>
      <c r="S5" s="238">
        <f>'Óvoda - 10. mell.'!$H28</f>
        <v>8812108</v>
      </c>
      <c r="T5" s="239">
        <f t="shared" ref="T5:T23" si="7">SUM(R5:S5)</f>
        <v>17716621</v>
      </c>
      <c r="U5" s="233">
        <f>'Önkormányzat - 9. mell.'!$I28</f>
        <v>8648400</v>
      </c>
      <c r="V5" s="243">
        <f>'Óvoda - 10. mell.'!$I28</f>
        <v>8338268</v>
      </c>
      <c r="W5" s="311">
        <f t="shared" ref="W5:W23" si="8">SUM(U5:V5)</f>
        <v>16986668</v>
      </c>
      <c r="X5" s="571">
        <f t="shared" ref="X5:X24" si="9">IF(OR(U5="",U5=0),"",U5/R5)</f>
        <v>0.97123784310270533</v>
      </c>
      <c r="Y5" s="572">
        <f t="shared" si="0"/>
        <v>0.94622853010880026</v>
      </c>
      <c r="Z5" s="573">
        <f t="shared" si="1"/>
        <v>0.95879840743898059</v>
      </c>
    </row>
    <row r="6" spans="1:26" x14ac:dyDescent="0.2">
      <c r="A6" s="250" t="s">
        <v>186</v>
      </c>
      <c r="B6" s="124" t="s">
        <v>1</v>
      </c>
      <c r="C6" s="298">
        <f>'Önkormányzat - 9. mell.'!$C62</f>
        <v>64787696</v>
      </c>
      <c r="D6" s="299">
        <f>'Óvoda - 10. mell.'!$C62</f>
        <v>14957781</v>
      </c>
      <c r="E6" s="300">
        <f t="shared" si="2"/>
        <v>79745477</v>
      </c>
      <c r="F6" s="247">
        <f>'Önkormányzat - 9. mell.'!$D62</f>
        <v>73117296</v>
      </c>
      <c r="G6" s="238">
        <f>'Óvoda - 10. mell.'!$D62</f>
        <v>15035331</v>
      </c>
      <c r="H6" s="239">
        <f t="shared" si="3"/>
        <v>88152627</v>
      </c>
      <c r="I6" s="233">
        <f>'Önkormányzat - 9. mell.'!$E62</f>
        <v>34931524</v>
      </c>
      <c r="J6" s="243">
        <f>'Óvoda - 10. mell.'!$E62</f>
        <v>6192673</v>
      </c>
      <c r="K6" s="248">
        <f t="shared" si="4"/>
        <v>41124197</v>
      </c>
      <c r="L6" s="247">
        <f>'Önkormányzat - 9. mell.'!$F62</f>
        <v>78220574</v>
      </c>
      <c r="M6" s="238">
        <f>'Óvoda - 10. mell.'!$F62</f>
        <v>15035331</v>
      </c>
      <c r="N6" s="239">
        <f t="shared" si="5"/>
        <v>93255905</v>
      </c>
      <c r="O6" s="233">
        <f>'Önkormányzat - 9. mell.'!$G62</f>
        <v>55493932</v>
      </c>
      <c r="P6" s="243">
        <f>'Óvoda - 10. mell.'!$G62</f>
        <v>7931454</v>
      </c>
      <c r="Q6" s="248">
        <f t="shared" si="6"/>
        <v>63425386</v>
      </c>
      <c r="R6" s="247">
        <f>'Önkormányzat - 9. mell.'!$H62</f>
        <v>82097769</v>
      </c>
      <c r="S6" s="238">
        <f>'Óvoda - 10. mell.'!$H62</f>
        <v>15035331</v>
      </c>
      <c r="T6" s="239">
        <f t="shared" si="7"/>
        <v>97133100</v>
      </c>
      <c r="U6" s="233">
        <f>'Önkormányzat - 9. mell.'!$I62</f>
        <v>75857403</v>
      </c>
      <c r="V6" s="243">
        <f>'Óvoda - 10. mell.'!$I62</f>
        <v>11765073</v>
      </c>
      <c r="W6" s="311">
        <f t="shared" si="8"/>
        <v>87622476</v>
      </c>
      <c r="X6" s="571">
        <f t="shared" si="9"/>
        <v>0.92398860436755592</v>
      </c>
      <c r="Y6" s="572">
        <f t="shared" si="0"/>
        <v>0.78249511101551406</v>
      </c>
      <c r="Z6" s="573">
        <f t="shared" si="1"/>
        <v>0.90208668311831908</v>
      </c>
    </row>
    <row r="7" spans="1:26" x14ac:dyDescent="0.2">
      <c r="A7" s="250" t="s">
        <v>203</v>
      </c>
      <c r="B7" s="124" t="s">
        <v>310</v>
      </c>
      <c r="C7" s="298">
        <f>'Önkormányzat - 9. mell.'!$C63</f>
        <v>7000800</v>
      </c>
      <c r="D7" s="299">
        <f>'Óvoda - 10. mell.'!$C63</f>
        <v>0</v>
      </c>
      <c r="E7" s="300">
        <f t="shared" si="2"/>
        <v>7000800</v>
      </c>
      <c r="F7" s="247">
        <f>'Önkormányzat - 9. mell.'!$D63</f>
        <v>4696800</v>
      </c>
      <c r="G7" s="238">
        <f>'Óvoda - 10. mell.'!$D63</f>
        <v>0</v>
      </c>
      <c r="H7" s="239">
        <f t="shared" si="3"/>
        <v>4696800</v>
      </c>
      <c r="I7" s="233">
        <f>'Önkormányzat - 9. mell.'!$E63</f>
        <v>2106550</v>
      </c>
      <c r="J7" s="243">
        <f>'Óvoda - 10. mell.'!$E63</f>
        <v>0</v>
      </c>
      <c r="K7" s="248">
        <f t="shared" si="4"/>
        <v>2106550</v>
      </c>
      <c r="L7" s="247">
        <f>'Önkormányzat - 9. mell.'!$F63</f>
        <v>4696800</v>
      </c>
      <c r="M7" s="238">
        <f>'Óvoda - 10. mell.'!$F63</f>
        <v>0</v>
      </c>
      <c r="N7" s="239">
        <f t="shared" si="5"/>
        <v>4696800</v>
      </c>
      <c r="O7" s="233">
        <f>'Önkormányzat - 9. mell.'!$G63</f>
        <v>3237476</v>
      </c>
      <c r="P7" s="243">
        <f>'Óvoda - 10. mell.'!$G63</f>
        <v>0</v>
      </c>
      <c r="Q7" s="248">
        <f t="shared" si="6"/>
        <v>3237476</v>
      </c>
      <c r="R7" s="247">
        <f>'Önkormányzat - 9. mell.'!$H63</f>
        <v>5134276</v>
      </c>
      <c r="S7" s="238">
        <f>'Óvoda - 10. mell.'!$H63</f>
        <v>0</v>
      </c>
      <c r="T7" s="239">
        <f t="shared" si="7"/>
        <v>5134276</v>
      </c>
      <c r="U7" s="233">
        <f>'Önkormányzat - 9. mell.'!$I63</f>
        <v>5134276</v>
      </c>
      <c r="V7" s="243">
        <f>'Óvoda - 10. mell.'!$I63</f>
        <v>0</v>
      </c>
      <c r="W7" s="311">
        <f t="shared" si="8"/>
        <v>5134276</v>
      </c>
      <c r="X7" s="571">
        <f t="shared" si="9"/>
        <v>1</v>
      </c>
      <c r="Y7" s="572" t="str">
        <f t="shared" si="0"/>
        <v/>
      </c>
      <c r="Z7" s="573">
        <f t="shared" si="1"/>
        <v>1</v>
      </c>
    </row>
    <row r="8" spans="1:26" x14ac:dyDescent="0.2">
      <c r="A8" s="250" t="s">
        <v>204</v>
      </c>
      <c r="B8" s="124" t="s">
        <v>205</v>
      </c>
      <c r="C8" s="298">
        <f>'Önkormányzat - 9. mell.'!$C64</f>
        <v>18163453</v>
      </c>
      <c r="D8" s="299">
        <f>'Óvoda - 10. mell.'!$C64</f>
        <v>0</v>
      </c>
      <c r="E8" s="300">
        <f t="shared" si="2"/>
        <v>18163453</v>
      </c>
      <c r="F8" s="247">
        <f>'Önkormányzat - 9. mell.'!$D64</f>
        <v>18163453</v>
      </c>
      <c r="G8" s="238">
        <f>'Óvoda - 10. mell.'!$D64</f>
        <v>0</v>
      </c>
      <c r="H8" s="239">
        <f t="shared" si="3"/>
        <v>18163453</v>
      </c>
      <c r="I8" s="233">
        <f>'Önkormányzat - 9. mell.'!$E64</f>
        <v>10014389</v>
      </c>
      <c r="J8" s="243">
        <f>'Óvoda - 10. mell.'!$E64</f>
        <v>0</v>
      </c>
      <c r="K8" s="248">
        <f t="shared" si="4"/>
        <v>10014389</v>
      </c>
      <c r="L8" s="247">
        <f>'Önkormányzat - 9. mell.'!$F64</f>
        <v>18163453</v>
      </c>
      <c r="M8" s="238">
        <f>'Óvoda - 10. mell.'!$F64</f>
        <v>0</v>
      </c>
      <c r="N8" s="239">
        <f t="shared" si="5"/>
        <v>18163453</v>
      </c>
      <c r="O8" s="233">
        <f>'Önkormányzat - 9. mell.'!$G64</f>
        <v>14088923</v>
      </c>
      <c r="P8" s="243">
        <f>'Óvoda - 10. mell.'!$G64</f>
        <v>0</v>
      </c>
      <c r="Q8" s="248">
        <f t="shared" si="6"/>
        <v>14088923</v>
      </c>
      <c r="R8" s="247">
        <f>'Önkormányzat - 9. mell.'!$H64</f>
        <v>18168533</v>
      </c>
      <c r="S8" s="238">
        <f>'Óvoda - 10. mell.'!$H64</f>
        <v>0</v>
      </c>
      <c r="T8" s="239">
        <f t="shared" si="7"/>
        <v>18168533</v>
      </c>
      <c r="U8" s="233">
        <f>'Önkormányzat - 9. mell.'!$I64</f>
        <v>18168533</v>
      </c>
      <c r="V8" s="243">
        <f>'Óvoda - 10. mell.'!$I64</f>
        <v>0</v>
      </c>
      <c r="W8" s="311">
        <f t="shared" si="8"/>
        <v>18168533</v>
      </c>
      <c r="X8" s="571">
        <f t="shared" si="9"/>
        <v>1</v>
      </c>
      <c r="Y8" s="572" t="str">
        <f t="shared" si="0"/>
        <v/>
      </c>
      <c r="Z8" s="573">
        <f t="shared" si="1"/>
        <v>1</v>
      </c>
    </row>
    <row r="9" spans="1:26" x14ac:dyDescent="0.2">
      <c r="A9" s="250" t="s">
        <v>206</v>
      </c>
      <c r="B9" s="124" t="s">
        <v>237</v>
      </c>
      <c r="C9" s="298">
        <f>'Önkormányzat - 9. mell.'!$C65</f>
        <v>21152748</v>
      </c>
      <c r="D9" s="299">
        <f>'Óvoda - 10. mell.'!$C65</f>
        <v>0</v>
      </c>
      <c r="E9" s="300">
        <f t="shared" si="2"/>
        <v>21152748</v>
      </c>
      <c r="F9" s="247">
        <f>'Önkormányzat - 9. mell.'!$D65</f>
        <v>21152748</v>
      </c>
      <c r="G9" s="238">
        <f>'Óvoda - 10. mell.'!$D65</f>
        <v>0</v>
      </c>
      <c r="H9" s="239">
        <f t="shared" si="3"/>
        <v>21152748</v>
      </c>
      <c r="I9" s="233">
        <f>'Önkormányzat - 9. mell.'!$E65</f>
        <v>8101419</v>
      </c>
      <c r="J9" s="243">
        <f>'Óvoda - 10. mell.'!$E65</f>
        <v>0</v>
      </c>
      <c r="K9" s="248">
        <f t="shared" si="4"/>
        <v>8101419</v>
      </c>
      <c r="L9" s="247">
        <f>'Önkormányzat - 9. mell.'!$F65</f>
        <v>21152748</v>
      </c>
      <c r="M9" s="238">
        <f>'Óvoda - 10. mell.'!$F65</f>
        <v>0</v>
      </c>
      <c r="N9" s="239">
        <f t="shared" si="5"/>
        <v>21152748</v>
      </c>
      <c r="O9" s="233">
        <f>'Önkormányzat - 9. mell.'!$G65</f>
        <v>11707090</v>
      </c>
      <c r="P9" s="243">
        <f>'Óvoda - 10. mell.'!$G65</f>
        <v>0</v>
      </c>
      <c r="Q9" s="248">
        <f t="shared" si="6"/>
        <v>11707090</v>
      </c>
      <c r="R9" s="247">
        <f>'Önkormányzat - 9. mell.'!$H65</f>
        <v>22374858</v>
      </c>
      <c r="S9" s="238">
        <f>'Óvoda - 10. mell.'!$H65</f>
        <v>0</v>
      </c>
      <c r="T9" s="239">
        <f t="shared" si="7"/>
        <v>22374858</v>
      </c>
      <c r="U9" s="233">
        <f>'Önkormányzat - 9. mell.'!$I65</f>
        <v>18403907</v>
      </c>
      <c r="V9" s="243">
        <f>'Óvoda - 10. mell.'!$I65</f>
        <v>0</v>
      </c>
      <c r="W9" s="311">
        <f t="shared" si="8"/>
        <v>18403907</v>
      </c>
      <c r="X9" s="571">
        <f t="shared" si="9"/>
        <v>0.82252620329478743</v>
      </c>
      <c r="Y9" s="572" t="str">
        <f t="shared" si="0"/>
        <v/>
      </c>
      <c r="Z9" s="573">
        <f t="shared" si="1"/>
        <v>0.82252620329478743</v>
      </c>
    </row>
    <row r="10" spans="1:26" x14ac:dyDescent="0.2">
      <c r="A10" s="250" t="s">
        <v>208</v>
      </c>
      <c r="B10" s="124" t="s">
        <v>333</v>
      </c>
      <c r="C10" s="298">
        <f>'Önkormányzat - 9. mell.'!$C66</f>
        <v>0</v>
      </c>
      <c r="D10" s="299">
        <f>'Óvoda - 10. mell.'!$C66</f>
        <v>0</v>
      </c>
      <c r="E10" s="300">
        <f t="shared" si="2"/>
        <v>0</v>
      </c>
      <c r="F10" s="247">
        <f>'Önkormányzat - 9. mell.'!$D66</f>
        <v>0</v>
      </c>
      <c r="G10" s="238">
        <f>'Óvoda - 10. mell.'!$D66</f>
        <v>0</v>
      </c>
      <c r="H10" s="239">
        <f t="shared" si="3"/>
        <v>0</v>
      </c>
      <c r="I10" s="233">
        <f>'Önkormányzat - 9. mell.'!$E66</f>
        <v>0</v>
      </c>
      <c r="J10" s="243">
        <f>'Óvoda - 10. mell.'!$E66</f>
        <v>0</v>
      </c>
      <c r="K10" s="248">
        <f t="shared" si="4"/>
        <v>0</v>
      </c>
      <c r="L10" s="247">
        <f>'Önkormányzat - 9. mell.'!$F66</f>
        <v>0</v>
      </c>
      <c r="M10" s="238">
        <f>'Óvoda - 10. mell.'!$F66</f>
        <v>0</v>
      </c>
      <c r="N10" s="239">
        <f t="shared" si="5"/>
        <v>0</v>
      </c>
      <c r="O10" s="233">
        <f>'Önkormányzat - 9. mell.'!$G66</f>
        <v>0</v>
      </c>
      <c r="P10" s="243">
        <f>'Óvoda - 10. mell.'!$G66</f>
        <v>0</v>
      </c>
      <c r="Q10" s="248">
        <f t="shared" si="6"/>
        <v>0</v>
      </c>
      <c r="R10" s="247">
        <f>'Önkormányzat - 9. mell.'!$H66</f>
        <v>1040606</v>
      </c>
      <c r="S10" s="238">
        <f>'Óvoda - 10. mell.'!$H66</f>
        <v>0</v>
      </c>
      <c r="T10" s="239">
        <f t="shared" si="7"/>
        <v>1040606</v>
      </c>
      <c r="U10" s="233">
        <f>'Önkormányzat - 9. mell.'!$I66</f>
        <v>1040606</v>
      </c>
      <c r="V10" s="243">
        <f>'Óvoda - 10. mell.'!$I66</f>
        <v>0</v>
      </c>
      <c r="W10" s="311">
        <f t="shared" si="8"/>
        <v>1040606</v>
      </c>
      <c r="X10" s="571">
        <f t="shared" si="9"/>
        <v>1</v>
      </c>
      <c r="Y10" s="572" t="str">
        <f t="shared" si="0"/>
        <v/>
      </c>
      <c r="Z10" s="573">
        <f t="shared" si="1"/>
        <v>1</v>
      </c>
    </row>
    <row r="11" spans="1:26" x14ac:dyDescent="0.2">
      <c r="A11" s="250" t="s">
        <v>210</v>
      </c>
      <c r="B11" s="124" t="s">
        <v>239</v>
      </c>
      <c r="C11" s="298">
        <f>'Önkormányzat - 9. mell.'!$C67</f>
        <v>15246654</v>
      </c>
      <c r="D11" s="299">
        <f>'Óvoda - 10. mell.'!$C67</f>
        <v>0</v>
      </c>
      <c r="E11" s="300">
        <f t="shared" si="2"/>
        <v>15246654</v>
      </c>
      <c r="F11" s="247">
        <f>'Önkormányzat - 9. mell.'!$D67</f>
        <v>14929154</v>
      </c>
      <c r="G11" s="238">
        <f>'Óvoda - 10. mell.'!$D67</f>
        <v>0</v>
      </c>
      <c r="H11" s="239">
        <f t="shared" si="3"/>
        <v>14929154</v>
      </c>
      <c r="I11" s="233">
        <f>'Önkormányzat - 9. mell.'!$E67</f>
        <v>6462266</v>
      </c>
      <c r="J11" s="243">
        <f>'Óvoda - 10. mell.'!$E67</f>
        <v>0</v>
      </c>
      <c r="K11" s="248">
        <f t="shared" si="4"/>
        <v>6462266</v>
      </c>
      <c r="L11" s="247">
        <f>'Önkormányzat - 9. mell.'!$F67</f>
        <v>15083154</v>
      </c>
      <c r="M11" s="238">
        <f>'Óvoda - 10. mell.'!$F67</f>
        <v>0</v>
      </c>
      <c r="N11" s="239">
        <f t="shared" si="5"/>
        <v>15083154</v>
      </c>
      <c r="O11" s="233">
        <f>'Önkormányzat - 9. mell.'!$G67</f>
        <v>10504705</v>
      </c>
      <c r="P11" s="243">
        <f>'Óvoda - 10. mell.'!$G67</f>
        <v>0</v>
      </c>
      <c r="Q11" s="248">
        <f t="shared" si="6"/>
        <v>10504705</v>
      </c>
      <c r="R11" s="247">
        <f>'Önkormányzat - 9. mell.'!$H67</f>
        <v>14865674</v>
      </c>
      <c r="S11" s="238">
        <f>'Óvoda - 10. mell.'!$H67</f>
        <v>0</v>
      </c>
      <c r="T11" s="239">
        <f t="shared" si="7"/>
        <v>14865674</v>
      </c>
      <c r="U11" s="233">
        <f>'Önkormányzat - 9. mell.'!$I67</f>
        <v>14672510</v>
      </c>
      <c r="V11" s="243">
        <f>'Óvoda - 10. mell.'!$I67</f>
        <v>0</v>
      </c>
      <c r="W11" s="311">
        <f t="shared" si="8"/>
        <v>14672510</v>
      </c>
      <c r="X11" s="571">
        <f t="shared" si="9"/>
        <v>0.98700603820586941</v>
      </c>
      <c r="Y11" s="572" t="str">
        <f t="shared" si="0"/>
        <v/>
      </c>
      <c r="Z11" s="573">
        <f t="shared" si="1"/>
        <v>0.98700603820586941</v>
      </c>
    </row>
    <row r="12" spans="1:26" s="278" customFormat="1" ht="15" x14ac:dyDescent="0.25">
      <c r="A12" s="1288" t="s">
        <v>619</v>
      </c>
      <c r="B12" s="1289"/>
      <c r="C12" s="279">
        <f t="shared" ref="C12:W12" si="10">SUM(C4:C11)</f>
        <v>175339950</v>
      </c>
      <c r="D12" s="280">
        <f t="shared" si="10"/>
        <v>70336434</v>
      </c>
      <c r="E12" s="281">
        <f t="shared" si="10"/>
        <v>245676384</v>
      </c>
      <c r="F12" s="282">
        <f t="shared" si="10"/>
        <v>181325290</v>
      </c>
      <c r="G12" s="280">
        <f t="shared" si="10"/>
        <v>70432625</v>
      </c>
      <c r="H12" s="283">
        <f t="shared" si="10"/>
        <v>251757915</v>
      </c>
      <c r="I12" s="284">
        <f t="shared" si="10"/>
        <v>85750439</v>
      </c>
      <c r="J12" s="280">
        <f t="shared" si="10"/>
        <v>30067825</v>
      </c>
      <c r="K12" s="281">
        <f t="shared" si="10"/>
        <v>115818264</v>
      </c>
      <c r="L12" s="282">
        <f t="shared" si="10"/>
        <v>187968908</v>
      </c>
      <c r="M12" s="280">
        <f t="shared" si="10"/>
        <v>70442904</v>
      </c>
      <c r="N12" s="283">
        <f t="shared" si="10"/>
        <v>258411812</v>
      </c>
      <c r="O12" s="284">
        <f t="shared" si="10"/>
        <v>133316875</v>
      </c>
      <c r="P12" s="280">
        <f t="shared" si="10"/>
        <v>44539688</v>
      </c>
      <c r="Q12" s="281">
        <f t="shared" si="10"/>
        <v>177856563</v>
      </c>
      <c r="R12" s="282">
        <f t="shared" si="10"/>
        <v>202894435</v>
      </c>
      <c r="S12" s="280">
        <f t="shared" si="10"/>
        <v>70453127</v>
      </c>
      <c r="T12" s="283">
        <f t="shared" si="10"/>
        <v>273347562</v>
      </c>
      <c r="U12" s="284">
        <f t="shared" si="10"/>
        <v>189199209</v>
      </c>
      <c r="V12" s="280">
        <f t="shared" si="10"/>
        <v>64291316</v>
      </c>
      <c r="W12" s="312">
        <f t="shared" si="10"/>
        <v>253490525</v>
      </c>
      <c r="X12" s="313">
        <f t="shared" si="9"/>
        <v>0.93250073123001131</v>
      </c>
      <c r="Y12" s="285">
        <f t="shared" si="0"/>
        <v>0.91254027660120751</v>
      </c>
      <c r="Z12" s="286">
        <f t="shared" si="1"/>
        <v>0.92735608521725177</v>
      </c>
    </row>
    <row r="13" spans="1:26" x14ac:dyDescent="0.2">
      <c r="A13" s="250" t="s">
        <v>194</v>
      </c>
      <c r="B13" s="124" t="s">
        <v>3</v>
      </c>
      <c r="C13" s="298">
        <f>'Önkormányzat - 9. mell.'!$C70</f>
        <v>98787800</v>
      </c>
      <c r="D13" s="299">
        <f>'Óvoda - 10. mell.'!$C70</f>
        <v>289999</v>
      </c>
      <c r="E13" s="300">
        <f t="shared" si="2"/>
        <v>99077799</v>
      </c>
      <c r="F13" s="247">
        <f>'Önkormányzat - 9. mell.'!$D70</f>
        <v>111533827</v>
      </c>
      <c r="G13" s="238">
        <f>'Óvoda - 10. mell.'!$D70</f>
        <v>289999</v>
      </c>
      <c r="H13" s="239">
        <f t="shared" si="3"/>
        <v>111823826</v>
      </c>
      <c r="I13" s="233">
        <f>'Önkormányzat - 9. mell.'!$E70</f>
        <v>30687451</v>
      </c>
      <c r="J13" s="243">
        <f>'Óvoda - 10. mell.'!$E70</f>
        <v>32639</v>
      </c>
      <c r="K13" s="248">
        <f t="shared" si="4"/>
        <v>30720090</v>
      </c>
      <c r="L13" s="247">
        <f>'Önkormányzat - 9. mell.'!$F70</f>
        <v>116802877</v>
      </c>
      <c r="M13" s="238">
        <f>'Óvoda - 10. mell.'!$F70</f>
        <v>289999</v>
      </c>
      <c r="N13" s="239">
        <f t="shared" si="5"/>
        <v>117092876</v>
      </c>
      <c r="O13" s="233">
        <f>'Önkormányzat - 9. mell.'!$G70</f>
        <v>43111763</v>
      </c>
      <c r="P13" s="243">
        <f>'Óvoda - 10. mell.'!$G70</f>
        <v>32639</v>
      </c>
      <c r="Q13" s="248">
        <f t="shared" si="6"/>
        <v>43144402</v>
      </c>
      <c r="R13" s="247">
        <f>'Önkormányzat - 9. mell.'!$H70</f>
        <v>117057203</v>
      </c>
      <c r="S13" s="238">
        <f>'Óvoda - 10. mell.'!$H70</f>
        <v>289999</v>
      </c>
      <c r="T13" s="239">
        <f t="shared" si="7"/>
        <v>117347202</v>
      </c>
      <c r="U13" s="233">
        <f>'Önkormányzat - 9. mell.'!$I70</f>
        <v>47044109</v>
      </c>
      <c r="V13" s="243">
        <f>'Óvoda - 10. mell.'!$I70</f>
        <v>181975</v>
      </c>
      <c r="W13" s="311">
        <f t="shared" si="8"/>
        <v>47226084</v>
      </c>
      <c r="X13" s="571">
        <f t="shared" si="9"/>
        <v>0.40188991189205159</v>
      </c>
      <c r="Y13" s="572">
        <f t="shared" si="0"/>
        <v>0.62750216380056478</v>
      </c>
      <c r="Z13" s="573">
        <f t="shared" si="1"/>
        <v>0.40244746525784225</v>
      </c>
    </row>
    <row r="14" spans="1:26" x14ac:dyDescent="0.2">
      <c r="A14" s="250" t="s">
        <v>197</v>
      </c>
      <c r="B14" s="124" t="s">
        <v>49</v>
      </c>
      <c r="C14" s="298">
        <f>'Önkormányzat - 9. mell.'!$C71</f>
        <v>37310978</v>
      </c>
      <c r="D14" s="299">
        <f>'Óvoda - 10. mell.'!$C71</f>
        <v>0</v>
      </c>
      <c r="E14" s="300">
        <f t="shared" si="2"/>
        <v>37310978</v>
      </c>
      <c r="F14" s="247">
        <f>'Önkormányzat - 9. mell.'!$D71</f>
        <v>44166427</v>
      </c>
      <c r="G14" s="238">
        <f>'Óvoda - 10. mell.'!$D71</f>
        <v>0</v>
      </c>
      <c r="H14" s="239">
        <f t="shared" si="3"/>
        <v>44166427</v>
      </c>
      <c r="I14" s="233">
        <f>'Önkormányzat - 9. mell.'!$E71</f>
        <v>8193054</v>
      </c>
      <c r="J14" s="243">
        <f>'Óvoda - 10. mell.'!$E71</f>
        <v>0</v>
      </c>
      <c r="K14" s="248">
        <f t="shared" si="4"/>
        <v>8193054</v>
      </c>
      <c r="L14" s="247">
        <f>'Önkormányzat - 9. mell.'!$F71</f>
        <v>47105913</v>
      </c>
      <c r="M14" s="238">
        <f>'Óvoda - 10. mell.'!$F71</f>
        <v>0</v>
      </c>
      <c r="N14" s="239">
        <f t="shared" si="5"/>
        <v>47105913</v>
      </c>
      <c r="O14" s="233">
        <f>'Önkormányzat - 9. mell.'!$G71</f>
        <v>39775081</v>
      </c>
      <c r="P14" s="243">
        <f>'Óvoda - 10. mell.'!$G71</f>
        <v>0</v>
      </c>
      <c r="Q14" s="248">
        <f t="shared" si="6"/>
        <v>39775081</v>
      </c>
      <c r="R14" s="247">
        <f>'Önkormányzat - 9. mell.'!$H71</f>
        <v>64642405</v>
      </c>
      <c r="S14" s="238">
        <f>'Óvoda - 10. mell.'!$H71</f>
        <v>0</v>
      </c>
      <c r="T14" s="239">
        <f t="shared" si="7"/>
        <v>64642405</v>
      </c>
      <c r="U14" s="233">
        <f>'Önkormányzat - 9. mell.'!$I71</f>
        <v>41500752</v>
      </c>
      <c r="V14" s="243">
        <f>'Óvoda - 10. mell.'!$I71</f>
        <v>0</v>
      </c>
      <c r="W14" s="311">
        <f t="shared" si="8"/>
        <v>41500752</v>
      </c>
      <c r="X14" s="571">
        <f t="shared" si="9"/>
        <v>0.64200507391394246</v>
      </c>
      <c r="Y14" s="572" t="str">
        <f t="shared" si="0"/>
        <v/>
      </c>
      <c r="Z14" s="573">
        <f t="shared" si="1"/>
        <v>0.64200507391394246</v>
      </c>
    </row>
    <row r="15" spans="1:26" x14ac:dyDescent="0.2">
      <c r="A15" s="250" t="s">
        <v>198</v>
      </c>
      <c r="B15" s="124" t="s">
        <v>244</v>
      </c>
      <c r="C15" s="298">
        <f>'Önkormányzat - 9. mell.'!$C72</f>
        <v>0</v>
      </c>
      <c r="D15" s="299">
        <f>'Óvoda - 10. mell.'!$C72</f>
        <v>0</v>
      </c>
      <c r="E15" s="300">
        <f t="shared" si="2"/>
        <v>0</v>
      </c>
      <c r="F15" s="247">
        <f>'Önkormányzat - 9. mell.'!$D72</f>
        <v>0</v>
      </c>
      <c r="G15" s="238">
        <f>'Óvoda - 10. mell.'!$D72</f>
        <v>0</v>
      </c>
      <c r="H15" s="239">
        <f t="shared" si="3"/>
        <v>0</v>
      </c>
      <c r="I15" s="233">
        <f>'Önkormányzat - 9. mell.'!$E72</f>
        <v>0</v>
      </c>
      <c r="J15" s="243">
        <f>'Óvoda - 10. mell.'!$E72</f>
        <v>0</v>
      </c>
      <c r="K15" s="248">
        <f t="shared" si="4"/>
        <v>0</v>
      </c>
      <c r="L15" s="247">
        <f>'Önkormányzat - 9. mell.'!$F72</f>
        <v>0</v>
      </c>
      <c r="M15" s="238">
        <f>'Óvoda - 10. mell.'!$F72</f>
        <v>0</v>
      </c>
      <c r="N15" s="239">
        <f t="shared" si="5"/>
        <v>0</v>
      </c>
      <c r="O15" s="233">
        <f>'Önkormányzat - 9. mell.'!$G72</f>
        <v>0</v>
      </c>
      <c r="P15" s="243">
        <f>'Óvoda - 10. mell.'!$G72</f>
        <v>0</v>
      </c>
      <c r="Q15" s="248">
        <f t="shared" si="6"/>
        <v>0</v>
      </c>
      <c r="R15" s="247">
        <f>'Önkormányzat - 9. mell.'!$H72</f>
        <v>4702651</v>
      </c>
      <c r="S15" s="238">
        <f>'Óvoda - 10. mell.'!$H72</f>
        <v>0</v>
      </c>
      <c r="T15" s="239">
        <f t="shared" si="7"/>
        <v>4702651</v>
      </c>
      <c r="U15" s="233">
        <f>'Önkormányzat - 9. mell.'!$I72</f>
        <v>4702651</v>
      </c>
      <c r="V15" s="243">
        <f>'Óvoda - 10. mell.'!$I72</f>
        <v>0</v>
      </c>
      <c r="W15" s="311">
        <f t="shared" si="8"/>
        <v>4702651</v>
      </c>
      <c r="X15" s="571">
        <f t="shared" si="9"/>
        <v>1</v>
      </c>
      <c r="Y15" s="572" t="str">
        <f t="shared" si="0"/>
        <v/>
      </c>
      <c r="Z15" s="573">
        <f t="shared" si="1"/>
        <v>1</v>
      </c>
    </row>
    <row r="16" spans="1:26" hidden="1" x14ac:dyDescent="0.2">
      <c r="A16" s="250" t="s">
        <v>199</v>
      </c>
      <c r="B16" s="124" t="s">
        <v>245</v>
      </c>
      <c r="C16" s="298">
        <f>'Önkormányzat - 9. mell.'!$C73</f>
        <v>0</v>
      </c>
      <c r="D16" s="299">
        <f>'Óvoda - 10. mell.'!$C73</f>
        <v>0</v>
      </c>
      <c r="E16" s="300">
        <f t="shared" si="2"/>
        <v>0</v>
      </c>
      <c r="F16" s="247">
        <f>'Önkormányzat - 9. mell.'!$D73</f>
        <v>0</v>
      </c>
      <c r="G16" s="238">
        <f>'Óvoda - 10. mell.'!$D73</f>
        <v>0</v>
      </c>
      <c r="H16" s="239">
        <f t="shared" si="3"/>
        <v>0</v>
      </c>
      <c r="I16" s="233">
        <f>'Önkormányzat - 9. mell.'!$E73</f>
        <v>0</v>
      </c>
      <c r="J16" s="243">
        <f>'Óvoda - 10. mell.'!$E73</f>
        <v>0</v>
      </c>
      <c r="K16" s="248">
        <f t="shared" si="4"/>
        <v>0</v>
      </c>
      <c r="L16" s="247">
        <f>'Önkormányzat - 9. mell.'!$F73</f>
        <v>0</v>
      </c>
      <c r="M16" s="238">
        <f>'Óvoda - 10. mell.'!$F73</f>
        <v>0</v>
      </c>
      <c r="N16" s="239">
        <f t="shared" si="5"/>
        <v>0</v>
      </c>
      <c r="O16" s="233">
        <f>'Önkormányzat - 9. mell.'!$G73</f>
        <v>0</v>
      </c>
      <c r="P16" s="243">
        <f>'Óvoda - 10. mell.'!$G73</f>
        <v>0</v>
      </c>
      <c r="Q16" s="248">
        <f t="shared" si="6"/>
        <v>0</v>
      </c>
      <c r="R16" s="247">
        <f>'Önkormányzat - 9. mell.'!$H73</f>
        <v>0</v>
      </c>
      <c r="S16" s="238">
        <f>'Óvoda - 10. mell.'!$H73</f>
        <v>0</v>
      </c>
      <c r="T16" s="239">
        <f t="shared" si="7"/>
        <v>0</v>
      </c>
      <c r="U16" s="233">
        <f>'Önkormányzat - 9. mell.'!$I73</f>
        <v>0</v>
      </c>
      <c r="V16" s="243">
        <f>'Óvoda - 10. mell.'!$I73</f>
        <v>0</v>
      </c>
      <c r="W16" s="311">
        <f t="shared" si="8"/>
        <v>0</v>
      </c>
      <c r="X16" s="571" t="str">
        <f t="shared" si="9"/>
        <v/>
      </c>
      <c r="Y16" s="572" t="str">
        <f t="shared" si="0"/>
        <v/>
      </c>
      <c r="Z16" s="573" t="str">
        <f t="shared" si="1"/>
        <v/>
      </c>
    </row>
    <row r="17" spans="1:30" x14ac:dyDescent="0.2">
      <c r="A17" s="250" t="s">
        <v>200</v>
      </c>
      <c r="B17" s="124" t="s">
        <v>246</v>
      </c>
      <c r="C17" s="298">
        <f>'Önkormányzat - 9. mell.'!$C74</f>
        <v>0</v>
      </c>
      <c r="D17" s="299">
        <f>'Óvoda - 10. mell.'!$C74</f>
        <v>0</v>
      </c>
      <c r="E17" s="300">
        <f t="shared" si="2"/>
        <v>0</v>
      </c>
      <c r="F17" s="247">
        <f>'Önkormányzat - 9. mell.'!$D74</f>
        <v>0</v>
      </c>
      <c r="G17" s="238">
        <f>'Óvoda - 10. mell.'!$D74</f>
        <v>0</v>
      </c>
      <c r="H17" s="239">
        <f t="shared" si="3"/>
        <v>0</v>
      </c>
      <c r="I17" s="233">
        <f>'Önkormányzat - 9. mell.'!$E74</f>
        <v>0</v>
      </c>
      <c r="J17" s="243">
        <f>'Óvoda - 10. mell.'!$E74</f>
        <v>0</v>
      </c>
      <c r="K17" s="248">
        <f t="shared" si="4"/>
        <v>0</v>
      </c>
      <c r="L17" s="247">
        <f>'Önkormányzat - 9. mell.'!$F74</f>
        <v>0</v>
      </c>
      <c r="M17" s="238">
        <f>'Óvoda - 10. mell.'!$F74</f>
        <v>0</v>
      </c>
      <c r="N17" s="239">
        <f t="shared" si="5"/>
        <v>0</v>
      </c>
      <c r="O17" s="233">
        <f>'Önkormányzat - 9. mell.'!$G74</f>
        <v>0</v>
      </c>
      <c r="P17" s="243">
        <f>'Óvoda - 10. mell.'!$G74</f>
        <v>0</v>
      </c>
      <c r="Q17" s="248">
        <f t="shared" si="6"/>
        <v>0</v>
      </c>
      <c r="R17" s="247">
        <f>'Önkormányzat - 9. mell.'!$H74</f>
        <v>1692551</v>
      </c>
      <c r="S17" s="238">
        <f>'Óvoda - 10. mell.'!$H74</f>
        <v>0</v>
      </c>
      <c r="T17" s="239">
        <f t="shared" si="7"/>
        <v>1692551</v>
      </c>
      <c r="U17" s="233">
        <f>'Önkormányzat - 9. mell.'!$I74</f>
        <v>1692551</v>
      </c>
      <c r="V17" s="243">
        <f>'Óvoda - 10. mell.'!$I74</f>
        <v>0</v>
      </c>
      <c r="W17" s="311">
        <f t="shared" si="8"/>
        <v>1692551</v>
      </c>
      <c r="X17" s="571">
        <f t="shared" si="9"/>
        <v>1</v>
      </c>
      <c r="Y17" s="572" t="str">
        <f t="shared" si="0"/>
        <v/>
      </c>
      <c r="Z17" s="573">
        <f t="shared" si="1"/>
        <v>1</v>
      </c>
    </row>
    <row r="18" spans="1:30" s="278" customFormat="1" ht="15" x14ac:dyDescent="0.25">
      <c r="A18" s="1288" t="s">
        <v>620</v>
      </c>
      <c r="B18" s="1289"/>
      <c r="C18" s="279">
        <f>SUM(C13:C17)</f>
        <v>136098778</v>
      </c>
      <c r="D18" s="280">
        <f t="shared" ref="D18:W18" si="11">SUM(D13:D17)</f>
        <v>289999</v>
      </c>
      <c r="E18" s="281">
        <f t="shared" si="11"/>
        <v>136388777</v>
      </c>
      <c r="F18" s="282">
        <f t="shared" si="11"/>
        <v>155700254</v>
      </c>
      <c r="G18" s="280">
        <f t="shared" si="11"/>
        <v>289999</v>
      </c>
      <c r="H18" s="283">
        <f t="shared" si="11"/>
        <v>155990253</v>
      </c>
      <c r="I18" s="284">
        <f t="shared" si="11"/>
        <v>38880505</v>
      </c>
      <c r="J18" s="280">
        <f t="shared" si="11"/>
        <v>32639</v>
      </c>
      <c r="K18" s="281">
        <f t="shared" si="11"/>
        <v>38913144</v>
      </c>
      <c r="L18" s="282">
        <f t="shared" si="11"/>
        <v>163908790</v>
      </c>
      <c r="M18" s="280">
        <f t="shared" si="11"/>
        <v>289999</v>
      </c>
      <c r="N18" s="283">
        <f t="shared" si="11"/>
        <v>164198789</v>
      </c>
      <c r="O18" s="284">
        <f t="shared" si="11"/>
        <v>82886844</v>
      </c>
      <c r="P18" s="280">
        <f t="shared" si="11"/>
        <v>32639</v>
      </c>
      <c r="Q18" s="281">
        <f t="shared" si="11"/>
        <v>82919483</v>
      </c>
      <c r="R18" s="282">
        <f t="shared" si="11"/>
        <v>188094810</v>
      </c>
      <c r="S18" s="280">
        <f t="shared" si="11"/>
        <v>289999</v>
      </c>
      <c r="T18" s="283">
        <f t="shared" si="11"/>
        <v>188384809</v>
      </c>
      <c r="U18" s="284">
        <f t="shared" si="11"/>
        <v>94940063</v>
      </c>
      <c r="V18" s="280">
        <f t="shared" si="11"/>
        <v>181975</v>
      </c>
      <c r="W18" s="312">
        <f t="shared" si="11"/>
        <v>95122038</v>
      </c>
      <c r="X18" s="313">
        <f t="shared" si="9"/>
        <v>0.50474578751003285</v>
      </c>
      <c r="Y18" s="285">
        <f t="shared" si="0"/>
        <v>0.62750216380056478</v>
      </c>
      <c r="Z18" s="286">
        <f t="shared" si="1"/>
        <v>0.5049347583010263</v>
      </c>
    </row>
    <row r="19" spans="1:30" ht="13.5" thickBot="1" x14ac:dyDescent="0.25">
      <c r="A19" s="252" t="s">
        <v>547</v>
      </c>
      <c r="B19" s="253" t="s">
        <v>46</v>
      </c>
      <c r="C19" s="301">
        <f>'Önkormányzat - 9. mell.'!$C68</f>
        <v>52314000</v>
      </c>
      <c r="D19" s="302">
        <f>'Óvoda - 10. mell.'!$C68</f>
        <v>0</v>
      </c>
      <c r="E19" s="303">
        <f t="shared" si="2"/>
        <v>52314000</v>
      </c>
      <c r="F19" s="254">
        <f>'Önkormányzat - 9. mell.'!$D68</f>
        <v>52491869</v>
      </c>
      <c r="G19" s="255">
        <f>'Óvoda - 10. mell.'!$D68</f>
        <v>0</v>
      </c>
      <c r="H19" s="256">
        <f t="shared" si="3"/>
        <v>52491869</v>
      </c>
      <c r="I19" s="257">
        <f>'Önkormányzat - 9. mell.'!$E68</f>
        <v>0</v>
      </c>
      <c r="J19" s="258">
        <f>'Óvoda - 10. mell.'!$E68</f>
        <v>0</v>
      </c>
      <c r="K19" s="259">
        <f t="shared" si="4"/>
        <v>0</v>
      </c>
      <c r="L19" s="254">
        <f>'Önkormányzat - 9. mell.'!$F68</f>
        <v>40609201</v>
      </c>
      <c r="M19" s="255">
        <f>'Óvoda - 10. mell.'!$F68</f>
        <v>0</v>
      </c>
      <c r="N19" s="256">
        <f t="shared" si="5"/>
        <v>40609201</v>
      </c>
      <c r="O19" s="257">
        <f>'Önkormányzat - 9. mell.'!$G68</f>
        <v>0</v>
      </c>
      <c r="P19" s="258">
        <f>'Óvoda - 10. mell.'!$G68</f>
        <v>0</v>
      </c>
      <c r="Q19" s="259">
        <f t="shared" si="6"/>
        <v>0</v>
      </c>
      <c r="R19" s="254">
        <f>'Önkormányzat - 9. mell.'!$H68</f>
        <v>27254545</v>
      </c>
      <c r="S19" s="255">
        <f>'Óvoda - 10. mell.'!$H68</f>
        <v>0</v>
      </c>
      <c r="T19" s="256">
        <f t="shared" si="7"/>
        <v>27254545</v>
      </c>
      <c r="U19" s="257">
        <f>'Önkormányzat - 9. mell.'!$I68</f>
        <v>0</v>
      </c>
      <c r="V19" s="258">
        <f>'Óvoda - 10. mell.'!$I68</f>
        <v>0</v>
      </c>
      <c r="W19" s="314">
        <f t="shared" si="8"/>
        <v>0</v>
      </c>
      <c r="X19" s="574" t="str">
        <f t="shared" si="9"/>
        <v/>
      </c>
      <c r="Y19" s="575" t="str">
        <f t="shared" si="0"/>
        <v/>
      </c>
      <c r="Z19" s="576" t="str">
        <f t="shared" si="1"/>
        <v/>
      </c>
    </row>
    <row r="20" spans="1:30" s="268" customFormat="1" ht="16.5" thickBot="1" x14ac:dyDescent="0.3">
      <c r="A20" s="1286" t="s">
        <v>570</v>
      </c>
      <c r="B20" s="1287"/>
      <c r="C20" s="270">
        <f>SUM(C19,C18,C12)</f>
        <v>363752728</v>
      </c>
      <c r="D20" s="271">
        <f t="shared" ref="D20:W20" si="12">SUM(D19,D18,D12)</f>
        <v>70626433</v>
      </c>
      <c r="E20" s="272">
        <f t="shared" si="12"/>
        <v>434379161</v>
      </c>
      <c r="F20" s="273">
        <f t="shared" si="12"/>
        <v>389517413</v>
      </c>
      <c r="G20" s="271">
        <f t="shared" si="12"/>
        <v>70722624</v>
      </c>
      <c r="H20" s="274">
        <f t="shared" si="12"/>
        <v>460240037</v>
      </c>
      <c r="I20" s="275">
        <f t="shared" si="12"/>
        <v>124630944</v>
      </c>
      <c r="J20" s="271">
        <f t="shared" si="12"/>
        <v>30100464</v>
      </c>
      <c r="K20" s="272">
        <f t="shared" si="12"/>
        <v>154731408</v>
      </c>
      <c r="L20" s="273">
        <f t="shared" si="12"/>
        <v>392486899</v>
      </c>
      <c r="M20" s="271">
        <f t="shared" si="12"/>
        <v>70732903</v>
      </c>
      <c r="N20" s="274">
        <f t="shared" si="12"/>
        <v>463219802</v>
      </c>
      <c r="O20" s="275">
        <f t="shared" si="12"/>
        <v>216203719</v>
      </c>
      <c r="P20" s="271">
        <f t="shared" si="12"/>
        <v>44572327</v>
      </c>
      <c r="Q20" s="272">
        <f t="shared" si="12"/>
        <v>260776046</v>
      </c>
      <c r="R20" s="273">
        <f t="shared" si="12"/>
        <v>418243790</v>
      </c>
      <c r="S20" s="271">
        <f t="shared" si="12"/>
        <v>70743126</v>
      </c>
      <c r="T20" s="274">
        <f t="shared" si="12"/>
        <v>488986916</v>
      </c>
      <c r="U20" s="275">
        <f t="shared" si="12"/>
        <v>284139272</v>
      </c>
      <c r="V20" s="271">
        <f t="shared" si="12"/>
        <v>64473291</v>
      </c>
      <c r="W20" s="315">
        <f t="shared" si="12"/>
        <v>348612563</v>
      </c>
      <c r="X20" s="316">
        <f t="shared" si="9"/>
        <v>0.67936279938549715</v>
      </c>
      <c r="Y20" s="276">
        <f t="shared" si="0"/>
        <v>0.91137181300130843</v>
      </c>
      <c r="Z20" s="277">
        <f t="shared" si="1"/>
        <v>0.71292820235705445</v>
      </c>
      <c r="AD20" s="269"/>
    </row>
    <row r="21" spans="1:30" x14ac:dyDescent="0.2">
      <c r="A21" s="249" t="s">
        <v>471</v>
      </c>
      <c r="B21" s="123" t="s">
        <v>477</v>
      </c>
      <c r="C21" s="295">
        <f>'Önkormányzat - 9. mell.'!$C77</f>
        <v>524833</v>
      </c>
      <c r="D21" s="296">
        <f>'Óvoda - 10. mell.'!$C77</f>
        <v>0</v>
      </c>
      <c r="E21" s="297">
        <f t="shared" si="2"/>
        <v>524833</v>
      </c>
      <c r="F21" s="245">
        <f>'Önkormányzat - 9. mell.'!$D77</f>
        <v>524833</v>
      </c>
      <c r="G21" s="236">
        <f>'Óvoda - 10. mell.'!$D77</f>
        <v>0</v>
      </c>
      <c r="H21" s="237">
        <f t="shared" si="3"/>
        <v>524833</v>
      </c>
      <c r="I21" s="232">
        <f>'Önkormányzat - 9. mell.'!$E77</f>
        <v>524833</v>
      </c>
      <c r="J21" s="242">
        <f>'Óvoda - 10. mell.'!$E77</f>
        <v>0</v>
      </c>
      <c r="K21" s="246">
        <f t="shared" si="4"/>
        <v>524833</v>
      </c>
      <c r="L21" s="245">
        <f>'Önkormányzat - 9. mell.'!$F77</f>
        <v>524833</v>
      </c>
      <c r="M21" s="236">
        <f>'Óvoda - 10. mell.'!$F77</f>
        <v>0</v>
      </c>
      <c r="N21" s="237">
        <f t="shared" si="5"/>
        <v>524833</v>
      </c>
      <c r="O21" s="232">
        <f>'Önkormányzat - 9. mell.'!$G77</f>
        <v>524833</v>
      </c>
      <c r="P21" s="242">
        <f>'Óvoda - 10. mell.'!$G77</f>
        <v>0</v>
      </c>
      <c r="Q21" s="246">
        <f t="shared" si="6"/>
        <v>524833</v>
      </c>
      <c r="R21" s="245">
        <f>'Önkormányzat - 9. mell.'!$H77</f>
        <v>524833</v>
      </c>
      <c r="S21" s="236">
        <f>'Óvoda - 10. mell.'!$H77</f>
        <v>0</v>
      </c>
      <c r="T21" s="237">
        <f t="shared" si="7"/>
        <v>524833</v>
      </c>
      <c r="U21" s="232">
        <f>'Önkormányzat - 9. mell.'!$I77</f>
        <v>524833</v>
      </c>
      <c r="V21" s="242">
        <f>'Óvoda - 10. mell.'!$I77</f>
        <v>0</v>
      </c>
      <c r="W21" s="310">
        <f t="shared" si="8"/>
        <v>524833</v>
      </c>
      <c r="X21" s="568">
        <f t="shared" si="9"/>
        <v>1</v>
      </c>
      <c r="Y21" s="569" t="str">
        <f t="shared" si="0"/>
        <v/>
      </c>
      <c r="Z21" s="570">
        <f t="shared" si="1"/>
        <v>1</v>
      </c>
    </row>
    <row r="22" spans="1:30" x14ac:dyDescent="0.2">
      <c r="A22" s="250" t="s">
        <v>236</v>
      </c>
      <c r="B22" s="124" t="s">
        <v>61</v>
      </c>
      <c r="C22" s="298">
        <f>'Önkormányzat - 9. mell.'!$C78</f>
        <v>69183233</v>
      </c>
      <c r="D22" s="299">
        <f>'Óvoda - 10. mell.'!$C78</f>
        <v>0</v>
      </c>
      <c r="E22" s="300">
        <f t="shared" si="2"/>
        <v>69183233</v>
      </c>
      <c r="F22" s="247">
        <f>'Önkormányzat - 9. mell.'!$D78</f>
        <v>69201874</v>
      </c>
      <c r="G22" s="238">
        <f>'Óvoda - 10. mell.'!$D78</f>
        <v>0</v>
      </c>
      <c r="H22" s="239">
        <f t="shared" si="3"/>
        <v>69201874</v>
      </c>
      <c r="I22" s="233">
        <f>'Önkormányzat - 9. mell.'!$E78</f>
        <v>30592654</v>
      </c>
      <c r="J22" s="243">
        <f>'Óvoda - 10. mell.'!$E78</f>
        <v>0</v>
      </c>
      <c r="K22" s="248">
        <f t="shared" si="4"/>
        <v>30592654</v>
      </c>
      <c r="L22" s="247">
        <f>'Önkormányzat - 9. mell.'!$F78</f>
        <v>69212153</v>
      </c>
      <c r="M22" s="238">
        <f>'Óvoda - 10. mell.'!$F78</f>
        <v>0</v>
      </c>
      <c r="N22" s="239">
        <f t="shared" si="5"/>
        <v>69212153</v>
      </c>
      <c r="O22" s="233">
        <f>'Önkormányzat - 9. mell.'!$G78</f>
        <v>43604709</v>
      </c>
      <c r="P22" s="243">
        <f>'Óvoda - 10. mell.'!$G78</f>
        <v>0</v>
      </c>
      <c r="Q22" s="248">
        <f t="shared" si="6"/>
        <v>43604709</v>
      </c>
      <c r="R22" s="247">
        <f>'Önkormányzat - 9. mell.'!$H78</f>
        <v>69222376</v>
      </c>
      <c r="S22" s="238">
        <f>'Óvoda - 10. mell.'!$H78</f>
        <v>0</v>
      </c>
      <c r="T22" s="239">
        <f t="shared" si="7"/>
        <v>69222376</v>
      </c>
      <c r="U22" s="233">
        <f>'Önkormányzat - 9. mell.'!$I78</f>
        <v>63235426</v>
      </c>
      <c r="V22" s="243">
        <f>'Óvoda - 10. mell.'!$I78</f>
        <v>0</v>
      </c>
      <c r="W22" s="311">
        <f t="shared" si="8"/>
        <v>63235426</v>
      </c>
      <c r="X22" s="571">
        <f t="shared" si="9"/>
        <v>0.91351134783353871</v>
      </c>
      <c r="Y22" s="572" t="str">
        <f t="shared" si="0"/>
        <v/>
      </c>
      <c r="Z22" s="573">
        <f t="shared" si="1"/>
        <v>0.91351134783353871</v>
      </c>
    </row>
    <row r="23" spans="1:30" ht="13.5" thickBot="1" x14ac:dyDescent="0.25">
      <c r="A23" s="252" t="s">
        <v>469</v>
      </c>
      <c r="B23" s="253" t="s">
        <v>476</v>
      </c>
      <c r="C23" s="301">
        <f>'Önkormányzat - 9. mell.'!$C79</f>
        <v>332434</v>
      </c>
      <c r="D23" s="302">
        <f>'Óvoda - 10. mell.'!$C79</f>
        <v>0</v>
      </c>
      <c r="E23" s="303">
        <f t="shared" si="2"/>
        <v>332434</v>
      </c>
      <c r="F23" s="254">
        <f>'Önkormányzat - 9. mell.'!$D79</f>
        <v>332434</v>
      </c>
      <c r="G23" s="255">
        <f>'Óvoda - 10. mell.'!$D79</f>
        <v>0</v>
      </c>
      <c r="H23" s="256">
        <f t="shared" si="3"/>
        <v>332434</v>
      </c>
      <c r="I23" s="257">
        <f>'Önkormányzat - 9. mell.'!$E79</f>
        <v>85163</v>
      </c>
      <c r="J23" s="258">
        <f>'Óvoda - 10. mell.'!$E79</f>
        <v>0</v>
      </c>
      <c r="K23" s="259">
        <f t="shared" si="4"/>
        <v>85163</v>
      </c>
      <c r="L23" s="254">
        <f>'Önkormányzat - 9. mell.'!$F79</f>
        <v>85163</v>
      </c>
      <c r="M23" s="255">
        <f>'Óvoda - 10. mell.'!$F79</f>
        <v>0</v>
      </c>
      <c r="N23" s="256">
        <f t="shared" si="5"/>
        <v>85163</v>
      </c>
      <c r="O23" s="257">
        <f>'Önkormányzat - 9. mell.'!$G79</f>
        <v>85163</v>
      </c>
      <c r="P23" s="258">
        <f>'Óvoda - 10. mell.'!$G79</f>
        <v>0</v>
      </c>
      <c r="Q23" s="259">
        <f t="shared" si="6"/>
        <v>85163</v>
      </c>
      <c r="R23" s="254">
        <f>'Önkormányzat - 9. mell.'!$H79</f>
        <v>85163</v>
      </c>
      <c r="S23" s="255">
        <f>'Óvoda - 10. mell.'!$H79</f>
        <v>0</v>
      </c>
      <c r="T23" s="256">
        <f t="shared" si="7"/>
        <v>85163</v>
      </c>
      <c r="U23" s="257">
        <f>'Önkormányzat - 9. mell.'!$I79</f>
        <v>85163</v>
      </c>
      <c r="V23" s="258">
        <f>'Óvoda - 10. mell.'!$I79</f>
        <v>0</v>
      </c>
      <c r="W23" s="314">
        <f t="shared" si="8"/>
        <v>85163</v>
      </c>
      <c r="X23" s="574">
        <f t="shared" si="9"/>
        <v>1</v>
      </c>
      <c r="Y23" s="575" t="str">
        <f t="shared" si="0"/>
        <v/>
      </c>
      <c r="Z23" s="576">
        <f t="shared" si="1"/>
        <v>1</v>
      </c>
      <c r="AD23" s="125"/>
    </row>
    <row r="24" spans="1:30" s="251" customFormat="1" ht="19.5" thickBot="1" x14ac:dyDescent="0.35">
      <c r="A24" s="1284" t="s">
        <v>623</v>
      </c>
      <c r="B24" s="1285"/>
      <c r="C24" s="260">
        <f>SUM(C20:C23)</f>
        <v>433793228</v>
      </c>
      <c r="D24" s="261">
        <f t="shared" ref="D24:W24" si="13">SUM(D20:D23)</f>
        <v>70626433</v>
      </c>
      <c r="E24" s="262">
        <f t="shared" si="13"/>
        <v>504419661</v>
      </c>
      <c r="F24" s="263">
        <f t="shared" si="13"/>
        <v>459576554</v>
      </c>
      <c r="G24" s="261">
        <f t="shared" si="13"/>
        <v>70722624</v>
      </c>
      <c r="H24" s="264">
        <f t="shared" si="13"/>
        <v>530299178</v>
      </c>
      <c r="I24" s="265">
        <f t="shared" si="13"/>
        <v>155833594</v>
      </c>
      <c r="J24" s="261">
        <f t="shared" si="13"/>
        <v>30100464</v>
      </c>
      <c r="K24" s="262">
        <f t="shared" si="13"/>
        <v>185934058</v>
      </c>
      <c r="L24" s="263">
        <f t="shared" si="13"/>
        <v>462309048</v>
      </c>
      <c r="M24" s="261">
        <f t="shared" si="13"/>
        <v>70732903</v>
      </c>
      <c r="N24" s="264">
        <f t="shared" si="13"/>
        <v>533041951</v>
      </c>
      <c r="O24" s="265">
        <f t="shared" si="13"/>
        <v>260418424</v>
      </c>
      <c r="P24" s="261">
        <f t="shared" si="13"/>
        <v>44572327</v>
      </c>
      <c r="Q24" s="262">
        <f t="shared" si="13"/>
        <v>304990751</v>
      </c>
      <c r="R24" s="263">
        <f t="shared" si="13"/>
        <v>488076162</v>
      </c>
      <c r="S24" s="261">
        <f t="shared" si="13"/>
        <v>70743126</v>
      </c>
      <c r="T24" s="264">
        <f t="shared" si="13"/>
        <v>558819288</v>
      </c>
      <c r="U24" s="265">
        <f t="shared" si="13"/>
        <v>347984694</v>
      </c>
      <c r="V24" s="261">
        <f t="shared" si="13"/>
        <v>64473291</v>
      </c>
      <c r="W24" s="317">
        <f t="shared" si="13"/>
        <v>412457985</v>
      </c>
      <c r="X24" s="318">
        <f t="shared" si="9"/>
        <v>0.71297211601987642</v>
      </c>
      <c r="Y24" s="266">
        <f t="shared" si="0"/>
        <v>0.91137181300130843</v>
      </c>
      <c r="Z24" s="267">
        <f t="shared" si="1"/>
        <v>0.73808831201259462</v>
      </c>
    </row>
    <row r="25" spans="1:30" x14ac:dyDescent="0.2">
      <c r="A25" s="126"/>
    </row>
    <row r="26" spans="1:30" ht="13.5" thickBot="1" x14ac:dyDescent="0.25">
      <c r="A26" s="126"/>
    </row>
    <row r="27" spans="1:30" s="287" customFormat="1" ht="17.25" thickBot="1" x14ac:dyDescent="0.3">
      <c r="A27" s="1269" t="s">
        <v>103</v>
      </c>
      <c r="B27" s="1270"/>
      <c r="C27" s="292">
        <f>'Önkormányzat - 9. mell.'!C141</f>
        <v>9</v>
      </c>
      <c r="D27" s="293">
        <f>'Óvoda - 10. mell.'!C141</f>
        <v>11</v>
      </c>
      <c r="E27" s="294">
        <f>SUM(D27,C27)</f>
        <v>20</v>
      </c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9"/>
      <c r="Y27" s="290"/>
      <c r="Z27" s="291"/>
    </row>
  </sheetData>
  <sheetProtection algorithmName="SHA-512" hashValue="ULn9U83dGMXwhbaXIHwYGVKr9/NyjnOzcGGVMrPcKilU/yXCL1BWCrdweF/0Zjw9XN6hF6b9nAFCnUtRfPH3jA==" saltValue="ufUVjxEUZYzDUz3VTWZXoQ==" spinCount="100000" sheet="1" formatCells="0" formatColumns="0" formatRows="0" insertColumns="0" insertRows="0" insertHyperlinks="0" deleteColumns="0" deleteRows="0" sort="0" autoFilter="0" pivotTables="0"/>
  <sortState ref="A21:R23">
    <sortCondition ref="A21:A23"/>
  </sortState>
  <mergeCells count="19">
    <mergeCell ref="A27:B27"/>
    <mergeCell ref="L2:N2"/>
    <mergeCell ref="O2:Q2"/>
    <mergeCell ref="F1:K1"/>
    <mergeCell ref="L1:Q1"/>
    <mergeCell ref="C2:E2"/>
    <mergeCell ref="C1:E1"/>
    <mergeCell ref="B1:B3"/>
    <mergeCell ref="A1:A3"/>
    <mergeCell ref="A24:B24"/>
    <mergeCell ref="A20:B20"/>
    <mergeCell ref="A12:B12"/>
    <mergeCell ref="A18:B18"/>
    <mergeCell ref="X1:Z2"/>
    <mergeCell ref="R2:T2"/>
    <mergeCell ref="U2:W2"/>
    <mergeCell ref="R1:W1"/>
    <mergeCell ref="F2:H2"/>
    <mergeCell ref="I2:K2"/>
  </mergeCells>
  <phoneticPr fontId="2" type="noConversion"/>
  <printOptions horizontalCentered="1"/>
  <pageMargins left="0.59055118110236227" right="0.59055118110236227" top="1.4566929133858268" bottom="0.74803149606299213" header="0.62992125984251968" footer="0.31496062992125984"/>
  <pageSetup paperSize="8" scale="55" orientation="landscape" r:id="rId1"/>
  <headerFooter>
    <oddHeader>&amp;L&amp;"Arial,Normál"&amp;12Levél Községi Önkormányzat&amp;C&amp;"Arial,Félkövér"&amp;14ZÁRSZÁMADÁSI RENDELET - 2019. év
Kiadások összesen&amp;R&amp;"Arial,Normál"&amp;12 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C00000"/>
    <pageSetUpPr fitToPage="1"/>
  </sheetPr>
  <dimension ref="A1:J34"/>
  <sheetViews>
    <sheetView zoomScaleNormal="100" workbookViewId="0">
      <pane ySplit="2" topLeftCell="A3" activePane="bottomLeft" state="frozen"/>
      <selection pane="bottomLeft" activeCell="B33" sqref="B33"/>
    </sheetView>
  </sheetViews>
  <sheetFormatPr defaultColWidth="8.85546875" defaultRowHeight="15.75" x14ac:dyDescent="0.25"/>
  <cols>
    <col min="1" max="1" width="8.140625" style="435" bestFit="1" customWidth="1"/>
    <col min="2" max="2" width="66.7109375" style="436" bestFit="1" customWidth="1"/>
    <col min="3" max="3" width="14.28515625" style="437" bestFit="1" customWidth="1"/>
    <col min="4" max="9" width="14.28515625" style="436" bestFit="1" customWidth="1"/>
    <col min="10" max="10" width="11.7109375" style="438" bestFit="1" customWidth="1"/>
    <col min="11" max="16384" width="8.85546875" style="436"/>
  </cols>
  <sheetData>
    <row r="1" spans="1:10" s="388" customFormat="1" ht="16.5" thickBot="1" x14ac:dyDescent="0.3">
      <c r="A1" s="1290" t="s">
        <v>651</v>
      </c>
      <c r="B1" s="1291"/>
      <c r="C1" s="782">
        <v>2019</v>
      </c>
      <c r="D1" s="1295">
        <v>2019</v>
      </c>
      <c r="E1" s="1296"/>
      <c r="F1" s="1297" t="s">
        <v>667</v>
      </c>
      <c r="G1" s="1296"/>
      <c r="H1" s="1298">
        <v>2019</v>
      </c>
      <c r="I1" s="1299"/>
      <c r="J1" s="1292" t="s">
        <v>644</v>
      </c>
    </row>
    <row r="2" spans="1:10" s="388" customFormat="1" ht="16.5" thickBot="1" x14ac:dyDescent="0.3">
      <c r="A2" s="1290"/>
      <c r="B2" s="1291"/>
      <c r="C2" s="389" t="s">
        <v>57</v>
      </c>
      <c r="D2" s="1117" t="s">
        <v>786</v>
      </c>
      <c r="E2" s="390" t="s">
        <v>496</v>
      </c>
      <c r="F2" s="1116" t="s">
        <v>785</v>
      </c>
      <c r="G2" s="391" t="s">
        <v>496</v>
      </c>
      <c r="H2" s="1115" t="s">
        <v>784</v>
      </c>
      <c r="I2" s="392" t="s">
        <v>496</v>
      </c>
      <c r="J2" s="1292"/>
    </row>
    <row r="3" spans="1:10" s="395" customFormat="1" x14ac:dyDescent="0.2">
      <c r="A3" s="393" t="s">
        <v>351</v>
      </c>
      <c r="B3" s="394" t="s">
        <v>664</v>
      </c>
      <c r="C3" s="380"/>
      <c r="D3" s="1094"/>
      <c r="E3" s="1095"/>
      <c r="F3" s="1094"/>
      <c r="G3" s="1095"/>
      <c r="H3" s="1094"/>
      <c r="I3" s="1096"/>
      <c r="J3" s="305" t="str">
        <f t="shared" ref="J3:J27" si="0">IF(OR(I3="",I3=0),"",I3/H3)</f>
        <v/>
      </c>
    </row>
    <row r="4" spans="1:10" s="395" customFormat="1" hidden="1" x14ac:dyDescent="0.2">
      <c r="A4" s="396"/>
      <c r="B4" s="397" t="s">
        <v>665</v>
      </c>
      <c r="C4" s="381"/>
      <c r="D4" s="1097"/>
      <c r="E4" s="1098"/>
      <c r="F4" s="1097"/>
      <c r="G4" s="1098"/>
      <c r="H4" s="1097"/>
      <c r="I4" s="1099"/>
      <c r="J4" s="306" t="str">
        <f t="shared" si="0"/>
        <v/>
      </c>
    </row>
    <row r="5" spans="1:10" s="395" customFormat="1" hidden="1" x14ac:dyDescent="0.2">
      <c r="A5" s="398" t="s">
        <v>360</v>
      </c>
      <c r="B5" s="399" t="s">
        <v>15</v>
      </c>
      <c r="C5" s="382"/>
      <c r="D5" s="1100"/>
      <c r="E5" s="1101"/>
      <c r="F5" s="1100"/>
      <c r="G5" s="1101"/>
      <c r="H5" s="1100"/>
      <c r="I5" s="1102"/>
      <c r="J5" s="304" t="str">
        <f t="shared" si="0"/>
        <v/>
      </c>
    </row>
    <row r="6" spans="1:10" s="395" customFormat="1" hidden="1" x14ac:dyDescent="0.2">
      <c r="A6" s="398" t="s">
        <v>361</v>
      </c>
      <c r="B6" s="399" t="s">
        <v>16</v>
      </c>
      <c r="C6" s="382"/>
      <c r="D6" s="1100"/>
      <c r="E6" s="1101"/>
      <c r="F6" s="1100"/>
      <c r="G6" s="1101"/>
      <c r="H6" s="1100"/>
      <c r="I6" s="1102"/>
      <c r="J6" s="304" t="str">
        <f t="shared" si="0"/>
        <v/>
      </c>
    </row>
    <row r="7" spans="1:10" s="395" customFormat="1" hidden="1" x14ac:dyDescent="0.2">
      <c r="A7" s="398" t="s">
        <v>13</v>
      </c>
      <c r="B7" s="399" t="s">
        <v>357</v>
      </c>
      <c r="C7" s="382"/>
      <c r="D7" s="1100"/>
      <c r="E7" s="1101"/>
      <c r="F7" s="1100"/>
      <c r="G7" s="1101"/>
      <c r="H7" s="1100"/>
      <c r="I7" s="1102"/>
      <c r="J7" s="304" t="str">
        <f t="shared" si="0"/>
        <v/>
      </c>
    </row>
    <row r="8" spans="1:10" s="395" customFormat="1" hidden="1" x14ac:dyDescent="0.2">
      <c r="A8" s="398" t="s">
        <v>14</v>
      </c>
      <c r="B8" s="399" t="s">
        <v>17</v>
      </c>
      <c r="C8" s="382"/>
      <c r="D8" s="1100"/>
      <c r="E8" s="1101"/>
      <c r="F8" s="1100"/>
      <c r="G8" s="1101"/>
      <c r="H8" s="1100"/>
      <c r="I8" s="1102"/>
      <c r="J8" s="304" t="str">
        <f t="shared" si="0"/>
        <v/>
      </c>
    </row>
    <row r="9" spans="1:10" s="395" customFormat="1" x14ac:dyDescent="0.2">
      <c r="A9" s="400" t="s">
        <v>363</v>
      </c>
      <c r="B9" s="401" t="s">
        <v>666</v>
      </c>
      <c r="C9" s="383"/>
      <c r="D9" s="1103"/>
      <c r="E9" s="1104"/>
      <c r="F9" s="1103"/>
      <c r="G9" s="1104"/>
      <c r="H9" s="1103"/>
      <c r="I9" s="1105"/>
      <c r="J9" s="307" t="str">
        <f t="shared" si="0"/>
        <v/>
      </c>
    </row>
    <row r="10" spans="1:10" s="395" customFormat="1" hidden="1" x14ac:dyDescent="0.2">
      <c r="A10" s="402"/>
      <c r="B10" s="397" t="s">
        <v>665</v>
      </c>
      <c r="C10" s="381"/>
      <c r="D10" s="1097"/>
      <c r="E10" s="1098"/>
      <c r="F10" s="1097"/>
      <c r="G10" s="1098"/>
      <c r="H10" s="1097"/>
      <c r="I10" s="1099"/>
      <c r="J10" s="306" t="str">
        <f t="shared" si="0"/>
        <v/>
      </c>
    </row>
    <row r="11" spans="1:10" s="395" customFormat="1" x14ac:dyDescent="0.2">
      <c r="A11" s="400" t="s">
        <v>359</v>
      </c>
      <c r="B11" s="401" t="s">
        <v>358</v>
      </c>
      <c r="C11" s="383"/>
      <c r="D11" s="1103"/>
      <c r="E11" s="1104"/>
      <c r="F11" s="1103"/>
      <c r="G11" s="1104"/>
      <c r="H11" s="1103"/>
      <c r="I11" s="1105"/>
      <c r="J11" s="307" t="str">
        <f t="shared" si="0"/>
        <v/>
      </c>
    </row>
    <row r="12" spans="1:10" s="395" customFormat="1" hidden="1" x14ac:dyDescent="0.2">
      <c r="A12" s="402"/>
      <c r="B12" s="397" t="s">
        <v>665</v>
      </c>
      <c r="C12" s="381"/>
      <c r="D12" s="1097"/>
      <c r="E12" s="1098"/>
      <c r="F12" s="1097"/>
      <c r="G12" s="1098"/>
      <c r="H12" s="1097"/>
      <c r="I12" s="1099"/>
      <c r="J12" s="306" t="str">
        <f t="shared" si="0"/>
        <v/>
      </c>
    </row>
    <row r="13" spans="1:10" s="405" customFormat="1" ht="16.5" x14ac:dyDescent="0.2">
      <c r="A13" s="403" t="s">
        <v>352</v>
      </c>
      <c r="B13" s="404" t="s">
        <v>653</v>
      </c>
      <c r="C13" s="384"/>
      <c r="D13" s="385">
        <f>C13+138619</f>
        <v>138619</v>
      </c>
      <c r="E13" s="386">
        <v>138619</v>
      </c>
      <c r="F13" s="385">
        <v>207745</v>
      </c>
      <c r="G13" s="386">
        <v>207745</v>
      </c>
      <c r="H13" s="385">
        <v>276483</v>
      </c>
      <c r="I13" s="387">
        <v>276483</v>
      </c>
      <c r="J13" s="308">
        <f t="shared" si="0"/>
        <v>1</v>
      </c>
    </row>
    <row r="14" spans="1:10" s="395" customFormat="1" hidden="1" x14ac:dyDescent="0.2">
      <c r="A14" s="398"/>
      <c r="B14" s="406" t="s">
        <v>65</v>
      </c>
      <c r="C14" s="407"/>
      <c r="D14" s="1106"/>
      <c r="E14" s="1107"/>
      <c r="F14" s="1106"/>
      <c r="G14" s="1107"/>
      <c r="H14" s="1106"/>
      <c r="I14" s="1108"/>
      <c r="J14" s="408" t="str">
        <f t="shared" si="0"/>
        <v/>
      </c>
    </row>
    <row r="15" spans="1:10" s="395" customFormat="1" hidden="1" x14ac:dyDescent="0.2">
      <c r="A15" s="398" t="s">
        <v>18</v>
      </c>
      <c r="B15" s="409" t="s">
        <v>659</v>
      </c>
      <c r="C15" s="382"/>
      <c r="D15" s="1100"/>
      <c r="E15" s="1101"/>
      <c r="F15" s="1100"/>
      <c r="G15" s="1101"/>
      <c r="H15" s="1100"/>
      <c r="I15" s="1102"/>
      <c r="J15" s="304" t="str">
        <f t="shared" si="0"/>
        <v/>
      </c>
    </row>
    <row r="16" spans="1:10" s="395" customFormat="1" hidden="1" x14ac:dyDescent="0.2">
      <c r="A16" s="398" t="s">
        <v>19</v>
      </c>
      <c r="B16" s="410" t="s">
        <v>660</v>
      </c>
      <c r="C16" s="382"/>
      <c r="D16" s="1100"/>
      <c r="E16" s="1101"/>
      <c r="F16" s="1100"/>
      <c r="G16" s="1101"/>
      <c r="H16" s="1100"/>
      <c r="I16" s="1102"/>
      <c r="J16" s="304" t="str">
        <f t="shared" si="0"/>
        <v/>
      </c>
    </row>
    <row r="17" spans="1:10" s="395" customFormat="1" hidden="1" x14ac:dyDescent="0.2">
      <c r="A17" s="398" t="s">
        <v>22</v>
      </c>
      <c r="B17" s="410" t="s">
        <v>661</v>
      </c>
      <c r="C17" s="382"/>
      <c r="D17" s="1100"/>
      <c r="E17" s="1101"/>
      <c r="F17" s="1100"/>
      <c r="G17" s="1101"/>
      <c r="H17" s="1100"/>
      <c r="I17" s="1102"/>
      <c r="J17" s="304" t="str">
        <f t="shared" si="0"/>
        <v/>
      </c>
    </row>
    <row r="18" spans="1:10" s="395" customFormat="1" hidden="1" x14ac:dyDescent="0.2">
      <c r="A18" s="398" t="s">
        <v>20</v>
      </c>
      <c r="B18" s="409" t="s">
        <v>662</v>
      </c>
      <c r="C18" s="382"/>
      <c r="D18" s="1100"/>
      <c r="E18" s="1101"/>
      <c r="F18" s="1100"/>
      <c r="G18" s="1101"/>
      <c r="H18" s="1100"/>
      <c r="I18" s="1102"/>
      <c r="J18" s="304" t="str">
        <f t="shared" si="0"/>
        <v/>
      </c>
    </row>
    <row r="19" spans="1:10" s="395" customFormat="1" hidden="1" x14ac:dyDescent="0.2">
      <c r="A19" s="398" t="s">
        <v>21</v>
      </c>
      <c r="B19" s="411" t="s">
        <v>660</v>
      </c>
      <c r="C19" s="382"/>
      <c r="D19" s="1100"/>
      <c r="E19" s="1101"/>
      <c r="F19" s="1100"/>
      <c r="G19" s="1101"/>
      <c r="H19" s="1100"/>
      <c r="I19" s="1102"/>
      <c r="J19" s="304" t="str">
        <f t="shared" si="0"/>
        <v/>
      </c>
    </row>
    <row r="20" spans="1:10" s="395" customFormat="1" hidden="1" x14ac:dyDescent="0.2">
      <c r="A20" s="398" t="s">
        <v>23</v>
      </c>
      <c r="B20" s="410" t="s">
        <v>661</v>
      </c>
      <c r="C20" s="382"/>
      <c r="D20" s="1100"/>
      <c r="E20" s="1101"/>
      <c r="F20" s="1100"/>
      <c r="G20" s="1101"/>
      <c r="H20" s="1100"/>
      <c r="I20" s="1102"/>
      <c r="J20" s="304" t="str">
        <f t="shared" si="0"/>
        <v/>
      </c>
    </row>
    <row r="21" spans="1:10" s="395" customFormat="1" hidden="1" x14ac:dyDescent="0.2">
      <c r="A21" s="398"/>
      <c r="B21" s="412" t="s">
        <v>663</v>
      </c>
      <c r="C21" s="382"/>
      <c r="D21" s="1100"/>
      <c r="E21" s="1101"/>
      <c r="F21" s="1100"/>
      <c r="G21" s="1101"/>
      <c r="H21" s="1100"/>
      <c r="I21" s="1102"/>
      <c r="J21" s="304" t="str">
        <f t="shared" si="0"/>
        <v/>
      </c>
    </row>
    <row r="22" spans="1:10" s="405" customFormat="1" ht="16.5" x14ac:dyDescent="0.2">
      <c r="A22" s="403" t="s">
        <v>353</v>
      </c>
      <c r="B22" s="404" t="s">
        <v>654</v>
      </c>
      <c r="C22" s="384">
        <v>43679600</v>
      </c>
      <c r="D22" s="385">
        <f>C22</f>
        <v>43679600</v>
      </c>
      <c r="E22" s="386">
        <v>22685041</v>
      </c>
      <c r="F22" s="385">
        <v>43679600</v>
      </c>
      <c r="G22" s="386">
        <v>34623695</v>
      </c>
      <c r="H22" s="385">
        <v>44142975</v>
      </c>
      <c r="I22" s="387">
        <v>44142975</v>
      </c>
      <c r="J22" s="308">
        <f t="shared" si="0"/>
        <v>1</v>
      </c>
    </row>
    <row r="23" spans="1:10" s="395" customFormat="1" hidden="1" x14ac:dyDescent="0.2">
      <c r="A23" s="398"/>
      <c r="B23" s="413" t="s">
        <v>362</v>
      </c>
      <c r="C23" s="382"/>
      <c r="D23" s="1100"/>
      <c r="E23" s="1101"/>
      <c r="F23" s="1100"/>
      <c r="G23" s="1101"/>
      <c r="H23" s="1100"/>
      <c r="I23" s="1102"/>
      <c r="J23" s="304" t="str">
        <f t="shared" si="0"/>
        <v/>
      </c>
    </row>
    <row r="24" spans="1:10" s="395" customFormat="1" hidden="1" x14ac:dyDescent="0.2">
      <c r="A24" s="398"/>
      <c r="B24" s="413" t="s">
        <v>403</v>
      </c>
      <c r="C24" s="382"/>
      <c r="D24" s="1100"/>
      <c r="E24" s="1101"/>
      <c r="F24" s="1100"/>
      <c r="G24" s="1101"/>
      <c r="H24" s="1100"/>
      <c r="I24" s="1102"/>
      <c r="J24" s="304" t="str">
        <f t="shared" si="0"/>
        <v/>
      </c>
    </row>
    <row r="25" spans="1:10" s="395" customFormat="1" x14ac:dyDescent="0.2">
      <c r="A25" s="414"/>
      <c r="B25" s="413" t="s">
        <v>668</v>
      </c>
      <c r="C25" s="382">
        <v>10447209</v>
      </c>
      <c r="D25" s="1100">
        <f>C25</f>
        <v>10447209</v>
      </c>
      <c r="E25" s="1101">
        <v>5432550</v>
      </c>
      <c r="F25" s="1100">
        <v>10447209</v>
      </c>
      <c r="G25" s="1101">
        <v>8762025</v>
      </c>
      <c r="H25" s="1100">
        <v>11659375</v>
      </c>
      <c r="I25" s="1102">
        <v>11659375</v>
      </c>
      <c r="J25" s="304">
        <f t="shared" si="0"/>
        <v>1</v>
      </c>
    </row>
    <row r="26" spans="1:10" s="395" customFormat="1" hidden="1" x14ac:dyDescent="0.2">
      <c r="A26" s="398"/>
      <c r="B26" s="415" t="s">
        <v>354</v>
      </c>
      <c r="C26" s="407"/>
      <c r="D26" s="1106"/>
      <c r="E26" s="1107"/>
      <c r="F26" s="1106"/>
      <c r="G26" s="1107"/>
      <c r="H26" s="1106"/>
      <c r="I26" s="1108"/>
      <c r="J26" s="408" t="str">
        <f t="shared" si="0"/>
        <v/>
      </c>
    </row>
    <row r="27" spans="1:10" s="395" customFormat="1" hidden="1" x14ac:dyDescent="0.2">
      <c r="A27" s="402"/>
      <c r="B27" s="416" t="s">
        <v>665</v>
      </c>
      <c r="C27" s="417"/>
      <c r="D27" s="1109"/>
      <c r="E27" s="1110"/>
      <c r="F27" s="1109"/>
      <c r="G27" s="1110"/>
      <c r="H27" s="1109"/>
      <c r="I27" s="1111"/>
      <c r="J27" s="418" t="str">
        <f t="shared" si="0"/>
        <v/>
      </c>
    </row>
    <row r="28" spans="1:10" s="405" customFormat="1" ht="16.5" x14ac:dyDescent="0.2">
      <c r="A28" s="419" t="s">
        <v>355</v>
      </c>
      <c r="B28" s="404" t="s">
        <v>655</v>
      </c>
      <c r="C28" s="384">
        <f>SUM(C23:C27)</f>
        <v>10447209</v>
      </c>
      <c r="D28" s="385">
        <f t="shared" ref="D28:I28" si="1">SUM(D23:D27)</f>
        <v>10447209</v>
      </c>
      <c r="E28" s="386">
        <f t="shared" si="1"/>
        <v>5432550</v>
      </c>
      <c r="F28" s="385">
        <f t="shared" si="1"/>
        <v>10447209</v>
      </c>
      <c r="G28" s="386">
        <f t="shared" si="1"/>
        <v>8762025</v>
      </c>
      <c r="H28" s="385">
        <f t="shared" si="1"/>
        <v>11659375</v>
      </c>
      <c r="I28" s="387">
        <f t="shared" si="1"/>
        <v>11659375</v>
      </c>
      <c r="J28" s="308">
        <f>IF(OR(I28="",I28=0),"",I28/H28)</f>
        <v>1</v>
      </c>
    </row>
    <row r="29" spans="1:10" s="395" customFormat="1" x14ac:dyDescent="0.2">
      <c r="A29" s="398"/>
      <c r="B29" s="415" t="s">
        <v>573</v>
      </c>
      <c r="C29" s="407">
        <v>2386120</v>
      </c>
      <c r="D29" s="1106">
        <f>C29+193830</f>
        <v>2579950</v>
      </c>
      <c r="E29" s="1107">
        <v>1434614</v>
      </c>
      <c r="F29" s="1106">
        <v>2676375</v>
      </c>
      <c r="G29" s="1107">
        <v>2184709</v>
      </c>
      <c r="H29" s="1106">
        <v>2853253</v>
      </c>
      <c r="I29" s="1108">
        <v>2853253</v>
      </c>
      <c r="J29" s="408">
        <f t="shared" ref="J29:J34" si="2">IF(OR(I29="",I29=0),"",I29/H29)</f>
        <v>1</v>
      </c>
    </row>
    <row r="30" spans="1:10" s="395" customFormat="1" hidden="1" x14ac:dyDescent="0.2">
      <c r="A30" s="398"/>
      <c r="B30" s="415" t="s">
        <v>404</v>
      </c>
      <c r="C30" s="407"/>
      <c r="D30" s="1106"/>
      <c r="E30" s="1107"/>
      <c r="F30" s="1106"/>
      <c r="G30" s="1107"/>
      <c r="H30" s="1106"/>
      <c r="I30" s="1108"/>
      <c r="J30" s="408" t="str">
        <f t="shared" si="2"/>
        <v/>
      </c>
    </row>
    <row r="31" spans="1:10" s="405" customFormat="1" ht="16.5" x14ac:dyDescent="0.2">
      <c r="A31" s="403" t="s">
        <v>356</v>
      </c>
      <c r="B31" s="420" t="s">
        <v>656</v>
      </c>
      <c r="C31" s="421">
        <f>SUM(C29:C30)</f>
        <v>2386120</v>
      </c>
      <c r="D31" s="422">
        <f t="shared" ref="D31:I31" si="3">SUM(D29:D30)</f>
        <v>2579950</v>
      </c>
      <c r="E31" s="423">
        <f t="shared" si="3"/>
        <v>1434614</v>
      </c>
      <c r="F31" s="422">
        <f t="shared" si="3"/>
        <v>2676375</v>
      </c>
      <c r="G31" s="423">
        <f t="shared" si="3"/>
        <v>2184709</v>
      </c>
      <c r="H31" s="422">
        <f t="shared" si="3"/>
        <v>2853253</v>
      </c>
      <c r="I31" s="424">
        <f t="shared" si="3"/>
        <v>2853253</v>
      </c>
      <c r="J31" s="425">
        <f t="shared" si="2"/>
        <v>1</v>
      </c>
    </row>
    <row r="32" spans="1:10" s="405" customFormat="1" ht="16.5" x14ac:dyDescent="0.2">
      <c r="A32" s="403" t="s">
        <v>405</v>
      </c>
      <c r="B32" s="420" t="s">
        <v>657</v>
      </c>
      <c r="C32" s="421"/>
      <c r="D32" s="422"/>
      <c r="E32" s="423"/>
      <c r="F32" s="422">
        <v>457200</v>
      </c>
      <c r="G32" s="423">
        <v>457200</v>
      </c>
      <c r="H32" s="422">
        <v>457200</v>
      </c>
      <c r="I32" s="424">
        <v>457200</v>
      </c>
      <c r="J32" s="425">
        <f t="shared" si="2"/>
        <v>1</v>
      </c>
    </row>
    <row r="33" spans="1:10" s="405" customFormat="1" ht="17.25" thickBot="1" x14ac:dyDescent="0.25">
      <c r="A33" s="426" t="s">
        <v>626</v>
      </c>
      <c r="B33" s="427" t="s">
        <v>658</v>
      </c>
      <c r="C33" s="428"/>
      <c r="D33" s="1112"/>
      <c r="E33" s="1113"/>
      <c r="F33" s="1112">
        <v>834667</v>
      </c>
      <c r="G33" s="1113">
        <v>834667</v>
      </c>
      <c r="H33" s="1112">
        <v>834667</v>
      </c>
      <c r="I33" s="1114">
        <v>834667</v>
      </c>
      <c r="J33" s="429">
        <f t="shared" si="2"/>
        <v>1</v>
      </c>
    </row>
    <row r="34" spans="1:10" s="395" customFormat="1" ht="19.5" thickBot="1" x14ac:dyDescent="0.25">
      <c r="A34" s="1293" t="s">
        <v>652</v>
      </c>
      <c r="B34" s="1294"/>
      <c r="C34" s="430">
        <f>SUM(C33,C32,C31,C28,C22,C13)</f>
        <v>56512929</v>
      </c>
      <c r="D34" s="431">
        <f t="shared" ref="D34:I34" si="4">SUM(D33,D32,D31,D28,D22,D13)</f>
        <v>56845378</v>
      </c>
      <c r="E34" s="432">
        <f t="shared" si="4"/>
        <v>29690824</v>
      </c>
      <c r="F34" s="431">
        <f t="shared" si="4"/>
        <v>58302796</v>
      </c>
      <c r="G34" s="432">
        <f t="shared" si="4"/>
        <v>47070041</v>
      </c>
      <c r="H34" s="431">
        <f t="shared" si="4"/>
        <v>60223953</v>
      </c>
      <c r="I34" s="433">
        <f t="shared" si="4"/>
        <v>60223953</v>
      </c>
      <c r="J34" s="434">
        <f t="shared" si="2"/>
        <v>1</v>
      </c>
    </row>
  </sheetData>
  <sheetProtection algorithmName="SHA-512" hashValue="5tp3ol3fO2L1hT5OHA+WJmWFUqwWxknI/fG95dzulDoS0gvtwf9ku49VoyDLULYiWau9ktlArRAAYAOxXvUAyQ==" saltValue="tso9X8F/ICsed/PZxLRTGg==" spinCount="100000" sheet="1" formatCells="0" formatColumns="0" formatRows="0" insertColumns="0" insertRows="0" insertHyperlinks="0" deleteColumns="0" deleteRows="0" sort="0" autoFilter="0" pivotTables="0"/>
  <mergeCells count="6">
    <mergeCell ref="A1:B2"/>
    <mergeCell ref="J1:J2"/>
    <mergeCell ref="A34:B34"/>
    <mergeCell ref="D1:E1"/>
    <mergeCell ref="F1:G1"/>
    <mergeCell ref="H1:I1"/>
  </mergeCells>
  <phoneticPr fontId="2" type="noConversion"/>
  <printOptions horizontalCentered="1"/>
  <pageMargins left="0.59055118110236227" right="0.59055118110236227" top="0.94488188976377963" bottom="0.74803149606299213" header="0.35433070866141736" footer="0.31496062992125984"/>
  <pageSetup paperSize="9" scale="73" orientation="landscape" r:id="rId1"/>
  <headerFooter>
    <oddHeader>&amp;L&amp;"Arial,Normál"Levél Községi Önkormányzat&amp;C&amp;"Arial,Félkövér"&amp;12ZÁRSZÁMADÁSI RENDELET - 2019. év
Állami támogatások&amp;R&amp;"Arial,Normál"&amp;8 5.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rgb="FFC00000"/>
    <pageSetUpPr fitToPage="1"/>
  </sheetPr>
  <dimension ref="A1:J62"/>
  <sheetViews>
    <sheetView zoomScale="80" zoomScaleNormal="80" workbookViewId="0">
      <pane ySplit="2" topLeftCell="A3" activePane="bottomLeft" state="frozen"/>
      <selection pane="bottomLeft" activeCell="G30" sqref="G30"/>
    </sheetView>
  </sheetViews>
  <sheetFormatPr defaultColWidth="9.140625" defaultRowHeight="15.75" x14ac:dyDescent="0.25"/>
  <cols>
    <col min="1" max="1" width="5.28515625" style="988" customWidth="1"/>
    <col min="2" max="2" width="85.85546875" style="436" customWidth="1"/>
    <col min="3" max="3" width="17.7109375" style="1090" bestFit="1" customWidth="1"/>
    <col min="4" max="4" width="17.7109375" style="1091" bestFit="1" customWidth="1"/>
    <col min="5" max="5" width="16" style="1091" bestFit="1" customWidth="1"/>
    <col min="6" max="6" width="17.7109375" style="1091" bestFit="1" customWidth="1"/>
    <col min="7" max="7" width="16" style="1091" bestFit="1" customWidth="1"/>
    <col min="8" max="8" width="17.7109375" style="1091" bestFit="1" customWidth="1"/>
    <col min="9" max="9" width="16" style="1091" bestFit="1" customWidth="1"/>
    <col min="10" max="10" width="11.7109375" style="436" bestFit="1" customWidth="1"/>
    <col min="11" max="16384" width="9.140625" style="1048"/>
  </cols>
  <sheetData>
    <row r="1" spans="1:10" ht="16.5" thickBot="1" x14ac:dyDescent="0.3">
      <c r="A1" s="1303" t="s">
        <v>222</v>
      </c>
      <c r="B1" s="1302" t="s">
        <v>202</v>
      </c>
      <c r="C1" s="1309" t="s">
        <v>722</v>
      </c>
      <c r="D1" s="1304">
        <v>2019</v>
      </c>
      <c r="E1" s="1305"/>
      <c r="F1" s="1308" t="s">
        <v>642</v>
      </c>
      <c r="G1" s="1308"/>
      <c r="H1" s="1306">
        <v>2019</v>
      </c>
      <c r="I1" s="1307"/>
      <c r="J1" s="1292" t="s">
        <v>762</v>
      </c>
    </row>
    <row r="2" spans="1:10" s="1049" customFormat="1" ht="32.25" thickBot="1" x14ac:dyDescent="0.25">
      <c r="A2" s="1303"/>
      <c r="B2" s="1302"/>
      <c r="C2" s="1310"/>
      <c r="D2" s="779" t="s">
        <v>724</v>
      </c>
      <c r="E2" s="780" t="s">
        <v>496</v>
      </c>
      <c r="F2" s="779" t="s">
        <v>760</v>
      </c>
      <c r="G2" s="780" t="s">
        <v>496</v>
      </c>
      <c r="H2" s="779" t="s">
        <v>761</v>
      </c>
      <c r="I2" s="781" t="s">
        <v>496</v>
      </c>
      <c r="J2" s="1292"/>
    </row>
    <row r="3" spans="1:10" s="1049" customFormat="1" x14ac:dyDescent="0.25">
      <c r="A3" s="1050"/>
      <c r="B3" s="1051" t="s">
        <v>491</v>
      </c>
      <c r="C3" s="1052">
        <v>220000</v>
      </c>
      <c r="D3" s="1053">
        <v>220000</v>
      </c>
      <c r="E3" s="1054">
        <v>0</v>
      </c>
      <c r="F3" s="1053">
        <v>220000</v>
      </c>
      <c r="G3" s="1054">
        <v>0</v>
      </c>
      <c r="H3" s="1053">
        <v>220000</v>
      </c>
      <c r="I3" s="1055">
        <v>0</v>
      </c>
      <c r="J3" s="1056" t="str">
        <f t="shared" ref="J3:J60" si="0">IF(OR(I3="",I3=0),"",I3/H3)</f>
        <v/>
      </c>
    </row>
    <row r="4" spans="1:10" x14ac:dyDescent="0.25">
      <c r="A4" s="1057" t="s">
        <v>188</v>
      </c>
      <c r="B4" s="1058" t="s">
        <v>512</v>
      </c>
      <c r="C4" s="1059">
        <f t="shared" ref="C4" si="1">SUM(C3:C3)</f>
        <v>220000</v>
      </c>
      <c r="D4" s="1060">
        <f t="shared" ref="D4" si="2">SUM(D3:D3)</f>
        <v>220000</v>
      </c>
      <c r="E4" s="1061">
        <f t="shared" ref="E4" si="3">SUM(E3:E3)</f>
        <v>0</v>
      </c>
      <c r="F4" s="1060">
        <f t="shared" ref="F4" si="4">SUM(F3:F3)</f>
        <v>220000</v>
      </c>
      <c r="G4" s="1061">
        <f t="shared" ref="G4" si="5">SUM(G3:G3)</f>
        <v>0</v>
      </c>
      <c r="H4" s="1060">
        <f t="shared" ref="H4" si="6">SUM(H3:H3)</f>
        <v>220000</v>
      </c>
      <c r="I4" s="1062">
        <f t="shared" ref="I4" si="7">SUM(I3:I3)</f>
        <v>0</v>
      </c>
      <c r="J4" s="1063" t="str">
        <f t="shared" si="0"/>
        <v/>
      </c>
    </row>
    <row r="5" spans="1:10" x14ac:dyDescent="0.25">
      <c r="A5" s="1064"/>
      <c r="B5" s="998" t="s">
        <v>492</v>
      </c>
      <c r="C5" s="1065">
        <v>10000000</v>
      </c>
      <c r="D5" s="1066">
        <f>C5</f>
        <v>10000000</v>
      </c>
      <c r="E5" s="1067">
        <v>0</v>
      </c>
      <c r="F5" s="1066">
        <v>10000000</v>
      </c>
      <c r="G5" s="1067">
        <v>0</v>
      </c>
      <c r="H5" s="1066">
        <v>10000000</v>
      </c>
      <c r="I5" s="1068">
        <v>0</v>
      </c>
      <c r="J5" s="408" t="str">
        <f t="shared" si="0"/>
        <v/>
      </c>
    </row>
    <row r="6" spans="1:10" x14ac:dyDescent="0.25">
      <c r="A6" s="1064"/>
      <c r="B6" s="998" t="s">
        <v>502</v>
      </c>
      <c r="C6" s="1065">
        <v>5200000</v>
      </c>
      <c r="D6" s="1066">
        <f>C6+250500</f>
        <v>5450500</v>
      </c>
      <c r="E6" s="1067">
        <v>5450500</v>
      </c>
      <c r="F6" s="1066">
        <v>5450500</v>
      </c>
      <c r="G6" s="1067">
        <v>5450500</v>
      </c>
      <c r="H6" s="1066">
        <v>5450500</v>
      </c>
      <c r="I6" s="1068">
        <v>5450500</v>
      </c>
      <c r="J6" s="408">
        <f t="shared" si="0"/>
        <v>1</v>
      </c>
    </row>
    <row r="7" spans="1:10" x14ac:dyDescent="0.25">
      <c r="A7" s="1064"/>
      <c r="B7" s="998" t="s">
        <v>503</v>
      </c>
      <c r="C7" s="1065">
        <v>21000000</v>
      </c>
      <c r="D7" s="1066">
        <f>C7</f>
        <v>21000000</v>
      </c>
      <c r="E7" s="1067">
        <v>21000000</v>
      </c>
      <c r="F7" s="1066">
        <v>21000000</v>
      </c>
      <c r="G7" s="1067">
        <v>21000000</v>
      </c>
      <c r="H7" s="1066">
        <v>21000000</v>
      </c>
      <c r="I7" s="1068">
        <v>21000000</v>
      </c>
      <c r="J7" s="408">
        <f t="shared" si="0"/>
        <v>1</v>
      </c>
    </row>
    <row r="8" spans="1:10" x14ac:dyDescent="0.25">
      <c r="A8" s="1064"/>
      <c r="B8" s="998" t="s">
        <v>504</v>
      </c>
      <c r="C8" s="1065">
        <v>1900000</v>
      </c>
      <c r="D8" s="1066">
        <f>C8</f>
        <v>1900000</v>
      </c>
      <c r="E8" s="1067">
        <v>0</v>
      </c>
      <c r="F8" s="1066">
        <v>1900000</v>
      </c>
      <c r="G8" s="1067">
        <v>0</v>
      </c>
      <c r="H8" s="1066">
        <v>0</v>
      </c>
      <c r="I8" s="1068">
        <v>0</v>
      </c>
      <c r="J8" s="408" t="str">
        <f t="shared" si="0"/>
        <v/>
      </c>
    </row>
    <row r="9" spans="1:10" x14ac:dyDescent="0.25">
      <c r="A9" s="1064"/>
      <c r="B9" s="998" t="s">
        <v>505</v>
      </c>
      <c r="C9" s="1065">
        <v>30000000</v>
      </c>
      <c r="D9" s="1066">
        <f>C9+15947490</f>
        <v>45947490</v>
      </c>
      <c r="E9" s="1067">
        <v>0</v>
      </c>
      <c r="F9" s="1066">
        <v>45947490</v>
      </c>
      <c r="G9" s="1067">
        <v>0</v>
      </c>
      <c r="H9" s="1066">
        <v>45947490</v>
      </c>
      <c r="I9" s="1068">
        <v>0</v>
      </c>
      <c r="J9" s="408" t="str">
        <f t="shared" si="0"/>
        <v/>
      </c>
    </row>
    <row r="10" spans="1:10" x14ac:dyDescent="0.25">
      <c r="A10" s="1064"/>
      <c r="B10" s="998" t="s">
        <v>506</v>
      </c>
      <c r="C10" s="1065">
        <v>1100000</v>
      </c>
      <c r="D10" s="1066">
        <f>C10</f>
        <v>1100000</v>
      </c>
      <c r="E10" s="1067">
        <v>0</v>
      </c>
      <c r="F10" s="1066">
        <v>1100000</v>
      </c>
      <c r="G10" s="1067">
        <v>1539200</v>
      </c>
      <c r="H10" s="1066">
        <v>1136200</v>
      </c>
      <c r="I10" s="1068">
        <v>1539200</v>
      </c>
      <c r="J10" s="408">
        <f t="shared" si="0"/>
        <v>1.3546910755148742</v>
      </c>
    </row>
    <row r="11" spans="1:10" x14ac:dyDescent="0.25">
      <c r="A11" s="1064"/>
      <c r="B11" s="998" t="s">
        <v>507</v>
      </c>
      <c r="C11" s="1065">
        <v>2300000</v>
      </c>
      <c r="D11" s="1066">
        <f>C11</f>
        <v>2300000</v>
      </c>
      <c r="E11" s="1067">
        <v>0</v>
      </c>
      <c r="F11" s="1066">
        <v>2300000</v>
      </c>
      <c r="G11" s="1067">
        <v>0</v>
      </c>
      <c r="H11" s="1066">
        <v>2300000</v>
      </c>
      <c r="I11" s="1068">
        <v>0</v>
      </c>
      <c r="J11" s="408" t="str">
        <f t="shared" si="0"/>
        <v/>
      </c>
    </row>
    <row r="12" spans="1:10" x14ac:dyDescent="0.25">
      <c r="A12" s="1064"/>
      <c r="B12" s="998" t="s">
        <v>508</v>
      </c>
      <c r="C12" s="1065">
        <v>1000000</v>
      </c>
      <c r="D12" s="1066">
        <f>C12</f>
        <v>1000000</v>
      </c>
      <c r="E12" s="1067">
        <v>0</v>
      </c>
      <c r="F12" s="1066">
        <v>1000000</v>
      </c>
      <c r="G12" s="1067">
        <v>0</v>
      </c>
      <c r="H12" s="1066">
        <v>1000000</v>
      </c>
      <c r="I12" s="1068">
        <v>987000</v>
      </c>
      <c r="J12" s="408">
        <f t="shared" si="0"/>
        <v>0.98699999999999999</v>
      </c>
    </row>
    <row r="13" spans="1:10" x14ac:dyDescent="0.25">
      <c r="A13" s="1064"/>
      <c r="B13" s="998" t="s">
        <v>509</v>
      </c>
      <c r="C13" s="1065">
        <v>0</v>
      </c>
      <c r="D13" s="1066">
        <f>C13</f>
        <v>0</v>
      </c>
      <c r="E13" s="1067">
        <v>385000</v>
      </c>
      <c r="F13" s="1066">
        <v>0</v>
      </c>
      <c r="G13" s="1067">
        <v>385000</v>
      </c>
      <c r="H13" s="1066">
        <v>385000</v>
      </c>
      <c r="I13" s="1068">
        <v>385000</v>
      </c>
      <c r="J13" s="408">
        <f t="shared" si="0"/>
        <v>1</v>
      </c>
    </row>
    <row r="14" spans="1:10" x14ac:dyDescent="0.25">
      <c r="A14" s="1064"/>
      <c r="B14" s="998" t="s">
        <v>511</v>
      </c>
      <c r="C14" s="1065">
        <v>0</v>
      </c>
      <c r="D14" s="1066">
        <v>319000</v>
      </c>
      <c r="E14" s="1067">
        <v>319000</v>
      </c>
      <c r="F14" s="1066">
        <v>319000</v>
      </c>
      <c r="G14" s="1067">
        <v>319000</v>
      </c>
      <c r="H14" s="1066">
        <v>319000</v>
      </c>
      <c r="I14" s="1068">
        <v>319000</v>
      </c>
      <c r="J14" s="408">
        <f t="shared" si="0"/>
        <v>1</v>
      </c>
    </row>
    <row r="15" spans="1:10" x14ac:dyDescent="0.25">
      <c r="A15" s="1064"/>
      <c r="B15" s="998" t="s">
        <v>510</v>
      </c>
      <c r="C15" s="1065">
        <v>0</v>
      </c>
      <c r="D15" s="1066">
        <v>260100</v>
      </c>
      <c r="E15" s="1067">
        <v>260100</v>
      </c>
      <c r="F15" s="1066">
        <v>260100</v>
      </c>
      <c r="G15" s="1067">
        <v>260100</v>
      </c>
      <c r="H15" s="1066">
        <v>260100</v>
      </c>
      <c r="I15" s="1068">
        <v>260100</v>
      </c>
      <c r="J15" s="408">
        <f t="shared" si="0"/>
        <v>1</v>
      </c>
    </row>
    <row r="16" spans="1:10" x14ac:dyDescent="0.25">
      <c r="A16" s="1064"/>
      <c r="B16" s="998" t="s">
        <v>530</v>
      </c>
      <c r="C16" s="1065">
        <v>0</v>
      </c>
      <c r="D16" s="1066">
        <f>C16</f>
        <v>0</v>
      </c>
      <c r="E16" s="1067">
        <v>0</v>
      </c>
      <c r="F16" s="1066">
        <v>0</v>
      </c>
      <c r="G16" s="1067">
        <v>0</v>
      </c>
      <c r="H16" s="1066">
        <v>403000</v>
      </c>
      <c r="I16" s="1068">
        <v>0</v>
      </c>
      <c r="J16" s="408" t="str">
        <f t="shared" ref="J16" si="8">IF(OR(I16="",I16=0),"",I16/H16)</f>
        <v/>
      </c>
    </row>
    <row r="17" spans="1:10" x14ac:dyDescent="0.25">
      <c r="A17" s="1057" t="s">
        <v>189</v>
      </c>
      <c r="B17" s="1058" t="s">
        <v>513</v>
      </c>
      <c r="C17" s="1059">
        <f>SUM(C5:C16)</f>
        <v>72500000</v>
      </c>
      <c r="D17" s="1060">
        <f t="shared" ref="D17:I17" si="9">SUM(D5:D16)</f>
        <v>89277090</v>
      </c>
      <c r="E17" s="1061">
        <f t="shared" si="9"/>
        <v>27414600</v>
      </c>
      <c r="F17" s="1060">
        <f t="shared" si="9"/>
        <v>89277090</v>
      </c>
      <c r="G17" s="1061">
        <f t="shared" si="9"/>
        <v>28953800</v>
      </c>
      <c r="H17" s="1060">
        <f t="shared" si="9"/>
        <v>88201290</v>
      </c>
      <c r="I17" s="1062">
        <f t="shared" si="9"/>
        <v>29940800</v>
      </c>
      <c r="J17" s="1063">
        <f t="shared" si="0"/>
        <v>0.33945988771819552</v>
      </c>
    </row>
    <row r="18" spans="1:10" x14ac:dyDescent="0.25">
      <c r="A18" s="1064"/>
      <c r="B18" s="998" t="s">
        <v>515</v>
      </c>
      <c r="C18" s="1065">
        <v>23675</v>
      </c>
      <c r="D18" s="1066">
        <f>C18+46340</f>
        <v>70015</v>
      </c>
      <c r="E18" s="1067">
        <v>0</v>
      </c>
      <c r="F18" s="1066">
        <v>23675</v>
      </c>
      <c r="G18" s="1067">
        <v>0</v>
      </c>
      <c r="H18" s="1066">
        <v>0</v>
      </c>
      <c r="I18" s="1068"/>
      <c r="J18" s="408" t="str">
        <f t="shared" si="0"/>
        <v/>
      </c>
    </row>
    <row r="19" spans="1:10" x14ac:dyDescent="0.25">
      <c r="A19" s="1064"/>
      <c r="B19" s="998" t="s">
        <v>516</v>
      </c>
      <c r="C19" s="1065">
        <v>0</v>
      </c>
      <c r="D19" s="1066">
        <v>0</v>
      </c>
      <c r="E19" s="1067">
        <v>23543</v>
      </c>
      <c r="F19" s="1066">
        <v>0</v>
      </c>
      <c r="G19" s="1067">
        <v>23543</v>
      </c>
      <c r="H19" s="1066">
        <v>23543</v>
      </c>
      <c r="I19" s="1068">
        <v>23543</v>
      </c>
      <c r="J19" s="408">
        <f t="shared" si="0"/>
        <v>1</v>
      </c>
    </row>
    <row r="20" spans="1:10" x14ac:dyDescent="0.25">
      <c r="A20" s="1057" t="s">
        <v>190</v>
      </c>
      <c r="B20" s="1058" t="s">
        <v>514</v>
      </c>
      <c r="C20" s="1059">
        <f>SUM(C18:C19)</f>
        <v>23675</v>
      </c>
      <c r="D20" s="1060">
        <f t="shared" ref="D20:I20" si="10">SUM(D18:D19)</f>
        <v>70015</v>
      </c>
      <c r="E20" s="1061">
        <f t="shared" si="10"/>
        <v>23543</v>
      </c>
      <c r="F20" s="1060">
        <f t="shared" si="10"/>
        <v>23675</v>
      </c>
      <c r="G20" s="1061">
        <f t="shared" si="10"/>
        <v>23543</v>
      </c>
      <c r="H20" s="1060">
        <f t="shared" si="10"/>
        <v>23543</v>
      </c>
      <c r="I20" s="1062">
        <f t="shared" si="10"/>
        <v>23543</v>
      </c>
      <c r="J20" s="1063">
        <f t="shared" si="0"/>
        <v>1</v>
      </c>
    </row>
    <row r="21" spans="1:10" x14ac:dyDescent="0.25">
      <c r="A21" s="1064"/>
      <c r="B21" s="998" t="s">
        <v>521</v>
      </c>
      <c r="C21" s="1065">
        <v>1265000</v>
      </c>
      <c r="D21" s="1066">
        <f>C21</f>
        <v>1265000</v>
      </c>
      <c r="E21" s="1067">
        <v>0</v>
      </c>
      <c r="F21" s="1066">
        <v>1265000</v>
      </c>
      <c r="G21" s="1067">
        <v>1265000</v>
      </c>
      <c r="H21" s="1066">
        <v>1265000</v>
      </c>
      <c r="I21" s="1068">
        <v>1265000</v>
      </c>
      <c r="J21" s="408">
        <f t="shared" si="0"/>
        <v>1</v>
      </c>
    </row>
    <row r="22" spans="1:10" x14ac:dyDescent="0.25">
      <c r="A22" s="1064"/>
      <c r="B22" s="998" t="s">
        <v>522</v>
      </c>
      <c r="C22" s="1065">
        <v>120000</v>
      </c>
      <c r="D22" s="1066">
        <f t="shared" ref="D22:D29" si="11">C22</f>
        <v>120000</v>
      </c>
      <c r="E22" s="1067">
        <v>0</v>
      </c>
      <c r="F22" s="1066">
        <v>120000</v>
      </c>
      <c r="G22" s="1067">
        <v>0</v>
      </c>
      <c r="H22" s="1066">
        <v>120000</v>
      </c>
      <c r="I22" s="1068">
        <v>0</v>
      </c>
      <c r="J22" s="408" t="str">
        <f t="shared" si="0"/>
        <v/>
      </c>
    </row>
    <row r="23" spans="1:10" x14ac:dyDescent="0.25">
      <c r="A23" s="1064"/>
      <c r="B23" s="998" t="s">
        <v>523</v>
      </c>
      <c r="C23" s="1065">
        <v>300000</v>
      </c>
      <c r="D23" s="1066">
        <f t="shared" si="11"/>
        <v>300000</v>
      </c>
      <c r="E23" s="1067">
        <v>0</v>
      </c>
      <c r="F23" s="1066">
        <v>300000</v>
      </c>
      <c r="G23" s="1067">
        <v>0</v>
      </c>
      <c r="H23" s="1066">
        <v>300000</v>
      </c>
      <c r="I23" s="1068">
        <v>261500</v>
      </c>
      <c r="J23" s="408">
        <f t="shared" si="0"/>
        <v>0.8716666666666667</v>
      </c>
    </row>
    <row r="24" spans="1:10" x14ac:dyDescent="0.25">
      <c r="A24" s="1064"/>
      <c r="B24" s="998" t="s">
        <v>524</v>
      </c>
      <c r="C24" s="1065">
        <v>500000</v>
      </c>
      <c r="D24" s="1066">
        <f t="shared" si="11"/>
        <v>500000</v>
      </c>
      <c r="E24" s="1067">
        <v>0</v>
      </c>
      <c r="F24" s="1066">
        <v>520370</v>
      </c>
      <c r="G24" s="1067">
        <v>520370</v>
      </c>
      <c r="H24" s="1066">
        <v>520370</v>
      </c>
      <c r="I24" s="1068">
        <v>520370</v>
      </c>
      <c r="J24" s="408">
        <f t="shared" si="0"/>
        <v>1</v>
      </c>
    </row>
    <row r="25" spans="1:10" x14ac:dyDescent="0.25">
      <c r="A25" s="1064"/>
      <c r="B25" s="998" t="s">
        <v>525</v>
      </c>
      <c r="C25" s="1065">
        <v>1267388</v>
      </c>
      <c r="D25" s="1066">
        <f>C25+981271</f>
        <v>2248659</v>
      </c>
      <c r="E25" s="1067">
        <v>0</v>
      </c>
      <c r="F25" s="1066">
        <v>6072528</v>
      </c>
      <c r="G25" s="1067">
        <v>6081028</v>
      </c>
      <c r="H25" s="1066">
        <v>6081028</v>
      </c>
      <c r="I25" s="1068">
        <v>6081028</v>
      </c>
      <c r="J25" s="408">
        <f t="shared" si="0"/>
        <v>1</v>
      </c>
    </row>
    <row r="26" spans="1:10" x14ac:dyDescent="0.25">
      <c r="A26" s="1064"/>
      <c r="B26" s="998" t="s">
        <v>526</v>
      </c>
      <c r="C26" s="1065">
        <v>40000</v>
      </c>
      <c r="D26" s="1066">
        <f t="shared" si="11"/>
        <v>40000</v>
      </c>
      <c r="E26" s="1067">
        <v>0</v>
      </c>
      <c r="F26" s="1066">
        <v>40000</v>
      </c>
      <c r="G26" s="1067">
        <v>0</v>
      </c>
      <c r="H26" s="1066">
        <v>0</v>
      </c>
      <c r="I26" s="1068">
        <v>0</v>
      </c>
      <c r="J26" s="408" t="str">
        <f t="shared" si="0"/>
        <v/>
      </c>
    </row>
    <row r="27" spans="1:10" x14ac:dyDescent="0.25">
      <c r="A27" s="1064"/>
      <c r="B27" s="998" t="s">
        <v>527</v>
      </c>
      <c r="C27" s="1065">
        <v>250000</v>
      </c>
      <c r="D27" s="1066">
        <f t="shared" si="11"/>
        <v>250000</v>
      </c>
      <c r="E27" s="1067">
        <v>250000</v>
      </c>
      <c r="F27" s="1066">
        <v>250000</v>
      </c>
      <c r="G27" s="1067">
        <v>250000</v>
      </c>
      <c r="H27" s="1066">
        <v>250000</v>
      </c>
      <c r="I27" s="1068">
        <v>250000</v>
      </c>
      <c r="J27" s="408">
        <f t="shared" si="0"/>
        <v>1</v>
      </c>
    </row>
    <row r="28" spans="1:10" x14ac:dyDescent="0.25">
      <c r="A28" s="1064"/>
      <c r="B28" s="998" t="s">
        <v>528</v>
      </c>
      <c r="C28" s="1065">
        <v>649606</v>
      </c>
      <c r="D28" s="1066">
        <f t="shared" si="11"/>
        <v>649606</v>
      </c>
      <c r="E28" s="1067">
        <v>644130</v>
      </c>
      <c r="F28" s="1066">
        <v>649606</v>
      </c>
      <c r="G28" s="1067">
        <v>644130</v>
      </c>
      <c r="H28" s="1066">
        <v>649606</v>
      </c>
      <c r="I28" s="1068">
        <v>644130</v>
      </c>
      <c r="J28" s="408">
        <f t="shared" si="0"/>
        <v>0.9915702749050963</v>
      </c>
    </row>
    <row r="29" spans="1:10" x14ac:dyDescent="0.25">
      <c r="A29" s="1064"/>
      <c r="B29" s="998" t="s">
        <v>529</v>
      </c>
      <c r="C29" s="1065">
        <v>50000</v>
      </c>
      <c r="D29" s="1066">
        <f t="shared" si="11"/>
        <v>50000</v>
      </c>
      <c r="E29" s="1067">
        <v>0</v>
      </c>
      <c r="F29" s="1066">
        <v>50000</v>
      </c>
      <c r="G29" s="1067">
        <v>0</v>
      </c>
      <c r="H29" s="1066">
        <v>50000</v>
      </c>
      <c r="I29" s="1068">
        <v>32598</v>
      </c>
      <c r="J29" s="408">
        <f t="shared" si="0"/>
        <v>0.65195999999999998</v>
      </c>
    </row>
    <row r="30" spans="1:10" x14ac:dyDescent="0.25">
      <c r="A30" s="1064"/>
      <c r="B30" s="998" t="s">
        <v>772</v>
      </c>
      <c r="C30" s="1065">
        <v>0</v>
      </c>
      <c r="D30" s="1066">
        <v>0</v>
      </c>
      <c r="E30" s="1067">
        <v>0</v>
      </c>
      <c r="F30" s="1066">
        <v>0</v>
      </c>
      <c r="G30" s="1067">
        <v>0</v>
      </c>
      <c r="H30" s="1066">
        <v>1360000</v>
      </c>
      <c r="I30" s="1068">
        <v>1360000</v>
      </c>
      <c r="J30" s="408">
        <f t="shared" si="0"/>
        <v>1</v>
      </c>
    </row>
    <row r="31" spans="1:10" s="1071" customFormat="1" ht="94.5" x14ac:dyDescent="0.2">
      <c r="A31" s="1069"/>
      <c r="B31" s="1070" t="s">
        <v>778</v>
      </c>
      <c r="C31" s="1065">
        <v>600000</v>
      </c>
      <c r="D31" s="1066">
        <f>C31-46340+37449+95410</f>
        <v>686519</v>
      </c>
      <c r="E31" s="1067">
        <v>295641</v>
      </c>
      <c r="F31" s="1066">
        <v>1049525</v>
      </c>
      <c r="G31" s="1067">
        <v>773206</v>
      </c>
      <c r="H31" s="1066">
        <v>1099525</v>
      </c>
      <c r="I31" s="1068">
        <v>1242262</v>
      </c>
      <c r="J31" s="408">
        <f t="shared" si="0"/>
        <v>1.1298169664173165</v>
      </c>
    </row>
    <row r="32" spans="1:10" x14ac:dyDescent="0.25">
      <c r="A32" s="1057" t="s">
        <v>191</v>
      </c>
      <c r="B32" s="1058" t="s">
        <v>517</v>
      </c>
      <c r="C32" s="1059">
        <f t="shared" ref="C32:I32" si="12">SUM(C21:C31)</f>
        <v>5041994</v>
      </c>
      <c r="D32" s="1060">
        <f t="shared" si="12"/>
        <v>6109784</v>
      </c>
      <c r="E32" s="1061">
        <f t="shared" si="12"/>
        <v>1189771</v>
      </c>
      <c r="F32" s="1060">
        <f t="shared" si="12"/>
        <v>10317029</v>
      </c>
      <c r="G32" s="1061">
        <f t="shared" si="12"/>
        <v>9533734</v>
      </c>
      <c r="H32" s="1060">
        <f t="shared" si="12"/>
        <v>11695529</v>
      </c>
      <c r="I32" s="1062">
        <f t="shared" si="12"/>
        <v>11656888</v>
      </c>
      <c r="J32" s="1063">
        <f t="shared" si="0"/>
        <v>0.99669608788110398</v>
      </c>
    </row>
    <row r="33" spans="1:10" x14ac:dyDescent="0.25">
      <c r="A33" s="1057" t="s">
        <v>192</v>
      </c>
      <c r="B33" s="1058" t="s">
        <v>518</v>
      </c>
      <c r="C33" s="1059">
        <v>0</v>
      </c>
      <c r="D33" s="1060">
        <f>C33</f>
        <v>0</v>
      </c>
      <c r="E33" s="1061">
        <v>0</v>
      </c>
      <c r="F33" s="1060">
        <v>0</v>
      </c>
      <c r="G33" s="1061">
        <v>0</v>
      </c>
      <c r="H33" s="1060">
        <v>0</v>
      </c>
      <c r="I33" s="1062">
        <v>0</v>
      </c>
      <c r="J33" s="1063" t="str">
        <f t="shared" si="0"/>
        <v/>
      </c>
    </row>
    <row r="34" spans="1:10" x14ac:dyDescent="0.25">
      <c r="A34" s="1057" t="s">
        <v>193</v>
      </c>
      <c r="B34" s="1058" t="s">
        <v>519</v>
      </c>
      <c r="C34" s="1059">
        <v>21002131</v>
      </c>
      <c r="D34" s="1060">
        <v>15856938</v>
      </c>
      <c r="E34" s="1061">
        <v>2059537</v>
      </c>
      <c r="F34" s="1060">
        <v>16965083</v>
      </c>
      <c r="G34" s="1061">
        <v>4600686</v>
      </c>
      <c r="H34" s="1060">
        <v>16916841</v>
      </c>
      <c r="I34" s="1062">
        <v>5422878</v>
      </c>
      <c r="J34" s="1063">
        <f t="shared" si="0"/>
        <v>0.32056091323433256</v>
      </c>
    </row>
    <row r="35" spans="1:10" ht="18.75" x14ac:dyDescent="0.3">
      <c r="A35" s="1072" t="s">
        <v>194</v>
      </c>
      <c r="B35" s="1073" t="s">
        <v>520</v>
      </c>
      <c r="C35" s="1074">
        <f t="shared" ref="C35:I35" si="13">C4+C17+C20+C32+C34+C33</f>
        <v>98787800</v>
      </c>
      <c r="D35" s="1075">
        <f t="shared" si="13"/>
        <v>111533827</v>
      </c>
      <c r="E35" s="1076">
        <f t="shared" si="13"/>
        <v>30687451</v>
      </c>
      <c r="F35" s="1075">
        <f t="shared" si="13"/>
        <v>116802877</v>
      </c>
      <c r="G35" s="1076">
        <f t="shared" si="13"/>
        <v>43111763</v>
      </c>
      <c r="H35" s="1075">
        <f t="shared" si="13"/>
        <v>117057203</v>
      </c>
      <c r="I35" s="1077">
        <f t="shared" si="13"/>
        <v>47044109</v>
      </c>
      <c r="J35" s="1078">
        <f t="shared" si="0"/>
        <v>0.40188991189205159</v>
      </c>
    </row>
    <row r="36" spans="1:10" x14ac:dyDescent="0.25">
      <c r="A36" s="1064"/>
      <c r="B36" s="998" t="s">
        <v>530</v>
      </c>
      <c r="C36" s="1065">
        <v>300000</v>
      </c>
      <c r="D36" s="1066">
        <f>C36</f>
        <v>300000</v>
      </c>
      <c r="E36" s="1067">
        <v>0</v>
      </c>
      <c r="F36" s="1066">
        <v>300000</v>
      </c>
      <c r="G36" s="1067">
        <v>0</v>
      </c>
      <c r="H36" s="1066">
        <v>0</v>
      </c>
      <c r="I36" s="1068">
        <v>0</v>
      </c>
      <c r="J36" s="408" t="str">
        <f t="shared" si="0"/>
        <v/>
      </c>
    </row>
    <row r="37" spans="1:10" x14ac:dyDescent="0.25">
      <c r="A37" s="1064"/>
      <c r="B37" s="998" t="s">
        <v>536</v>
      </c>
      <c r="C37" s="1065">
        <v>7683723</v>
      </c>
      <c r="D37" s="1066">
        <f>C37+3373341</f>
        <v>11057064</v>
      </c>
      <c r="E37" s="1067">
        <f>62600+5528532</f>
        <v>5591132</v>
      </c>
      <c r="F37" s="1066">
        <v>11057064</v>
      </c>
      <c r="G37" s="1067">
        <v>11119664</v>
      </c>
      <c r="H37" s="1066">
        <v>11057064</v>
      </c>
      <c r="I37" s="1068">
        <v>11119664</v>
      </c>
      <c r="J37" s="408">
        <f t="shared" si="0"/>
        <v>1.0056615390848782</v>
      </c>
    </row>
    <row r="38" spans="1:10" x14ac:dyDescent="0.25">
      <c r="A38" s="1064"/>
      <c r="B38" s="998" t="s">
        <v>531</v>
      </c>
      <c r="C38" s="1065">
        <v>410000</v>
      </c>
      <c r="D38" s="1066">
        <f t="shared" ref="D38:D50" si="14">C38</f>
        <v>410000</v>
      </c>
      <c r="E38" s="1067">
        <v>410000</v>
      </c>
      <c r="F38" s="1066">
        <v>410000</v>
      </c>
      <c r="G38" s="1067">
        <v>410000</v>
      </c>
      <c r="H38" s="1066">
        <v>410000</v>
      </c>
      <c r="I38" s="1068">
        <v>410000</v>
      </c>
      <c r="J38" s="408">
        <f t="shared" si="0"/>
        <v>1</v>
      </c>
    </row>
    <row r="39" spans="1:10" x14ac:dyDescent="0.25">
      <c r="A39" s="1064"/>
      <c r="B39" s="998" t="s">
        <v>534</v>
      </c>
      <c r="C39" s="1065">
        <v>385000</v>
      </c>
      <c r="D39" s="1066">
        <f t="shared" si="14"/>
        <v>385000</v>
      </c>
      <c r="E39" s="1067">
        <v>0</v>
      </c>
      <c r="F39" s="1066">
        <v>385000</v>
      </c>
      <c r="G39" s="1067">
        <v>0</v>
      </c>
      <c r="H39" s="1066">
        <v>0</v>
      </c>
      <c r="I39" s="1068">
        <v>0</v>
      </c>
      <c r="J39" s="408" t="str">
        <f t="shared" si="0"/>
        <v/>
      </c>
    </row>
    <row r="40" spans="1:10" x14ac:dyDescent="0.25">
      <c r="A40" s="1064"/>
      <c r="B40" s="998" t="s">
        <v>535</v>
      </c>
      <c r="C40" s="1065">
        <v>15000000</v>
      </c>
      <c r="D40" s="1066">
        <f>C40+2024650</f>
        <v>17024650</v>
      </c>
      <c r="E40" s="1067">
        <v>0</v>
      </c>
      <c r="F40" s="1066">
        <v>17324650</v>
      </c>
      <c r="G40" s="1067">
        <v>17324650</v>
      </c>
      <c r="H40" s="1066">
        <v>17324650</v>
      </c>
      <c r="I40" s="1068">
        <v>17324650</v>
      </c>
      <c r="J40" s="408">
        <f t="shared" si="0"/>
        <v>1</v>
      </c>
    </row>
    <row r="41" spans="1:10" x14ac:dyDescent="0.25">
      <c r="A41" s="1064"/>
      <c r="B41" s="998" t="s">
        <v>532</v>
      </c>
      <c r="C41" s="1065">
        <v>3000000</v>
      </c>
      <c r="D41" s="1066">
        <f t="shared" si="14"/>
        <v>3000000</v>
      </c>
      <c r="E41" s="1067">
        <v>0</v>
      </c>
      <c r="F41" s="1066">
        <v>3000000</v>
      </c>
      <c r="G41" s="1067">
        <v>0</v>
      </c>
      <c r="H41" s="1066">
        <v>3000000</v>
      </c>
      <c r="I41" s="1068">
        <v>0</v>
      </c>
      <c r="J41" s="408" t="str">
        <f t="shared" si="0"/>
        <v/>
      </c>
    </row>
    <row r="42" spans="1:10" x14ac:dyDescent="0.25">
      <c r="A42" s="1064"/>
      <c r="B42" s="998" t="s">
        <v>533</v>
      </c>
      <c r="C42" s="1065">
        <v>600000</v>
      </c>
      <c r="D42" s="1066">
        <f t="shared" si="14"/>
        <v>600000</v>
      </c>
      <c r="E42" s="1067">
        <v>463400</v>
      </c>
      <c r="F42" s="1066">
        <v>600000</v>
      </c>
      <c r="G42" s="1067">
        <v>463400</v>
      </c>
      <c r="H42" s="1066">
        <v>600000</v>
      </c>
      <c r="I42" s="1068">
        <v>463400</v>
      </c>
      <c r="J42" s="408">
        <f t="shared" si="0"/>
        <v>0.77233333333333332</v>
      </c>
    </row>
    <row r="43" spans="1:10" x14ac:dyDescent="0.25">
      <c r="A43" s="1064"/>
      <c r="B43" s="998" t="s">
        <v>768</v>
      </c>
      <c r="C43" s="1065">
        <v>0</v>
      </c>
      <c r="D43" s="1066">
        <f t="shared" si="14"/>
        <v>0</v>
      </c>
      <c r="E43" s="1067">
        <v>0</v>
      </c>
      <c r="F43" s="1066">
        <v>1724556</v>
      </c>
      <c r="G43" s="1067">
        <v>1724556</v>
      </c>
      <c r="H43" s="1066">
        <v>1724556</v>
      </c>
      <c r="I43" s="1068">
        <v>1724556</v>
      </c>
      <c r="J43" s="408">
        <f t="shared" si="0"/>
        <v>1</v>
      </c>
    </row>
    <row r="44" spans="1:10" x14ac:dyDescent="0.25">
      <c r="A44" s="1064"/>
      <c r="B44" s="998" t="s">
        <v>769</v>
      </c>
      <c r="C44" s="1065">
        <v>0</v>
      </c>
      <c r="D44" s="1066">
        <f t="shared" si="14"/>
        <v>0</v>
      </c>
      <c r="E44" s="1067">
        <v>0</v>
      </c>
      <c r="F44" s="1066">
        <v>290000</v>
      </c>
      <c r="G44" s="1067">
        <v>290000</v>
      </c>
      <c r="H44" s="1066">
        <v>290000</v>
      </c>
      <c r="I44" s="1068">
        <v>290000</v>
      </c>
      <c r="J44" s="408">
        <f t="shared" si="0"/>
        <v>1</v>
      </c>
    </row>
    <row r="45" spans="1:10" x14ac:dyDescent="0.25">
      <c r="A45" s="1064"/>
      <c r="B45" s="998" t="s">
        <v>775</v>
      </c>
      <c r="C45" s="1065">
        <v>0</v>
      </c>
      <c r="D45" s="1066">
        <v>0</v>
      </c>
      <c r="E45" s="1067">
        <v>0</v>
      </c>
      <c r="F45" s="1066">
        <v>0</v>
      </c>
      <c r="G45" s="1067">
        <v>0</v>
      </c>
      <c r="H45" s="1066">
        <v>4120000</v>
      </c>
      <c r="I45" s="1068">
        <v>183000</v>
      </c>
      <c r="J45" s="408">
        <f t="shared" si="0"/>
        <v>4.441747572815534E-2</v>
      </c>
    </row>
    <row r="46" spans="1:10" x14ac:dyDescent="0.25">
      <c r="A46" s="1064"/>
      <c r="B46" s="998" t="s">
        <v>776</v>
      </c>
      <c r="C46" s="1065">
        <v>0</v>
      </c>
      <c r="D46" s="1066">
        <v>0</v>
      </c>
      <c r="E46" s="1067">
        <v>0</v>
      </c>
      <c r="F46" s="1066">
        <v>0</v>
      </c>
      <c r="G46" s="1067">
        <v>0</v>
      </c>
      <c r="H46" s="1066">
        <v>9133686</v>
      </c>
      <c r="I46" s="1068">
        <v>0</v>
      </c>
      <c r="J46" s="408" t="str">
        <f t="shared" si="0"/>
        <v/>
      </c>
    </row>
    <row r="47" spans="1:10" x14ac:dyDescent="0.25">
      <c r="A47" s="1064"/>
      <c r="B47" s="998" t="s">
        <v>773</v>
      </c>
      <c r="C47" s="1065">
        <v>0</v>
      </c>
      <c r="D47" s="1066">
        <v>0</v>
      </c>
      <c r="E47" s="1067">
        <v>0</v>
      </c>
      <c r="F47" s="1066">
        <v>0</v>
      </c>
      <c r="G47" s="1067">
        <v>0</v>
      </c>
      <c r="H47" s="1066">
        <v>766300</v>
      </c>
      <c r="I47" s="1068">
        <v>766300</v>
      </c>
      <c r="J47" s="408">
        <f t="shared" si="0"/>
        <v>1</v>
      </c>
    </row>
    <row r="48" spans="1:10" x14ac:dyDescent="0.25">
      <c r="A48" s="1064"/>
      <c r="B48" s="998" t="s">
        <v>774</v>
      </c>
      <c r="C48" s="1065">
        <v>0</v>
      </c>
      <c r="D48" s="1066">
        <v>0</v>
      </c>
      <c r="E48" s="1067">
        <v>0</v>
      </c>
      <c r="F48" s="1066">
        <v>0</v>
      </c>
      <c r="G48" s="1067">
        <v>0</v>
      </c>
      <c r="H48" s="1066">
        <v>569470</v>
      </c>
      <c r="I48" s="1068">
        <v>569470</v>
      </c>
      <c r="J48" s="408">
        <f t="shared" si="0"/>
        <v>1</v>
      </c>
    </row>
    <row r="49" spans="1:10" x14ac:dyDescent="0.25">
      <c r="A49" s="1057" t="s">
        <v>195</v>
      </c>
      <c r="B49" s="1058" t="s">
        <v>539</v>
      </c>
      <c r="C49" s="1059">
        <f>SUM(C36:C48)</f>
        <v>27378723</v>
      </c>
      <c r="D49" s="1060">
        <f t="shared" ref="D49:I49" si="15">SUM(D36:D48)</f>
        <v>32776714</v>
      </c>
      <c r="E49" s="1061">
        <f t="shared" si="15"/>
        <v>6464532</v>
      </c>
      <c r="F49" s="1060">
        <f t="shared" si="15"/>
        <v>35091270</v>
      </c>
      <c r="G49" s="1061">
        <f t="shared" si="15"/>
        <v>31332270</v>
      </c>
      <c r="H49" s="1060">
        <f t="shared" si="15"/>
        <v>48995726</v>
      </c>
      <c r="I49" s="1062">
        <f t="shared" si="15"/>
        <v>32851040</v>
      </c>
      <c r="J49" s="1063">
        <f t="shared" si="0"/>
        <v>0.67048787071753968</v>
      </c>
    </row>
    <row r="50" spans="1:10" x14ac:dyDescent="0.25">
      <c r="A50" s="1064"/>
      <c r="B50" s="998" t="s">
        <v>836</v>
      </c>
      <c r="C50" s="1065">
        <v>2000000</v>
      </c>
      <c r="D50" s="1066">
        <f t="shared" si="14"/>
        <v>2000000</v>
      </c>
      <c r="E50" s="1067">
        <v>0</v>
      </c>
      <c r="F50" s="1066">
        <v>2000000</v>
      </c>
      <c r="G50" s="1067">
        <v>0</v>
      </c>
      <c r="H50" s="1066">
        <v>2000000</v>
      </c>
      <c r="I50" s="1068">
        <v>0</v>
      </c>
      <c r="J50" s="408" t="str">
        <f t="shared" si="0"/>
        <v/>
      </c>
    </row>
    <row r="51" spans="1:10" x14ac:dyDescent="0.25">
      <c r="A51" s="1057" t="s">
        <v>537</v>
      </c>
      <c r="B51" s="1058" t="s">
        <v>538</v>
      </c>
      <c r="C51" s="1059">
        <f t="shared" ref="C51" si="16">SUM(C50)</f>
        <v>2000000</v>
      </c>
      <c r="D51" s="1060">
        <f t="shared" ref="D51" si="17">SUM(D50)</f>
        <v>2000000</v>
      </c>
      <c r="E51" s="1061">
        <f t="shared" ref="E51" si="18">SUM(E50)</f>
        <v>0</v>
      </c>
      <c r="F51" s="1060">
        <f t="shared" ref="F51" si="19">SUM(F50)</f>
        <v>2000000</v>
      </c>
      <c r="G51" s="1061">
        <f t="shared" ref="G51" si="20">SUM(G50)</f>
        <v>0</v>
      </c>
      <c r="H51" s="1060">
        <f t="shared" ref="H51" si="21">SUM(H50)</f>
        <v>2000000</v>
      </c>
      <c r="I51" s="1062">
        <f t="shared" ref="I51" si="22">SUM(I50)</f>
        <v>0</v>
      </c>
      <c r="J51" s="1063" t="str">
        <f t="shared" si="0"/>
        <v/>
      </c>
    </row>
    <row r="52" spans="1:10" x14ac:dyDescent="0.25">
      <c r="A52" s="1057" t="s">
        <v>196</v>
      </c>
      <c r="B52" s="1058" t="s">
        <v>540</v>
      </c>
      <c r="C52" s="1059">
        <v>7932255</v>
      </c>
      <c r="D52" s="1060">
        <v>9389713</v>
      </c>
      <c r="E52" s="1061">
        <v>1728522</v>
      </c>
      <c r="F52" s="1060">
        <v>10014643</v>
      </c>
      <c r="G52" s="1061">
        <v>8442811</v>
      </c>
      <c r="H52" s="1060">
        <v>13646679</v>
      </c>
      <c r="I52" s="1062">
        <v>8649712</v>
      </c>
      <c r="J52" s="1063">
        <f t="shared" si="0"/>
        <v>0.63383274421564395</v>
      </c>
    </row>
    <row r="53" spans="1:10" ht="18.75" x14ac:dyDescent="0.3">
      <c r="A53" s="1072" t="s">
        <v>197</v>
      </c>
      <c r="B53" s="1073" t="s">
        <v>242</v>
      </c>
      <c r="C53" s="1074">
        <f>SUM(C52,C51,C49)</f>
        <v>37310978</v>
      </c>
      <c r="D53" s="1075">
        <f t="shared" ref="D53:I53" si="23">SUM(D52,D51,D49)</f>
        <v>44166427</v>
      </c>
      <c r="E53" s="1076">
        <f t="shared" si="23"/>
        <v>8193054</v>
      </c>
      <c r="F53" s="1075">
        <f t="shared" si="23"/>
        <v>47105913</v>
      </c>
      <c r="G53" s="1076">
        <f t="shared" si="23"/>
        <v>39775081</v>
      </c>
      <c r="H53" s="1075">
        <f t="shared" si="23"/>
        <v>64642405</v>
      </c>
      <c r="I53" s="1077">
        <f t="shared" si="23"/>
        <v>41500752</v>
      </c>
      <c r="J53" s="1078">
        <f t="shared" si="0"/>
        <v>0.64200507391394246</v>
      </c>
    </row>
    <row r="54" spans="1:10" x14ac:dyDescent="0.25">
      <c r="A54" s="1064"/>
      <c r="B54" s="998" t="s">
        <v>777</v>
      </c>
      <c r="C54" s="1065">
        <v>0</v>
      </c>
      <c r="D54" s="1066">
        <v>0</v>
      </c>
      <c r="E54" s="1067">
        <v>0</v>
      </c>
      <c r="F54" s="1066">
        <v>0</v>
      </c>
      <c r="G54" s="1067">
        <v>0</v>
      </c>
      <c r="H54" s="1066">
        <v>4702651</v>
      </c>
      <c r="I54" s="1068">
        <v>4702651</v>
      </c>
      <c r="J54" s="408">
        <f t="shared" ref="J54:J55" si="24">IF(OR(I54="",I54=0),"",I54/H54)</f>
        <v>1</v>
      </c>
    </row>
    <row r="55" spans="1:10" x14ac:dyDescent="0.25">
      <c r="A55" s="1057" t="s">
        <v>198</v>
      </c>
      <c r="B55" s="1058" t="s">
        <v>837</v>
      </c>
      <c r="C55" s="1059">
        <f>SUM(C54)</f>
        <v>0</v>
      </c>
      <c r="D55" s="1060">
        <f t="shared" ref="D55:I55" si="25">SUM(D54)</f>
        <v>0</v>
      </c>
      <c r="E55" s="1061">
        <f t="shared" si="25"/>
        <v>0</v>
      </c>
      <c r="F55" s="1060">
        <f t="shared" si="25"/>
        <v>0</v>
      </c>
      <c r="G55" s="1061">
        <f t="shared" si="25"/>
        <v>0</v>
      </c>
      <c r="H55" s="1060">
        <f t="shared" si="25"/>
        <v>4702651</v>
      </c>
      <c r="I55" s="1062">
        <f t="shared" si="25"/>
        <v>4702651</v>
      </c>
      <c r="J55" s="1063">
        <f t="shared" si="24"/>
        <v>1</v>
      </c>
    </row>
    <row r="56" spans="1:10" x14ac:dyDescent="0.25">
      <c r="A56" s="1064"/>
      <c r="B56" s="998" t="s">
        <v>838</v>
      </c>
      <c r="C56" s="1065">
        <v>0</v>
      </c>
      <c r="D56" s="1066">
        <v>0</v>
      </c>
      <c r="E56" s="1067">
        <v>0</v>
      </c>
      <c r="F56" s="1066">
        <v>0</v>
      </c>
      <c r="G56" s="1067">
        <v>0</v>
      </c>
      <c r="H56" s="1066">
        <v>100000</v>
      </c>
      <c r="I56" s="1068">
        <v>100000</v>
      </c>
      <c r="J56" s="408">
        <f t="shared" si="0"/>
        <v>1</v>
      </c>
    </row>
    <row r="57" spans="1:10" x14ac:dyDescent="0.25">
      <c r="A57" s="1064"/>
      <c r="B57" s="998" t="s">
        <v>777</v>
      </c>
      <c r="C57" s="1065">
        <v>0</v>
      </c>
      <c r="D57" s="1066">
        <v>0</v>
      </c>
      <c r="E57" s="1067">
        <v>0</v>
      </c>
      <c r="F57" s="1066">
        <v>0</v>
      </c>
      <c r="G57" s="1067">
        <v>0</v>
      </c>
      <c r="H57" s="1066">
        <v>1592551</v>
      </c>
      <c r="I57" s="1068">
        <v>1592551</v>
      </c>
      <c r="J57" s="408">
        <f t="shared" si="0"/>
        <v>1</v>
      </c>
    </row>
    <row r="58" spans="1:10" x14ac:dyDescent="0.25">
      <c r="A58" s="1057" t="s">
        <v>674</v>
      </c>
      <c r="B58" s="1058" t="s">
        <v>630</v>
      </c>
      <c r="C58" s="1059">
        <f t="shared" ref="C58:I58" si="26">SUM(C56:C57)</f>
        <v>0</v>
      </c>
      <c r="D58" s="1060">
        <f t="shared" si="26"/>
        <v>0</v>
      </c>
      <c r="E58" s="1061">
        <f t="shared" si="26"/>
        <v>0</v>
      </c>
      <c r="F58" s="1060">
        <f t="shared" si="26"/>
        <v>0</v>
      </c>
      <c r="G58" s="1061">
        <f t="shared" si="26"/>
        <v>0</v>
      </c>
      <c r="H58" s="1060">
        <f t="shared" si="26"/>
        <v>1692551</v>
      </c>
      <c r="I58" s="1062">
        <f t="shared" si="26"/>
        <v>1692551</v>
      </c>
      <c r="J58" s="1063">
        <f t="shared" si="0"/>
        <v>1</v>
      </c>
    </row>
    <row r="59" spans="1:10" ht="19.5" thickBot="1" x14ac:dyDescent="0.35">
      <c r="A59" s="1079" t="s">
        <v>201</v>
      </c>
      <c r="B59" s="1080" t="s">
        <v>541</v>
      </c>
      <c r="C59" s="1081">
        <f>SUM(C58,C55)</f>
        <v>0</v>
      </c>
      <c r="D59" s="1082">
        <f t="shared" ref="D59:I59" si="27">SUM(D58,D55)</f>
        <v>0</v>
      </c>
      <c r="E59" s="1083">
        <f t="shared" si="27"/>
        <v>0</v>
      </c>
      <c r="F59" s="1082">
        <f t="shared" si="27"/>
        <v>0</v>
      </c>
      <c r="G59" s="1083">
        <f t="shared" si="27"/>
        <v>0</v>
      </c>
      <c r="H59" s="1082">
        <f t="shared" si="27"/>
        <v>6395202</v>
      </c>
      <c r="I59" s="1084">
        <f t="shared" si="27"/>
        <v>6395202</v>
      </c>
      <c r="J59" s="1085">
        <f t="shared" si="0"/>
        <v>1</v>
      </c>
    </row>
    <row r="60" spans="1:10" ht="21" thickBot="1" x14ac:dyDescent="0.35">
      <c r="A60" s="1300" t="s">
        <v>202</v>
      </c>
      <c r="B60" s="1301"/>
      <c r="C60" s="813">
        <f t="shared" ref="C60:I60" si="28">SUM(C59,C53,C35)</f>
        <v>136098778</v>
      </c>
      <c r="D60" s="1086">
        <f t="shared" si="28"/>
        <v>155700254</v>
      </c>
      <c r="E60" s="1087">
        <f t="shared" si="28"/>
        <v>38880505</v>
      </c>
      <c r="F60" s="1086">
        <f t="shared" si="28"/>
        <v>163908790</v>
      </c>
      <c r="G60" s="1087">
        <f t="shared" si="28"/>
        <v>82886844</v>
      </c>
      <c r="H60" s="1086">
        <f t="shared" si="28"/>
        <v>188094810</v>
      </c>
      <c r="I60" s="1088">
        <f t="shared" si="28"/>
        <v>94940063</v>
      </c>
      <c r="J60" s="1089">
        <f t="shared" si="0"/>
        <v>0.50474578751003285</v>
      </c>
    </row>
    <row r="61" spans="1:10" x14ac:dyDescent="0.25">
      <c r="J61" s="1092"/>
    </row>
    <row r="62" spans="1:10" x14ac:dyDescent="0.25">
      <c r="J62" s="1093"/>
    </row>
  </sheetData>
  <sheetProtection algorithmName="SHA-512" hashValue="D2gDvlPgVBuRJlLTDiYW2PxTT0C0HB1/qibeTBG/turgBL10VkjKS+oEiZ2IwkEhcx3cD+2dunf1poIJ7zVuTA==" saltValue="Pex6x3YuZZDfFqqnosW3PA==" spinCount="100000" sheet="1" formatCells="0" formatColumns="0" formatRows="0" insertColumns="0" insertRows="0" insertHyperlinks="0" deleteColumns="0" deleteRows="0" sort="0" autoFilter="0" pivotTables="0"/>
  <autoFilter ref="A1:J62" xr:uid="{23F69735-D99B-4EFA-B94D-EFEAE170612F}">
    <filterColumn colId="3" showButton="0"/>
    <filterColumn colId="5" showButton="0"/>
    <filterColumn colId="7" showButton="0"/>
  </autoFilter>
  <mergeCells count="8">
    <mergeCell ref="A60:B60"/>
    <mergeCell ref="B1:B2"/>
    <mergeCell ref="A1:A2"/>
    <mergeCell ref="D1:E1"/>
    <mergeCell ref="J1:J2"/>
    <mergeCell ref="H1:I1"/>
    <mergeCell ref="F1:G1"/>
    <mergeCell ref="C1:C2"/>
  </mergeCells>
  <phoneticPr fontId="2" type="noConversion"/>
  <printOptions horizontalCentered="1"/>
  <pageMargins left="0.59055118110236227" right="0.59055118110236227" top="0.59055118110236227" bottom="0.43307086614173229" header="0.27559055118110237" footer="0.47244094488188981"/>
  <pageSetup paperSize="9" scale="50" orientation="landscape" r:id="rId1"/>
  <headerFooter>
    <oddHeader>&amp;L&amp;"Arial,Normál"&amp;12Levél Községi Önkormányzat&amp;C&amp;"Arial,Félkövér"&amp;14ZÁRSZÁMADÁSI RENDELET - 2019. év
FELHALMOZÁSI KIADÁSOK&amp;R&amp;12 6.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rgb="FFC00000"/>
    <pageSetUpPr fitToPage="1"/>
  </sheetPr>
  <dimension ref="A1:J36"/>
  <sheetViews>
    <sheetView zoomScale="80" zoomScaleNormal="80" workbookViewId="0">
      <pane ySplit="2" topLeftCell="A3" activePane="bottomLeft" state="frozen"/>
      <selection pane="bottomLeft" activeCell="B14" sqref="B14"/>
    </sheetView>
  </sheetViews>
  <sheetFormatPr defaultColWidth="7.28515625" defaultRowHeight="15.75" x14ac:dyDescent="0.25"/>
  <cols>
    <col min="1" max="1" width="7.28515625" style="1047" customWidth="1"/>
    <col min="2" max="2" width="68.5703125" style="436" bestFit="1" customWidth="1"/>
    <col min="3" max="3" width="15.7109375" style="436" bestFit="1" customWidth="1"/>
    <col min="4" max="4" width="17.5703125" style="436" bestFit="1" customWidth="1"/>
    <col min="5" max="5" width="14.28515625" style="436" bestFit="1" customWidth="1"/>
    <col min="6" max="6" width="18.42578125" style="436" bestFit="1" customWidth="1"/>
    <col min="7" max="7" width="14.28515625" style="436" bestFit="1" customWidth="1"/>
    <col min="8" max="8" width="19.28515625" style="436" bestFit="1" customWidth="1"/>
    <col min="9" max="9" width="14.28515625" style="436" bestFit="1" customWidth="1"/>
    <col min="10" max="10" width="10.85546875" style="438" bestFit="1" customWidth="1"/>
    <col min="11" max="16384" width="7.28515625" style="436"/>
  </cols>
  <sheetData>
    <row r="1" spans="1:10" x14ac:dyDescent="0.25">
      <c r="A1" s="1311" t="s">
        <v>222</v>
      </c>
      <c r="B1" s="1315" t="s">
        <v>669</v>
      </c>
      <c r="C1" s="990">
        <v>2019</v>
      </c>
      <c r="D1" s="1317">
        <v>2019</v>
      </c>
      <c r="E1" s="1318"/>
      <c r="F1" s="1318" t="s">
        <v>642</v>
      </c>
      <c r="G1" s="1318"/>
      <c r="H1" s="1319">
        <v>2019</v>
      </c>
      <c r="I1" s="1320"/>
      <c r="J1" s="1313" t="s">
        <v>644</v>
      </c>
    </row>
    <row r="2" spans="1:10" ht="16.5" thickBot="1" x14ac:dyDescent="0.3">
      <c r="A2" s="1312"/>
      <c r="B2" s="1316"/>
      <c r="C2" s="991" t="s">
        <v>57</v>
      </c>
      <c r="D2" s="992" t="s">
        <v>648</v>
      </c>
      <c r="E2" s="993" t="s">
        <v>496</v>
      </c>
      <c r="F2" s="994" t="s">
        <v>649</v>
      </c>
      <c r="G2" s="995" t="s">
        <v>496</v>
      </c>
      <c r="H2" s="996" t="s">
        <v>650</v>
      </c>
      <c r="I2" s="993" t="s">
        <v>496</v>
      </c>
      <c r="J2" s="1314"/>
    </row>
    <row r="3" spans="1:10" x14ac:dyDescent="0.25">
      <c r="A3" s="997" t="s">
        <v>621</v>
      </c>
      <c r="B3" s="998" t="s">
        <v>497</v>
      </c>
      <c r="C3" s="999">
        <v>1186233</v>
      </c>
      <c r="D3" s="1000">
        <f>C3</f>
        <v>1186233</v>
      </c>
      <c r="E3" s="1001">
        <v>1186233</v>
      </c>
      <c r="F3" s="1002">
        <v>1186233</v>
      </c>
      <c r="G3" s="1003">
        <v>1186233</v>
      </c>
      <c r="H3" s="1000">
        <v>1191313</v>
      </c>
      <c r="I3" s="1001">
        <v>1191313</v>
      </c>
      <c r="J3" s="1004">
        <f t="shared" ref="J3:J36" si="0">IF(OR(I3="",I3=0),"",I3/H3)</f>
        <v>1</v>
      </c>
    </row>
    <row r="4" spans="1:10" x14ac:dyDescent="0.25">
      <c r="A4" s="997" t="s">
        <v>622</v>
      </c>
      <c r="B4" s="998" t="s">
        <v>627</v>
      </c>
      <c r="C4" s="999">
        <v>16977220</v>
      </c>
      <c r="D4" s="1000">
        <f>C4</f>
        <v>16977220</v>
      </c>
      <c r="E4" s="1001">
        <v>8828156</v>
      </c>
      <c r="F4" s="1002">
        <v>16977220</v>
      </c>
      <c r="G4" s="1003">
        <v>12902690</v>
      </c>
      <c r="H4" s="1000">
        <v>16977220</v>
      </c>
      <c r="I4" s="1001">
        <v>16977220</v>
      </c>
      <c r="J4" s="832">
        <f t="shared" si="0"/>
        <v>1</v>
      </c>
    </row>
    <row r="5" spans="1:10" ht="16.5" x14ac:dyDescent="0.25">
      <c r="A5" s="1005" t="s">
        <v>204</v>
      </c>
      <c r="B5" s="1006" t="s">
        <v>205</v>
      </c>
      <c r="C5" s="1007">
        <f>SUM(C3:C4)</f>
        <v>18163453</v>
      </c>
      <c r="D5" s="1008">
        <f t="shared" ref="D5:I5" si="1">SUM(D3:D4)</f>
        <v>18163453</v>
      </c>
      <c r="E5" s="1009">
        <f t="shared" si="1"/>
        <v>10014389</v>
      </c>
      <c r="F5" s="1010">
        <f t="shared" si="1"/>
        <v>18163453</v>
      </c>
      <c r="G5" s="1011">
        <f t="shared" si="1"/>
        <v>14088923</v>
      </c>
      <c r="H5" s="1008">
        <f t="shared" si="1"/>
        <v>18168533</v>
      </c>
      <c r="I5" s="1009">
        <f t="shared" si="1"/>
        <v>18168533</v>
      </c>
      <c r="J5" s="1012">
        <f t="shared" si="0"/>
        <v>1</v>
      </c>
    </row>
    <row r="6" spans="1:10" x14ac:dyDescent="0.25">
      <c r="A6" s="997"/>
      <c r="B6" s="998" t="s">
        <v>542</v>
      </c>
      <c r="C6" s="999">
        <v>3541712</v>
      </c>
      <c r="D6" s="1000">
        <f t="shared" ref="D6:D10" si="2">C6</f>
        <v>3541712</v>
      </c>
      <c r="E6" s="1001">
        <f>79488+1472238</f>
        <v>1551726</v>
      </c>
      <c r="F6" s="1002">
        <v>3541712</v>
      </c>
      <c r="G6" s="1003">
        <v>1447435</v>
      </c>
      <c r="H6" s="1000">
        <v>2634745</v>
      </c>
      <c r="I6" s="1001">
        <v>2648681</v>
      </c>
      <c r="J6" s="832">
        <f t="shared" si="0"/>
        <v>1.0052893164234109</v>
      </c>
    </row>
    <row r="7" spans="1:10" x14ac:dyDescent="0.25">
      <c r="A7" s="997"/>
      <c r="B7" s="998" t="s">
        <v>543</v>
      </c>
      <c r="C7" s="999">
        <v>236640</v>
      </c>
      <c r="D7" s="1000">
        <f t="shared" si="2"/>
        <v>236640</v>
      </c>
      <c r="E7" s="1001"/>
      <c r="F7" s="1002">
        <v>236640</v>
      </c>
      <c r="G7" s="1003">
        <v>108600</v>
      </c>
      <c r="H7" s="1000">
        <v>246640</v>
      </c>
      <c r="I7" s="1001">
        <v>246640</v>
      </c>
      <c r="J7" s="832">
        <f t="shared" si="0"/>
        <v>1</v>
      </c>
    </row>
    <row r="8" spans="1:10" x14ac:dyDescent="0.25">
      <c r="A8" s="997"/>
      <c r="B8" s="998" t="s">
        <v>473</v>
      </c>
      <c r="C8" s="999">
        <v>429580</v>
      </c>
      <c r="D8" s="1000">
        <f t="shared" si="2"/>
        <v>429580</v>
      </c>
      <c r="E8" s="1001">
        <f>430460+266220+29025</f>
        <v>725705</v>
      </c>
      <c r="F8" s="1002">
        <v>429580</v>
      </c>
      <c r="G8" s="1003">
        <v>725705</v>
      </c>
      <c r="H8" s="1000">
        <v>1099489</v>
      </c>
      <c r="I8" s="1001">
        <v>1099489</v>
      </c>
      <c r="J8" s="832">
        <f t="shared" si="0"/>
        <v>1</v>
      </c>
    </row>
    <row r="9" spans="1:10" x14ac:dyDescent="0.25">
      <c r="A9" s="997"/>
      <c r="B9" s="998" t="s">
        <v>416</v>
      </c>
      <c r="C9" s="999">
        <v>13644816</v>
      </c>
      <c r="D9" s="1000">
        <f t="shared" si="2"/>
        <v>13644816</v>
      </c>
      <c r="E9" s="1001">
        <v>5823988</v>
      </c>
      <c r="F9" s="1002">
        <v>13644816</v>
      </c>
      <c r="G9" s="1003">
        <v>9425350</v>
      </c>
      <c r="H9" s="1000">
        <v>15093984</v>
      </c>
      <c r="I9" s="1001">
        <v>12724476</v>
      </c>
      <c r="J9" s="832">
        <f t="shared" si="0"/>
        <v>0.84301639646630078</v>
      </c>
    </row>
    <row r="10" spans="1:10" x14ac:dyDescent="0.25">
      <c r="A10" s="997"/>
      <c r="B10" s="998" t="s">
        <v>407</v>
      </c>
      <c r="C10" s="999">
        <v>3300000</v>
      </c>
      <c r="D10" s="1000">
        <f t="shared" si="2"/>
        <v>3300000</v>
      </c>
      <c r="E10" s="1001"/>
      <c r="F10" s="1002">
        <v>3300000</v>
      </c>
      <c r="G10" s="1003">
        <v>0</v>
      </c>
      <c r="H10" s="1000">
        <v>3300000</v>
      </c>
      <c r="I10" s="1001">
        <v>1684621</v>
      </c>
      <c r="J10" s="832">
        <f t="shared" si="0"/>
        <v>0.51049121212121207</v>
      </c>
    </row>
    <row r="11" spans="1:10" ht="16.5" x14ac:dyDescent="0.25">
      <c r="A11" s="1013" t="s">
        <v>206</v>
      </c>
      <c r="B11" s="1014" t="s">
        <v>207</v>
      </c>
      <c r="C11" s="1015">
        <f t="shared" ref="C11" si="3">SUM(C6:C10)</f>
        <v>21152748</v>
      </c>
      <c r="D11" s="1016">
        <f t="shared" ref="D11" si="4">SUM(D6:D10)</f>
        <v>21152748</v>
      </c>
      <c r="E11" s="1017">
        <f t="shared" ref="E11" si="5">SUM(E6:E10)</f>
        <v>8101419</v>
      </c>
      <c r="F11" s="1018">
        <f t="shared" ref="F11" si="6">SUM(F6:F10)</f>
        <v>21152748</v>
      </c>
      <c r="G11" s="1019">
        <f t="shared" ref="G11" si="7">SUM(G6:G10)</f>
        <v>11707090</v>
      </c>
      <c r="H11" s="1016">
        <f t="shared" ref="H11" si="8">SUM(H6:H10)</f>
        <v>22374858</v>
      </c>
      <c r="I11" s="1017">
        <f t="shared" ref="I11" si="9">SUM(I6:I10)</f>
        <v>18403907</v>
      </c>
      <c r="J11" s="1020">
        <f t="shared" si="0"/>
        <v>0.82252620329478743</v>
      </c>
    </row>
    <row r="12" spans="1:10" x14ac:dyDescent="0.25">
      <c r="A12" s="997"/>
      <c r="B12" s="998" t="s">
        <v>906</v>
      </c>
      <c r="C12" s="999">
        <v>0</v>
      </c>
      <c r="D12" s="1000">
        <f t="shared" ref="D12" si="10">C12</f>
        <v>0</v>
      </c>
      <c r="E12" s="1001">
        <v>0</v>
      </c>
      <c r="F12" s="1002">
        <v>0</v>
      </c>
      <c r="G12" s="1003">
        <v>0</v>
      </c>
      <c r="H12" s="1000">
        <v>1040606</v>
      </c>
      <c r="I12" s="1001">
        <v>1040606</v>
      </c>
      <c r="J12" s="832">
        <f t="shared" ref="J12" si="11">IF(OR(I12="",I12=0),"",I12/H12)</f>
        <v>1</v>
      </c>
    </row>
    <row r="13" spans="1:10" ht="16.5" x14ac:dyDescent="0.25">
      <c r="A13" s="1013" t="s">
        <v>208</v>
      </c>
      <c r="B13" s="1014" t="s">
        <v>907</v>
      </c>
      <c r="C13" s="1015">
        <f>SUM(C12)</f>
        <v>0</v>
      </c>
      <c r="D13" s="1016">
        <f t="shared" ref="D13:I13" si="12">SUM(D12)</f>
        <v>0</v>
      </c>
      <c r="E13" s="1017">
        <f t="shared" si="12"/>
        <v>0</v>
      </c>
      <c r="F13" s="1018">
        <f t="shared" si="12"/>
        <v>0</v>
      </c>
      <c r="G13" s="1019">
        <f t="shared" si="12"/>
        <v>0</v>
      </c>
      <c r="H13" s="1016">
        <f t="shared" si="12"/>
        <v>1040606</v>
      </c>
      <c r="I13" s="1017">
        <f t="shared" si="12"/>
        <v>1040606</v>
      </c>
      <c r="J13" s="1020">
        <f t="shared" si="0"/>
        <v>1</v>
      </c>
    </row>
    <row r="14" spans="1:10" x14ac:dyDescent="0.25">
      <c r="A14" s="997"/>
      <c r="B14" s="998" t="s">
        <v>408</v>
      </c>
      <c r="C14" s="999">
        <v>7444855</v>
      </c>
      <c r="D14" s="1000">
        <f t="shared" ref="D14:D27" si="13">C14</f>
        <v>7444855</v>
      </c>
      <c r="E14" s="1001">
        <v>4242266</v>
      </c>
      <c r="F14" s="1002">
        <v>7444855</v>
      </c>
      <c r="G14" s="1003">
        <v>5977107</v>
      </c>
      <c r="H14" s="1000">
        <v>8144855</v>
      </c>
      <c r="I14" s="1001">
        <v>8144191</v>
      </c>
      <c r="J14" s="832">
        <f t="shared" si="0"/>
        <v>0.99991847614230089</v>
      </c>
    </row>
    <row r="15" spans="1:10" x14ac:dyDescent="0.25">
      <c r="A15" s="997"/>
      <c r="B15" s="998" t="s">
        <v>548</v>
      </c>
      <c r="C15" s="999">
        <v>1461429</v>
      </c>
      <c r="D15" s="1000">
        <f t="shared" si="13"/>
        <v>1461429</v>
      </c>
      <c r="E15" s="1001"/>
      <c r="F15" s="1002">
        <v>1461429</v>
      </c>
      <c r="G15" s="1003">
        <v>0</v>
      </c>
      <c r="H15" s="1000">
        <v>0</v>
      </c>
      <c r="I15" s="1001">
        <v>0</v>
      </c>
      <c r="J15" s="832" t="str">
        <f t="shared" si="0"/>
        <v/>
      </c>
    </row>
    <row r="16" spans="1:10" x14ac:dyDescent="0.25">
      <c r="A16" s="997"/>
      <c r="B16" s="998" t="s">
        <v>409</v>
      </c>
      <c r="C16" s="999">
        <v>886518</v>
      </c>
      <c r="D16" s="1000">
        <f t="shared" si="13"/>
        <v>886518</v>
      </c>
      <c r="E16" s="1001">
        <v>265000</v>
      </c>
      <c r="F16" s="1002">
        <v>886518</v>
      </c>
      <c r="G16" s="1003">
        <v>886518</v>
      </c>
      <c r="H16" s="1000">
        <v>886518</v>
      </c>
      <c r="I16" s="1001">
        <v>886518</v>
      </c>
      <c r="J16" s="832">
        <f t="shared" si="0"/>
        <v>1</v>
      </c>
    </row>
    <row r="17" spans="1:10" x14ac:dyDescent="0.25">
      <c r="A17" s="997"/>
      <c r="B17" s="998" t="s">
        <v>410</v>
      </c>
      <c r="C17" s="999">
        <v>778182</v>
      </c>
      <c r="D17" s="1000">
        <f t="shared" si="13"/>
        <v>778182</v>
      </c>
      <c r="E17" s="1001">
        <v>100000</v>
      </c>
      <c r="F17" s="1002">
        <v>855182</v>
      </c>
      <c r="G17" s="1003">
        <v>177000</v>
      </c>
      <c r="H17" s="1000">
        <v>855182</v>
      </c>
      <c r="I17" s="1001">
        <v>855182</v>
      </c>
      <c r="J17" s="832">
        <f t="shared" si="0"/>
        <v>1</v>
      </c>
    </row>
    <row r="18" spans="1:10" x14ac:dyDescent="0.25">
      <c r="A18" s="997"/>
      <c r="B18" s="998" t="s">
        <v>411</v>
      </c>
      <c r="C18" s="999">
        <v>746795</v>
      </c>
      <c r="D18" s="1000">
        <f t="shared" si="13"/>
        <v>746795</v>
      </c>
      <c r="E18" s="1001">
        <v>300000</v>
      </c>
      <c r="F18" s="1002">
        <v>823795</v>
      </c>
      <c r="G18" s="1003">
        <v>677000</v>
      </c>
      <c r="H18" s="1000">
        <v>823795</v>
      </c>
      <c r="I18" s="1001">
        <v>823795</v>
      </c>
      <c r="J18" s="832">
        <f t="shared" si="0"/>
        <v>1</v>
      </c>
    </row>
    <row r="19" spans="1:10" x14ac:dyDescent="0.25">
      <c r="A19" s="997"/>
      <c r="B19" s="998" t="s">
        <v>427</v>
      </c>
      <c r="C19" s="999">
        <v>484438</v>
      </c>
      <c r="D19" s="1000">
        <f t="shared" si="13"/>
        <v>484438</v>
      </c>
      <c r="E19" s="1001"/>
      <c r="F19" s="1002">
        <v>484438</v>
      </c>
      <c r="G19" s="1003">
        <v>0</v>
      </c>
      <c r="H19" s="1000">
        <v>484438</v>
      </c>
      <c r="I19" s="1001">
        <v>484438</v>
      </c>
      <c r="J19" s="832">
        <f t="shared" si="0"/>
        <v>1</v>
      </c>
    </row>
    <row r="20" spans="1:10" x14ac:dyDescent="0.25">
      <c r="A20" s="997"/>
      <c r="B20" s="998" t="s">
        <v>412</v>
      </c>
      <c r="C20" s="999">
        <v>30000</v>
      </c>
      <c r="D20" s="1000">
        <f t="shared" si="13"/>
        <v>30000</v>
      </c>
      <c r="E20" s="1001">
        <v>30000</v>
      </c>
      <c r="F20" s="1002">
        <v>30000</v>
      </c>
      <c r="G20" s="1003">
        <v>30000</v>
      </c>
      <c r="H20" s="1000">
        <v>30000</v>
      </c>
      <c r="I20" s="1001">
        <v>30000</v>
      </c>
      <c r="J20" s="832">
        <f t="shared" si="0"/>
        <v>1</v>
      </c>
    </row>
    <row r="21" spans="1:10" x14ac:dyDescent="0.25">
      <c r="A21" s="997"/>
      <c r="B21" s="998" t="s">
        <v>474</v>
      </c>
      <c r="C21" s="999">
        <v>634437</v>
      </c>
      <c r="D21" s="1000">
        <f t="shared" si="13"/>
        <v>634437</v>
      </c>
      <c r="E21" s="1001">
        <v>300000</v>
      </c>
      <c r="F21" s="1002">
        <v>634437</v>
      </c>
      <c r="G21" s="1003">
        <v>300000</v>
      </c>
      <c r="H21" s="1000">
        <v>634437</v>
      </c>
      <c r="I21" s="1001">
        <v>634437</v>
      </c>
      <c r="J21" s="832">
        <f t="shared" si="0"/>
        <v>1</v>
      </c>
    </row>
    <row r="22" spans="1:10" x14ac:dyDescent="0.25">
      <c r="A22" s="997"/>
      <c r="B22" s="998" t="s">
        <v>475</v>
      </c>
      <c r="C22" s="999">
        <v>75000</v>
      </c>
      <c r="D22" s="1000">
        <f t="shared" si="13"/>
        <v>75000</v>
      </c>
      <c r="E22" s="1001"/>
      <c r="F22" s="1002">
        <v>75000</v>
      </c>
      <c r="G22" s="1003">
        <v>75000</v>
      </c>
      <c r="H22" s="1000">
        <v>75000</v>
      </c>
      <c r="I22" s="1001">
        <v>75000</v>
      </c>
      <c r="J22" s="832">
        <f t="shared" si="0"/>
        <v>1</v>
      </c>
    </row>
    <row r="23" spans="1:10" x14ac:dyDescent="0.25">
      <c r="A23" s="997"/>
      <c r="B23" s="1021" t="s">
        <v>549</v>
      </c>
      <c r="C23" s="952">
        <v>2650000</v>
      </c>
      <c r="D23" s="953">
        <f>C23-317500</f>
        <v>2332500</v>
      </c>
      <c r="E23" s="955">
        <v>1200000</v>
      </c>
      <c r="F23" s="1022">
        <v>2332500</v>
      </c>
      <c r="G23" s="954">
        <v>2150000</v>
      </c>
      <c r="H23" s="953">
        <v>2679369</v>
      </c>
      <c r="I23" s="955">
        <v>2496869</v>
      </c>
      <c r="J23" s="832">
        <f t="shared" si="0"/>
        <v>0.93188694800902749</v>
      </c>
    </row>
    <row r="24" spans="1:10" x14ac:dyDescent="0.25">
      <c r="A24" s="997"/>
      <c r="B24" s="998" t="s">
        <v>544</v>
      </c>
      <c r="C24" s="999">
        <v>10000</v>
      </c>
      <c r="D24" s="1000">
        <f t="shared" si="13"/>
        <v>10000</v>
      </c>
      <c r="E24" s="1001"/>
      <c r="F24" s="1002">
        <v>10000</v>
      </c>
      <c r="G24" s="1003">
        <v>0</v>
      </c>
      <c r="H24" s="1000">
        <v>0</v>
      </c>
      <c r="I24" s="1001">
        <v>0</v>
      </c>
      <c r="J24" s="832" t="str">
        <f t="shared" si="0"/>
        <v/>
      </c>
    </row>
    <row r="25" spans="1:10" x14ac:dyDescent="0.25">
      <c r="A25" s="997"/>
      <c r="B25" s="998" t="s">
        <v>545</v>
      </c>
      <c r="C25" s="999">
        <v>25000</v>
      </c>
      <c r="D25" s="1000">
        <f t="shared" si="13"/>
        <v>25000</v>
      </c>
      <c r="E25" s="1001">
        <v>25000</v>
      </c>
      <c r="F25" s="1002">
        <v>25000</v>
      </c>
      <c r="G25" s="1003">
        <v>25000</v>
      </c>
      <c r="H25" s="1000">
        <v>25000</v>
      </c>
      <c r="I25" s="1001">
        <v>25000</v>
      </c>
      <c r="J25" s="832">
        <f t="shared" si="0"/>
        <v>1</v>
      </c>
    </row>
    <row r="26" spans="1:10" x14ac:dyDescent="0.25">
      <c r="A26" s="997"/>
      <c r="B26" s="998" t="s">
        <v>779</v>
      </c>
      <c r="C26" s="999">
        <v>0</v>
      </c>
      <c r="D26" s="1000">
        <v>0</v>
      </c>
      <c r="E26" s="1001">
        <v>0</v>
      </c>
      <c r="F26" s="1002">
        <v>0</v>
      </c>
      <c r="G26" s="1003">
        <v>207080</v>
      </c>
      <c r="H26" s="1000">
        <v>207080</v>
      </c>
      <c r="I26" s="1001">
        <v>207080</v>
      </c>
      <c r="J26" s="832">
        <f t="shared" si="0"/>
        <v>1</v>
      </c>
    </row>
    <row r="27" spans="1:10" x14ac:dyDescent="0.25">
      <c r="A27" s="997"/>
      <c r="B27" s="998" t="s">
        <v>546</v>
      </c>
      <c r="C27" s="999">
        <v>20000</v>
      </c>
      <c r="D27" s="1000">
        <f t="shared" si="13"/>
        <v>20000</v>
      </c>
      <c r="E27" s="1001"/>
      <c r="F27" s="1002">
        <v>20000</v>
      </c>
      <c r="G27" s="1003">
        <v>0</v>
      </c>
      <c r="H27" s="1000">
        <v>20000</v>
      </c>
      <c r="I27" s="1001">
        <v>10000</v>
      </c>
      <c r="J27" s="832">
        <f t="shared" si="0"/>
        <v>0.5</v>
      </c>
    </row>
    <row r="28" spans="1:10" ht="16.5" x14ac:dyDescent="0.25">
      <c r="A28" s="1013" t="s">
        <v>210</v>
      </c>
      <c r="B28" s="1014" t="s">
        <v>209</v>
      </c>
      <c r="C28" s="1015">
        <f t="shared" ref="C28:I28" si="14">SUM(C14:C27)</f>
        <v>15246654</v>
      </c>
      <c r="D28" s="1016">
        <f t="shared" si="14"/>
        <v>14929154</v>
      </c>
      <c r="E28" s="1017">
        <f t="shared" si="14"/>
        <v>6462266</v>
      </c>
      <c r="F28" s="1018">
        <f t="shared" si="14"/>
        <v>15083154</v>
      </c>
      <c r="G28" s="1019">
        <f t="shared" si="14"/>
        <v>10504705</v>
      </c>
      <c r="H28" s="1016">
        <f t="shared" si="14"/>
        <v>14865674</v>
      </c>
      <c r="I28" s="1017">
        <f t="shared" si="14"/>
        <v>14672510</v>
      </c>
      <c r="J28" s="1020">
        <f t="shared" si="0"/>
        <v>0.98700603820586941</v>
      </c>
    </row>
    <row r="29" spans="1:10" x14ac:dyDescent="0.25">
      <c r="A29" s="1023"/>
      <c r="B29" s="1024" t="s">
        <v>413</v>
      </c>
      <c r="C29" s="1025">
        <f t="shared" ref="C29" si="15">SUM(C30:C31)</f>
        <v>52314000</v>
      </c>
      <c r="D29" s="1026">
        <f t="shared" ref="D29" si="16">SUM(D30:D31)</f>
        <v>52491869</v>
      </c>
      <c r="E29" s="1027">
        <f t="shared" ref="E29" si="17">SUM(E30:E31)</f>
        <v>0</v>
      </c>
      <c r="F29" s="1028">
        <f t="shared" ref="F29" si="18">SUM(F30:F31)</f>
        <v>40609201</v>
      </c>
      <c r="G29" s="1029">
        <f t="shared" ref="G29" si="19">SUM(G30:G31)</f>
        <v>0</v>
      </c>
      <c r="H29" s="1026">
        <f t="shared" ref="H29" si="20">SUM(H30:H31)</f>
        <v>27254545</v>
      </c>
      <c r="I29" s="1027">
        <f t="shared" ref="I29" si="21">SUM(I30:I31)</f>
        <v>0</v>
      </c>
      <c r="J29" s="1030" t="str">
        <f t="shared" si="0"/>
        <v/>
      </c>
    </row>
    <row r="30" spans="1:10" x14ac:dyDescent="0.25">
      <c r="A30" s="997"/>
      <c r="B30" s="1031" t="s">
        <v>670</v>
      </c>
      <c r="C30" s="999">
        <v>52314000</v>
      </c>
      <c r="D30" s="1000">
        <v>52491869</v>
      </c>
      <c r="E30" s="1001"/>
      <c r="F30" s="1002">
        <v>40609201</v>
      </c>
      <c r="G30" s="1003">
        <v>0</v>
      </c>
      <c r="H30" s="1000">
        <v>27254545</v>
      </c>
      <c r="I30" s="1001">
        <v>0</v>
      </c>
      <c r="J30" s="832" t="str">
        <f t="shared" si="0"/>
        <v/>
      </c>
    </row>
    <row r="31" spans="1:10" hidden="1" x14ac:dyDescent="0.25">
      <c r="A31" s="997"/>
      <c r="B31" s="1031" t="s">
        <v>671</v>
      </c>
      <c r="C31" s="999">
        <v>0</v>
      </c>
      <c r="D31" s="1000"/>
      <c r="E31" s="1001"/>
      <c r="F31" s="1002">
        <v>0</v>
      </c>
      <c r="G31" s="1003">
        <v>0</v>
      </c>
      <c r="H31" s="1000">
        <v>0</v>
      </c>
      <c r="I31" s="1001">
        <v>0</v>
      </c>
      <c r="J31" s="832" t="str">
        <f t="shared" si="0"/>
        <v/>
      </c>
    </row>
    <row r="32" spans="1:10" hidden="1" x14ac:dyDescent="0.25">
      <c r="A32" s="1023"/>
      <c r="B32" s="1024" t="s">
        <v>414</v>
      </c>
      <c r="C32" s="1025">
        <f t="shared" ref="C32" si="22">SUM(C33:C34)</f>
        <v>0</v>
      </c>
      <c r="D32" s="1026">
        <f t="shared" ref="D32" si="23">SUM(D33:D34)</f>
        <v>0</v>
      </c>
      <c r="E32" s="1027">
        <f t="shared" ref="E32" si="24">SUM(E33:E34)</f>
        <v>0</v>
      </c>
      <c r="F32" s="1028">
        <f t="shared" ref="F32" si="25">SUM(F33:F34)</f>
        <v>0</v>
      </c>
      <c r="G32" s="1029">
        <f t="shared" ref="G32" si="26">SUM(G33:G34)</f>
        <v>0</v>
      </c>
      <c r="H32" s="1026">
        <f t="shared" ref="H32" si="27">SUM(H33:H34)</f>
        <v>0</v>
      </c>
      <c r="I32" s="1027">
        <f t="shared" ref="I32" si="28">SUM(I33:I34)</f>
        <v>0</v>
      </c>
      <c r="J32" s="1030" t="str">
        <f t="shared" si="0"/>
        <v/>
      </c>
    </row>
    <row r="33" spans="1:10" hidden="1" x14ac:dyDescent="0.25">
      <c r="A33" s="997"/>
      <c r="B33" s="1031" t="s">
        <v>672</v>
      </c>
      <c r="C33" s="999">
        <v>0</v>
      </c>
      <c r="D33" s="1000"/>
      <c r="E33" s="1001"/>
      <c r="F33" s="1002">
        <v>0</v>
      </c>
      <c r="G33" s="1003">
        <v>0</v>
      </c>
      <c r="H33" s="1000">
        <v>0</v>
      </c>
      <c r="I33" s="1001">
        <v>0</v>
      </c>
      <c r="J33" s="832" t="str">
        <f t="shared" si="0"/>
        <v/>
      </c>
    </row>
    <row r="34" spans="1:10" hidden="1" x14ac:dyDescent="0.25">
      <c r="A34" s="997"/>
      <c r="B34" s="1031" t="s">
        <v>671</v>
      </c>
      <c r="C34" s="999">
        <v>0</v>
      </c>
      <c r="D34" s="1000"/>
      <c r="E34" s="1001"/>
      <c r="F34" s="1002">
        <v>0</v>
      </c>
      <c r="G34" s="1003">
        <v>0</v>
      </c>
      <c r="H34" s="1000">
        <v>0</v>
      </c>
      <c r="I34" s="1001">
        <v>0</v>
      </c>
      <c r="J34" s="832" t="str">
        <f t="shared" si="0"/>
        <v/>
      </c>
    </row>
    <row r="35" spans="1:10" ht="17.25" thickBot="1" x14ac:dyDescent="0.3">
      <c r="A35" s="1032" t="s">
        <v>547</v>
      </c>
      <c r="B35" s="1033" t="s">
        <v>211</v>
      </c>
      <c r="C35" s="1034">
        <f>SUM(C32,C29)</f>
        <v>52314000</v>
      </c>
      <c r="D35" s="1035">
        <f t="shared" ref="D35:I35" si="29">SUM(D32,D29)</f>
        <v>52491869</v>
      </c>
      <c r="E35" s="1036">
        <f t="shared" si="29"/>
        <v>0</v>
      </c>
      <c r="F35" s="1037">
        <f t="shared" si="29"/>
        <v>40609201</v>
      </c>
      <c r="G35" s="1038">
        <f t="shared" si="29"/>
        <v>0</v>
      </c>
      <c r="H35" s="1035">
        <f t="shared" si="29"/>
        <v>27254545</v>
      </c>
      <c r="I35" s="1036">
        <f t="shared" si="29"/>
        <v>0</v>
      </c>
      <c r="J35" s="1039" t="str">
        <f t="shared" si="0"/>
        <v/>
      </c>
    </row>
    <row r="36" spans="1:10" ht="19.5" thickBot="1" x14ac:dyDescent="0.35">
      <c r="A36" s="1040" t="s">
        <v>212</v>
      </c>
      <c r="B36" s="1041" t="s">
        <v>213</v>
      </c>
      <c r="C36" s="1042">
        <f t="shared" ref="C36:I36" si="30">SUM(C35,C28,C13,C11,C5)</f>
        <v>106876855</v>
      </c>
      <c r="D36" s="1043">
        <f t="shared" si="30"/>
        <v>106737224</v>
      </c>
      <c r="E36" s="1044">
        <f t="shared" si="30"/>
        <v>24578074</v>
      </c>
      <c r="F36" s="1045">
        <f t="shared" si="30"/>
        <v>95008556</v>
      </c>
      <c r="G36" s="1046">
        <f t="shared" si="30"/>
        <v>36300718</v>
      </c>
      <c r="H36" s="1043">
        <f t="shared" si="30"/>
        <v>83704216</v>
      </c>
      <c r="I36" s="1044">
        <f t="shared" si="30"/>
        <v>52285556</v>
      </c>
      <c r="J36" s="986">
        <f t="shared" si="0"/>
        <v>0.62464662472915344</v>
      </c>
    </row>
  </sheetData>
  <sheetProtection algorithmName="SHA-512" hashValue="CzcjVHGBgzzrpnKensBt0CKlUjoIBlfrz6ldvb9Ma/5+NdESHAbhzBxQZdhmKtHfpPoxJb8QhmqRDdmhqWBAYg==" saltValue="9wZJd/Ns5HsEpzfwbvm59w==" spinCount="100000" sheet="1" formatCells="0" formatColumns="0" formatRows="0" insertColumns="0" insertRows="0" insertHyperlinks="0" deleteColumns="0" deleteRows="0" sort="0" autoFilter="0" pivotTables="0"/>
  <mergeCells count="6">
    <mergeCell ref="A1:A2"/>
    <mergeCell ref="J1:J2"/>
    <mergeCell ref="B1:B2"/>
    <mergeCell ref="D1:E1"/>
    <mergeCell ref="H1:I1"/>
    <mergeCell ref="F1:G1"/>
  </mergeCells>
  <phoneticPr fontId="2" type="noConversion"/>
  <printOptions horizontalCentered="1"/>
  <pageMargins left="0.59055118110236227" right="0.59055118110236227" top="0.86614173228346458" bottom="0.98425196850393704" header="0.35433070866141736" footer="0.51181102362204722"/>
  <pageSetup paperSize="9" scale="68" orientation="landscape" r:id="rId1"/>
  <headerFooter>
    <oddHeader>&amp;L&amp;"Arial,Normál"&amp;12Levél Községi Önkormányzat&amp;C&amp;"Arial,Félkövér"&amp;14ZÁRSZÁMADÁSI RENDELET - 2019. év
Pénzeszköz átadás&amp;R&amp;"Arial,Normál"&amp;11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rgb="FFC00000"/>
    <pageSetUpPr fitToPage="1"/>
  </sheetPr>
  <dimension ref="A1:J28"/>
  <sheetViews>
    <sheetView workbookViewId="0">
      <pane ySplit="2" topLeftCell="A3" activePane="bottomLeft" state="frozen"/>
      <selection pane="bottomLeft" activeCell="I27" sqref="I27"/>
    </sheetView>
  </sheetViews>
  <sheetFormatPr defaultColWidth="8.85546875" defaultRowHeight="15.75" x14ac:dyDescent="0.25"/>
  <cols>
    <col min="1" max="1" width="7.28515625" style="988" bestFit="1" customWidth="1"/>
    <col min="2" max="2" width="58" style="436" bestFit="1" customWidth="1"/>
    <col min="3" max="3" width="12.7109375" style="989" bestFit="1" customWidth="1"/>
    <col min="4" max="4" width="17.5703125" style="989" bestFit="1" customWidth="1"/>
    <col min="5" max="5" width="12.7109375" style="989" bestFit="1" customWidth="1"/>
    <col min="6" max="6" width="18.42578125" style="989" bestFit="1" customWidth="1"/>
    <col min="7" max="7" width="12.7109375" style="989" bestFit="1" customWidth="1"/>
    <col min="8" max="8" width="19.28515625" style="989" bestFit="1" customWidth="1"/>
    <col min="9" max="9" width="12.7109375" style="989" bestFit="1" customWidth="1"/>
    <col min="10" max="10" width="11.7109375" style="436" bestFit="1" customWidth="1"/>
    <col min="11" max="16384" width="8.85546875" style="436"/>
  </cols>
  <sheetData>
    <row r="1" spans="1:10" ht="16.5" thickBot="1" x14ac:dyDescent="0.3">
      <c r="A1" s="1321" t="s">
        <v>222</v>
      </c>
      <c r="B1" s="1322" t="s">
        <v>347</v>
      </c>
      <c r="C1" s="939">
        <v>2019</v>
      </c>
      <c r="D1" s="1305">
        <v>2019</v>
      </c>
      <c r="E1" s="1324"/>
      <c r="F1" s="1305" t="s">
        <v>642</v>
      </c>
      <c r="G1" s="1324"/>
      <c r="H1" s="1325">
        <v>2019</v>
      </c>
      <c r="I1" s="1326"/>
      <c r="J1" s="1323" t="s">
        <v>644</v>
      </c>
    </row>
    <row r="2" spans="1:10" ht="16.5" thickBot="1" x14ac:dyDescent="0.3">
      <c r="A2" s="1321"/>
      <c r="B2" s="1322"/>
      <c r="C2" s="940" t="s">
        <v>57</v>
      </c>
      <c r="D2" s="941" t="s">
        <v>648</v>
      </c>
      <c r="E2" s="942" t="s">
        <v>496</v>
      </c>
      <c r="F2" s="941" t="s">
        <v>649</v>
      </c>
      <c r="G2" s="942" t="s">
        <v>496</v>
      </c>
      <c r="H2" s="941" t="s">
        <v>650</v>
      </c>
      <c r="I2" s="943" t="s">
        <v>496</v>
      </c>
      <c r="J2" s="1323"/>
    </row>
    <row r="3" spans="1:10" hidden="1" x14ac:dyDescent="0.25">
      <c r="A3" s="944" t="s">
        <v>219</v>
      </c>
      <c r="B3" s="945" t="s">
        <v>70</v>
      </c>
      <c r="C3" s="946"/>
      <c r="D3" s="947"/>
      <c r="E3" s="948"/>
      <c r="F3" s="947"/>
      <c r="G3" s="948"/>
      <c r="H3" s="947"/>
      <c r="I3" s="949"/>
      <c r="J3" s="842" t="str">
        <f t="shared" ref="J3:J28" si="0">IF(OR(I3="",I3=0),"",I3/H3)</f>
        <v/>
      </c>
    </row>
    <row r="4" spans="1:10" hidden="1" x14ac:dyDescent="0.25">
      <c r="A4" s="950"/>
      <c r="B4" s="951" t="s">
        <v>232</v>
      </c>
      <c r="C4" s="952"/>
      <c r="D4" s="953"/>
      <c r="E4" s="954"/>
      <c r="F4" s="953"/>
      <c r="G4" s="954"/>
      <c r="H4" s="953"/>
      <c r="I4" s="955"/>
      <c r="J4" s="832" t="str">
        <f t="shared" si="0"/>
        <v/>
      </c>
    </row>
    <row r="5" spans="1:10" x14ac:dyDescent="0.25">
      <c r="A5" s="956" t="s">
        <v>214</v>
      </c>
      <c r="B5" s="957" t="s">
        <v>215</v>
      </c>
      <c r="C5" s="958">
        <f t="shared" ref="C5:I5" si="1">SUM(C3:C4)</f>
        <v>0</v>
      </c>
      <c r="D5" s="959">
        <f t="shared" si="1"/>
        <v>0</v>
      </c>
      <c r="E5" s="960">
        <f t="shared" si="1"/>
        <v>0</v>
      </c>
      <c r="F5" s="959">
        <f t="shared" si="1"/>
        <v>0</v>
      </c>
      <c r="G5" s="960">
        <f t="shared" si="1"/>
        <v>0</v>
      </c>
      <c r="H5" s="959">
        <f t="shared" si="1"/>
        <v>0</v>
      </c>
      <c r="I5" s="961">
        <f t="shared" si="1"/>
        <v>0</v>
      </c>
      <c r="J5" s="962" t="str">
        <f t="shared" si="0"/>
        <v/>
      </c>
    </row>
    <row r="6" spans="1:10" hidden="1" x14ac:dyDescent="0.25">
      <c r="A6" s="950" t="s">
        <v>220</v>
      </c>
      <c r="B6" s="951" t="s">
        <v>62</v>
      </c>
      <c r="C6" s="952"/>
      <c r="D6" s="953"/>
      <c r="E6" s="954"/>
      <c r="F6" s="953"/>
      <c r="G6" s="954"/>
      <c r="H6" s="953"/>
      <c r="I6" s="955"/>
      <c r="J6" s="832" t="str">
        <f t="shared" si="0"/>
        <v/>
      </c>
    </row>
    <row r="7" spans="1:10" hidden="1" x14ac:dyDescent="0.25">
      <c r="A7" s="950" t="s">
        <v>221</v>
      </c>
      <c r="B7" s="951" t="s">
        <v>218</v>
      </c>
      <c r="C7" s="952"/>
      <c r="D7" s="953"/>
      <c r="E7" s="954"/>
      <c r="F7" s="953"/>
      <c r="G7" s="954"/>
      <c r="H7" s="953"/>
      <c r="I7" s="955"/>
      <c r="J7" s="832" t="str">
        <f t="shared" si="0"/>
        <v/>
      </c>
    </row>
    <row r="8" spans="1:10" x14ac:dyDescent="0.25">
      <c r="A8" s="956" t="s">
        <v>216</v>
      </c>
      <c r="B8" s="957" t="s">
        <v>217</v>
      </c>
      <c r="C8" s="958">
        <f t="shared" ref="C8:I8" si="2">SUM(C6:C7)</f>
        <v>0</v>
      </c>
      <c r="D8" s="959">
        <f t="shared" si="2"/>
        <v>0</v>
      </c>
      <c r="E8" s="960">
        <f t="shared" si="2"/>
        <v>0</v>
      </c>
      <c r="F8" s="959">
        <f t="shared" si="2"/>
        <v>0</v>
      </c>
      <c r="G8" s="960">
        <f t="shared" si="2"/>
        <v>0</v>
      </c>
      <c r="H8" s="959">
        <f t="shared" si="2"/>
        <v>0</v>
      </c>
      <c r="I8" s="961">
        <f t="shared" si="2"/>
        <v>0</v>
      </c>
      <c r="J8" s="962" t="str">
        <f t="shared" si="0"/>
        <v/>
      </c>
    </row>
    <row r="9" spans="1:10" hidden="1" x14ac:dyDescent="0.25">
      <c r="A9" s="950"/>
      <c r="B9" s="951" t="s">
        <v>104</v>
      </c>
      <c r="C9" s="952"/>
      <c r="D9" s="953"/>
      <c r="E9" s="954"/>
      <c r="F9" s="953"/>
      <c r="G9" s="954"/>
      <c r="H9" s="953"/>
      <c r="I9" s="955"/>
      <c r="J9" s="832" t="str">
        <f t="shared" si="0"/>
        <v/>
      </c>
    </row>
    <row r="10" spans="1:10" x14ac:dyDescent="0.25">
      <c r="A10" s="956" t="s">
        <v>223</v>
      </c>
      <c r="B10" s="957" t="s">
        <v>224</v>
      </c>
      <c r="C10" s="958">
        <f>SUM(C9:C9)</f>
        <v>0</v>
      </c>
      <c r="D10" s="959">
        <f t="shared" ref="D10:I10" si="3">SUM(D9:D9)</f>
        <v>0</v>
      </c>
      <c r="E10" s="960">
        <f t="shared" si="3"/>
        <v>0</v>
      </c>
      <c r="F10" s="959">
        <f t="shared" si="3"/>
        <v>0</v>
      </c>
      <c r="G10" s="960">
        <f t="shared" si="3"/>
        <v>0</v>
      </c>
      <c r="H10" s="959">
        <f t="shared" si="3"/>
        <v>0</v>
      </c>
      <c r="I10" s="961">
        <f t="shared" si="3"/>
        <v>0</v>
      </c>
      <c r="J10" s="962" t="str">
        <f t="shared" si="0"/>
        <v/>
      </c>
    </row>
    <row r="11" spans="1:10" hidden="1" x14ac:dyDescent="0.25">
      <c r="A11" s="950"/>
      <c r="B11" s="951" t="s">
        <v>66</v>
      </c>
      <c r="C11" s="952"/>
      <c r="D11" s="953"/>
      <c r="E11" s="954"/>
      <c r="F11" s="953"/>
      <c r="G11" s="954"/>
      <c r="H11" s="953"/>
      <c r="I11" s="955"/>
      <c r="J11" s="832" t="str">
        <f t="shared" si="0"/>
        <v/>
      </c>
    </row>
    <row r="12" spans="1:10" hidden="1" x14ac:dyDescent="0.25">
      <c r="A12" s="950"/>
      <c r="B12" s="951" t="s">
        <v>227</v>
      </c>
      <c r="C12" s="952"/>
      <c r="D12" s="953"/>
      <c r="E12" s="954"/>
      <c r="F12" s="953"/>
      <c r="G12" s="954"/>
      <c r="H12" s="953"/>
      <c r="I12" s="955"/>
      <c r="J12" s="832" t="str">
        <f t="shared" si="0"/>
        <v/>
      </c>
    </row>
    <row r="13" spans="1:10" hidden="1" x14ac:dyDescent="0.25">
      <c r="A13" s="950"/>
      <c r="B13" s="951" t="s">
        <v>235</v>
      </c>
      <c r="C13" s="952"/>
      <c r="D13" s="953"/>
      <c r="E13" s="954"/>
      <c r="F13" s="953"/>
      <c r="G13" s="954"/>
      <c r="H13" s="953"/>
      <c r="I13" s="955"/>
      <c r="J13" s="832" t="str">
        <f t="shared" si="0"/>
        <v/>
      </c>
    </row>
    <row r="14" spans="1:10" x14ac:dyDescent="0.25">
      <c r="A14" s="956" t="s">
        <v>225</v>
      </c>
      <c r="B14" s="957" t="s">
        <v>226</v>
      </c>
      <c r="C14" s="958">
        <f t="shared" ref="C14:I14" si="4">SUM(C11:C13)</f>
        <v>0</v>
      </c>
      <c r="D14" s="959">
        <f t="shared" si="4"/>
        <v>0</v>
      </c>
      <c r="E14" s="960">
        <f t="shared" si="4"/>
        <v>0</v>
      </c>
      <c r="F14" s="959">
        <f t="shared" si="4"/>
        <v>0</v>
      </c>
      <c r="G14" s="960">
        <f t="shared" si="4"/>
        <v>0</v>
      </c>
      <c r="H14" s="959">
        <f t="shared" si="4"/>
        <v>0</v>
      </c>
      <c r="I14" s="961">
        <f t="shared" si="4"/>
        <v>0</v>
      </c>
      <c r="J14" s="962" t="str">
        <f t="shared" si="0"/>
        <v/>
      </c>
    </row>
    <row r="15" spans="1:10" hidden="1" x14ac:dyDescent="0.25">
      <c r="A15" s="950"/>
      <c r="B15" s="951" t="s">
        <v>364</v>
      </c>
      <c r="C15" s="952"/>
      <c r="D15" s="953">
        <f>C15</f>
        <v>0</v>
      </c>
      <c r="E15" s="954"/>
      <c r="F15" s="953"/>
      <c r="G15" s="954"/>
      <c r="H15" s="953"/>
      <c r="I15" s="955"/>
      <c r="J15" s="832" t="str">
        <f t="shared" si="0"/>
        <v/>
      </c>
    </row>
    <row r="16" spans="1:10" hidden="1" x14ac:dyDescent="0.25">
      <c r="A16" s="950"/>
      <c r="B16" s="951" t="s">
        <v>367</v>
      </c>
      <c r="C16" s="952"/>
      <c r="D16" s="953">
        <f t="shared" ref="D16:D20" si="5">C16</f>
        <v>0</v>
      </c>
      <c r="E16" s="954"/>
      <c r="F16" s="953"/>
      <c r="G16" s="954"/>
      <c r="H16" s="953"/>
      <c r="I16" s="955"/>
      <c r="J16" s="832" t="str">
        <f t="shared" si="0"/>
        <v/>
      </c>
    </row>
    <row r="17" spans="1:10" hidden="1" x14ac:dyDescent="0.25">
      <c r="A17" s="950"/>
      <c r="B17" s="951" t="s">
        <v>365</v>
      </c>
      <c r="C17" s="952"/>
      <c r="D17" s="953">
        <f t="shared" si="5"/>
        <v>0</v>
      </c>
      <c r="E17" s="954"/>
      <c r="F17" s="953"/>
      <c r="G17" s="954"/>
      <c r="H17" s="953"/>
      <c r="I17" s="955"/>
      <c r="J17" s="832" t="str">
        <f t="shared" si="0"/>
        <v/>
      </c>
    </row>
    <row r="18" spans="1:10" hidden="1" x14ac:dyDescent="0.25">
      <c r="A18" s="950"/>
      <c r="B18" s="951" t="s">
        <v>366</v>
      </c>
      <c r="C18" s="952"/>
      <c r="D18" s="953">
        <f t="shared" si="5"/>
        <v>0</v>
      </c>
      <c r="E18" s="954"/>
      <c r="F18" s="953"/>
      <c r="G18" s="954"/>
      <c r="H18" s="953"/>
      <c r="I18" s="955"/>
      <c r="J18" s="832" t="str">
        <f t="shared" si="0"/>
        <v/>
      </c>
    </row>
    <row r="19" spans="1:10" x14ac:dyDescent="0.25">
      <c r="A19" s="950"/>
      <c r="B19" s="963" t="s">
        <v>552</v>
      </c>
      <c r="C19" s="952">
        <v>360000</v>
      </c>
      <c r="D19" s="953">
        <f t="shared" si="5"/>
        <v>360000</v>
      </c>
      <c r="E19" s="954">
        <v>180000</v>
      </c>
      <c r="F19" s="953">
        <v>360000</v>
      </c>
      <c r="G19" s="954">
        <v>180000</v>
      </c>
      <c r="H19" s="953">
        <v>360000</v>
      </c>
      <c r="I19" s="955">
        <v>360000</v>
      </c>
      <c r="J19" s="832">
        <f t="shared" si="0"/>
        <v>1</v>
      </c>
    </row>
    <row r="20" spans="1:10" hidden="1" x14ac:dyDescent="0.25">
      <c r="A20" s="950"/>
      <c r="B20" s="964" t="s">
        <v>551</v>
      </c>
      <c r="C20" s="952"/>
      <c r="D20" s="953">
        <f t="shared" si="5"/>
        <v>0</v>
      </c>
      <c r="E20" s="954"/>
      <c r="F20" s="953"/>
      <c r="G20" s="954"/>
      <c r="H20" s="953"/>
      <c r="I20" s="955"/>
      <c r="J20" s="832" t="str">
        <f t="shared" si="0"/>
        <v/>
      </c>
    </row>
    <row r="21" spans="1:10" x14ac:dyDescent="0.25">
      <c r="A21" s="956" t="s">
        <v>228</v>
      </c>
      <c r="B21" s="957" t="s">
        <v>229</v>
      </c>
      <c r="C21" s="958">
        <f>SUM(C15:C20)</f>
        <v>360000</v>
      </c>
      <c r="D21" s="959">
        <f t="shared" ref="D21:I21" si="6">SUM(D15:D20)</f>
        <v>360000</v>
      </c>
      <c r="E21" s="960">
        <f t="shared" si="6"/>
        <v>180000</v>
      </c>
      <c r="F21" s="959">
        <f t="shared" si="6"/>
        <v>360000</v>
      </c>
      <c r="G21" s="960">
        <f t="shared" si="6"/>
        <v>180000</v>
      </c>
      <c r="H21" s="959">
        <f t="shared" si="6"/>
        <v>360000</v>
      </c>
      <c r="I21" s="961">
        <f t="shared" si="6"/>
        <v>360000</v>
      </c>
      <c r="J21" s="962">
        <f t="shared" si="0"/>
        <v>1</v>
      </c>
    </row>
    <row r="22" spans="1:10" s="395" customFormat="1" x14ac:dyDescent="0.2">
      <c r="A22" s="965"/>
      <c r="B22" s="966" t="s">
        <v>480</v>
      </c>
      <c r="C22" s="967">
        <v>2451800</v>
      </c>
      <c r="D22" s="968">
        <f>C22</f>
        <v>2451800</v>
      </c>
      <c r="E22" s="969">
        <f>437000+100000+854500+120000+75000</f>
        <v>1586500</v>
      </c>
      <c r="F22" s="968">
        <v>2451800</v>
      </c>
      <c r="G22" s="969">
        <v>2262000</v>
      </c>
      <c r="H22" s="968">
        <v>2611400</v>
      </c>
      <c r="I22" s="970">
        <v>2611400</v>
      </c>
      <c r="J22" s="971">
        <f t="shared" si="0"/>
        <v>1</v>
      </c>
    </row>
    <row r="23" spans="1:10" s="395" customFormat="1" x14ac:dyDescent="0.2">
      <c r="A23" s="965"/>
      <c r="B23" s="413" t="s">
        <v>415</v>
      </c>
      <c r="C23" s="967">
        <v>1000000</v>
      </c>
      <c r="D23" s="968">
        <f t="shared" ref="D23:D25" si="7">C23</f>
        <v>1000000</v>
      </c>
      <c r="E23" s="969"/>
      <c r="F23" s="968">
        <v>1000000</v>
      </c>
      <c r="G23" s="969"/>
      <c r="H23" s="968">
        <v>1135000</v>
      </c>
      <c r="I23" s="970">
        <v>1135000</v>
      </c>
      <c r="J23" s="971">
        <f t="shared" si="0"/>
        <v>1</v>
      </c>
    </row>
    <row r="24" spans="1:10" s="395" customFormat="1" x14ac:dyDescent="0.2">
      <c r="A24" s="965"/>
      <c r="B24" s="966" t="s">
        <v>481</v>
      </c>
      <c r="C24" s="967">
        <v>200000</v>
      </c>
      <c r="D24" s="968">
        <f t="shared" si="7"/>
        <v>200000</v>
      </c>
      <c r="E24" s="969"/>
      <c r="F24" s="968">
        <v>200000</v>
      </c>
      <c r="G24" s="969">
        <v>226066</v>
      </c>
      <c r="H24" s="968">
        <v>226066</v>
      </c>
      <c r="I24" s="970">
        <v>226066</v>
      </c>
      <c r="J24" s="971">
        <f t="shared" si="0"/>
        <v>1</v>
      </c>
    </row>
    <row r="25" spans="1:10" s="395" customFormat="1" ht="31.5" x14ac:dyDescent="0.2">
      <c r="A25" s="965"/>
      <c r="B25" s="972" t="s">
        <v>550</v>
      </c>
      <c r="C25" s="967">
        <v>685000</v>
      </c>
      <c r="D25" s="968">
        <f t="shared" si="7"/>
        <v>685000</v>
      </c>
      <c r="E25" s="969">
        <f>27750+312300</f>
        <v>340050</v>
      </c>
      <c r="F25" s="968">
        <v>685000</v>
      </c>
      <c r="G25" s="969">
        <v>569410</v>
      </c>
      <c r="H25" s="968">
        <v>801810</v>
      </c>
      <c r="I25" s="970">
        <v>801810</v>
      </c>
      <c r="J25" s="971">
        <f t="shared" si="0"/>
        <v>1</v>
      </c>
    </row>
    <row r="26" spans="1:10" s="395" customFormat="1" x14ac:dyDescent="0.2">
      <c r="A26" s="965"/>
      <c r="B26" s="972" t="s">
        <v>553</v>
      </c>
      <c r="C26" s="967">
        <v>2304000</v>
      </c>
      <c r="D26" s="968">
        <f>C26-2304000</f>
        <v>0</v>
      </c>
      <c r="E26" s="969"/>
      <c r="F26" s="968">
        <v>0</v>
      </c>
      <c r="G26" s="969">
        <v>0</v>
      </c>
      <c r="H26" s="968">
        <v>0</v>
      </c>
      <c r="I26" s="970">
        <v>0</v>
      </c>
      <c r="J26" s="971" t="str">
        <f t="shared" si="0"/>
        <v/>
      </c>
    </row>
    <row r="27" spans="1:10" ht="16.5" thickBot="1" x14ac:dyDescent="0.3">
      <c r="A27" s="973" t="s">
        <v>230</v>
      </c>
      <c r="B27" s="974" t="s">
        <v>231</v>
      </c>
      <c r="C27" s="975">
        <f>SUM(C22:C26)</f>
        <v>6640800</v>
      </c>
      <c r="D27" s="976">
        <f t="shared" ref="D27:I27" si="8">SUM(D22:D26)</f>
        <v>4336800</v>
      </c>
      <c r="E27" s="977">
        <f t="shared" si="8"/>
        <v>1926550</v>
      </c>
      <c r="F27" s="976">
        <f t="shared" si="8"/>
        <v>4336800</v>
      </c>
      <c r="G27" s="977">
        <f t="shared" si="8"/>
        <v>3057476</v>
      </c>
      <c r="H27" s="976">
        <f t="shared" si="8"/>
        <v>4774276</v>
      </c>
      <c r="I27" s="978">
        <f t="shared" si="8"/>
        <v>4774276</v>
      </c>
      <c r="J27" s="979">
        <f t="shared" si="0"/>
        <v>1</v>
      </c>
    </row>
    <row r="28" spans="1:10" s="987" customFormat="1" ht="19.5" thickBot="1" x14ac:dyDescent="0.35">
      <c r="A28" s="980" t="s">
        <v>203</v>
      </c>
      <c r="B28" s="981" t="s">
        <v>240</v>
      </c>
      <c r="C28" s="982">
        <f t="shared" ref="C28" si="9">SUM(C5,C8,C10,C14,C21,C27)</f>
        <v>7000800</v>
      </c>
      <c r="D28" s="983">
        <f t="shared" ref="D28" si="10">SUM(D5,D8,D10,D14,D21,D27)</f>
        <v>4696800</v>
      </c>
      <c r="E28" s="984">
        <f t="shared" ref="E28" si="11">SUM(E5,E8,E10,E14,E21,E27)</f>
        <v>2106550</v>
      </c>
      <c r="F28" s="983">
        <f t="shared" ref="F28" si="12">SUM(F5,F8,F10,F14,F21,F27)</f>
        <v>4696800</v>
      </c>
      <c r="G28" s="984">
        <f t="shared" ref="G28" si="13">SUM(G5,G8,G10,G14,G21,G27)</f>
        <v>3237476</v>
      </c>
      <c r="H28" s="983">
        <f t="shared" ref="H28" si="14">SUM(H5,H8,H10,H14,H21,H27)</f>
        <v>5134276</v>
      </c>
      <c r="I28" s="985">
        <f t="shared" ref="I28" si="15">SUM(I5,I8,I10,I14,I21,I27)</f>
        <v>5134276</v>
      </c>
      <c r="J28" s="986">
        <f t="shared" si="0"/>
        <v>1</v>
      </c>
    </row>
  </sheetData>
  <sheetProtection algorithmName="SHA-512" hashValue="63hja1vIJtcub2o86yuxFhtZSeE2yM6sKb1E08Nc0xFSMFMJkFoN7bA9jKPO5eZTwK2gCEQgSWJIpC8VLZc93w==" saltValue="BPDZfmyfBbxXxJtX5CzagA==" spinCount="100000" sheet="1" formatCells="0" formatColumns="0" formatRows="0" insertColumns="0" insertRows="0" insertHyperlinks="0" deleteColumns="0" deleteRows="0" sort="0" autoFilter="0" pivotTables="0"/>
  <mergeCells count="6">
    <mergeCell ref="A1:A2"/>
    <mergeCell ref="B1:B2"/>
    <mergeCell ref="J1:J2"/>
    <mergeCell ref="D1:E1"/>
    <mergeCell ref="H1:I1"/>
    <mergeCell ref="F1:G1"/>
  </mergeCells>
  <phoneticPr fontId="2" type="noConversion"/>
  <printOptions horizontalCentered="1"/>
  <pageMargins left="0.59055118110236227" right="0.59055118110236227" top="1.0629921259842521" bottom="0.98425196850393704" header="0.47244094488188981" footer="0.51181102362204722"/>
  <pageSetup paperSize="9" scale="50" orientation="portrait" r:id="rId1"/>
  <headerFooter>
    <oddHeader>&amp;L&amp;"Arial,Normál"&amp;12Levél Községi
Önkormányzat&amp;C&amp;"Arial,Félkövér"&amp;14ZÁRSZÁMADÁSI RENDELET - 2019. év
Szociális juttatások&amp;R&amp;"Arial,Normál" 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Y141"/>
  <sheetViews>
    <sheetView zoomScale="90" zoomScaleNormal="90" workbookViewId="0">
      <pane xSplit="1" ySplit="3" topLeftCell="B45" activePane="bottomRight" state="frozen"/>
      <selection pane="topRight" activeCell="B1" sqref="B1"/>
      <selection pane="bottomLeft" activeCell="A4" sqref="A4"/>
      <selection pane="bottomRight" activeCell="H66" sqref="H66"/>
    </sheetView>
  </sheetViews>
  <sheetFormatPr defaultColWidth="9.140625" defaultRowHeight="15.75" x14ac:dyDescent="0.25"/>
  <cols>
    <col min="1" max="1" width="7.5703125" style="553" bestFit="1" customWidth="1"/>
    <col min="2" max="2" width="78.7109375" style="553" bestFit="1" customWidth="1"/>
    <col min="3" max="9" width="14.140625" style="553" bestFit="1" customWidth="1"/>
    <col min="10" max="10" width="10.5703125" style="566" bestFit="1" customWidth="1"/>
    <col min="11" max="11" width="3.5703125" style="567" customWidth="1"/>
    <col min="12" max="12" width="12.7109375" style="556" bestFit="1" customWidth="1"/>
    <col min="13" max="13" width="12.42578125" style="556" bestFit="1" customWidth="1"/>
    <col min="14" max="14" width="12.7109375" style="556" bestFit="1" customWidth="1"/>
    <col min="15" max="15" width="11" style="556" bestFit="1" customWidth="1"/>
    <col min="16" max="16" width="11.42578125" style="556" bestFit="1" customWidth="1"/>
    <col min="17" max="17" width="13.42578125" style="557" bestFit="1" customWidth="1"/>
    <col min="18" max="18" width="14.140625" style="556" bestFit="1" customWidth="1"/>
    <col min="19" max="19" width="13" style="556" bestFit="1" customWidth="1"/>
    <col min="20" max="20" width="11.85546875" style="439" bestFit="1" customWidth="1"/>
    <col min="21" max="21" width="9.5703125" style="556" bestFit="1" customWidth="1"/>
    <col min="22" max="22" width="12.7109375" style="556" bestFit="1" customWidth="1"/>
    <col min="23" max="23" width="13.85546875" style="556" bestFit="1" customWidth="1"/>
    <col min="24" max="24" width="11.5703125" style="556" bestFit="1" customWidth="1"/>
    <col min="25" max="25" width="12.7109375" style="439" bestFit="1" customWidth="1"/>
    <col min="26" max="26" width="11.42578125" style="556" bestFit="1" customWidth="1"/>
    <col min="27" max="27" width="12.7109375" style="556" bestFit="1" customWidth="1"/>
    <col min="28" max="28" width="9.5703125" style="556" bestFit="1" customWidth="1"/>
    <col min="29" max="29" width="12.7109375" style="556" bestFit="1" customWidth="1"/>
    <col min="30" max="30" width="11.140625" style="556" bestFit="1" customWidth="1"/>
    <col min="31" max="31" width="9.5703125" style="556" bestFit="1" customWidth="1"/>
    <col min="32" max="32" width="11.42578125" style="556" bestFit="1" customWidth="1"/>
    <col min="33" max="33" width="9.85546875" style="556" bestFit="1" customWidth="1"/>
    <col min="34" max="34" width="12.42578125" style="556" bestFit="1" customWidth="1"/>
    <col min="35" max="35" width="11.42578125" style="556" bestFit="1" customWidth="1"/>
    <col min="36" max="36" width="12.7109375" style="556" bestFit="1" customWidth="1"/>
    <col min="37" max="37" width="9.5703125" style="556" bestFit="1" customWidth="1"/>
    <col min="38" max="38" width="12.140625" style="556" bestFit="1" customWidth="1"/>
    <col min="39" max="39" width="12.7109375" style="556" bestFit="1" customWidth="1"/>
    <col min="40" max="40" width="11.28515625" style="556" bestFit="1" customWidth="1"/>
    <col min="41" max="41" width="11.42578125" style="556" bestFit="1" customWidth="1"/>
    <col min="42" max="42" width="15.28515625" style="556" bestFit="1" customWidth="1"/>
    <col min="43" max="44" width="15.7109375" style="556" bestFit="1" customWidth="1"/>
    <col min="45" max="45" width="12.140625" style="556" bestFit="1" customWidth="1"/>
    <col min="46" max="46" width="13.140625" style="556" bestFit="1" customWidth="1"/>
    <col min="47" max="47" width="11.42578125" style="556" bestFit="1" customWidth="1"/>
    <col min="48" max="48" width="14.140625" style="556" bestFit="1" customWidth="1"/>
    <col min="49" max="49" width="10.7109375" style="556" bestFit="1" customWidth="1"/>
    <col min="50" max="50" width="11.42578125" style="556" bestFit="1" customWidth="1"/>
    <col min="51" max="51" width="14.140625" style="558" bestFit="1" customWidth="1"/>
    <col min="52" max="16384" width="9.140625" style="439"/>
  </cols>
  <sheetData>
    <row r="1" spans="1:51" ht="19.5" thickBot="1" x14ac:dyDescent="0.3">
      <c r="A1" s="1349" t="s">
        <v>677</v>
      </c>
      <c r="B1" s="1352" t="s">
        <v>311</v>
      </c>
      <c r="C1" s="1343" t="s">
        <v>722</v>
      </c>
      <c r="D1" s="1346" t="s">
        <v>723</v>
      </c>
      <c r="E1" s="1329"/>
      <c r="F1" s="1329" t="s">
        <v>642</v>
      </c>
      <c r="G1" s="1329"/>
      <c r="H1" s="1329" t="s">
        <v>645</v>
      </c>
      <c r="I1" s="1330"/>
      <c r="J1" s="1335" t="s">
        <v>643</v>
      </c>
      <c r="K1" s="1121"/>
      <c r="L1" s="1340" t="s">
        <v>759</v>
      </c>
      <c r="M1" s="1340"/>
      <c r="N1" s="1340"/>
      <c r="O1" s="1340"/>
      <c r="P1" s="1340"/>
      <c r="Q1" s="1340"/>
      <c r="R1" s="1340"/>
      <c r="S1" s="1340"/>
      <c r="T1" s="1340"/>
      <c r="U1" s="1340"/>
      <c r="V1" s="1340"/>
      <c r="W1" s="1340"/>
      <c r="X1" s="1340"/>
      <c r="Y1" s="1340"/>
      <c r="Z1" s="1340"/>
      <c r="AA1" s="1340"/>
      <c r="AB1" s="1340"/>
      <c r="AC1" s="1340"/>
      <c r="AD1" s="1340"/>
      <c r="AE1" s="1340"/>
      <c r="AF1" s="1340"/>
      <c r="AG1" s="1340"/>
      <c r="AH1" s="1340"/>
      <c r="AI1" s="1340"/>
      <c r="AJ1" s="1340"/>
      <c r="AK1" s="1340"/>
      <c r="AL1" s="1340"/>
      <c r="AM1" s="1340"/>
      <c r="AN1" s="1340"/>
      <c r="AO1" s="1340"/>
      <c r="AP1" s="1340"/>
      <c r="AQ1" s="1340"/>
      <c r="AR1" s="1340"/>
      <c r="AS1" s="1340"/>
      <c r="AT1" s="1340"/>
      <c r="AU1" s="1340"/>
      <c r="AV1" s="1340"/>
      <c r="AW1" s="1340"/>
      <c r="AX1" s="1340"/>
      <c r="AY1" s="1340"/>
    </row>
    <row r="2" spans="1:51" x14ac:dyDescent="0.25">
      <c r="A2" s="1350"/>
      <c r="B2" s="1353"/>
      <c r="C2" s="1344"/>
      <c r="D2" s="1347" t="s">
        <v>767</v>
      </c>
      <c r="E2" s="1338" t="s">
        <v>496</v>
      </c>
      <c r="F2" s="1331" t="s">
        <v>770</v>
      </c>
      <c r="G2" s="1338" t="s">
        <v>496</v>
      </c>
      <c r="H2" s="1331" t="s">
        <v>771</v>
      </c>
      <c r="I2" s="1333" t="s">
        <v>496</v>
      </c>
      <c r="J2" s="1336"/>
      <c r="K2" s="1122"/>
      <c r="L2" s="440" t="s">
        <v>712</v>
      </c>
      <c r="M2" s="440" t="s">
        <v>696</v>
      </c>
      <c r="N2" s="440" t="s">
        <v>684</v>
      </c>
      <c r="O2" s="440" t="s">
        <v>713</v>
      </c>
      <c r="P2" s="440" t="s">
        <v>707</v>
      </c>
      <c r="Q2" s="440" t="s">
        <v>758</v>
      </c>
      <c r="R2" s="440" t="s">
        <v>710</v>
      </c>
      <c r="S2" s="440" t="s">
        <v>701</v>
      </c>
      <c r="T2" s="440" t="s">
        <v>715</v>
      </c>
      <c r="U2" s="440" t="s">
        <v>685</v>
      </c>
      <c r="V2" s="440" t="s">
        <v>680</v>
      </c>
      <c r="W2" s="440" t="s">
        <v>690</v>
      </c>
      <c r="X2" s="440" t="s">
        <v>679</v>
      </c>
      <c r="Y2" s="440" t="s">
        <v>678</v>
      </c>
      <c r="Z2" s="440" t="s">
        <v>697</v>
      </c>
      <c r="AA2" s="440" t="s">
        <v>686</v>
      </c>
      <c r="AB2" s="440" t="s">
        <v>705</v>
      </c>
      <c r="AC2" s="440" t="s">
        <v>711</v>
      </c>
      <c r="AD2" s="440" t="s">
        <v>706</v>
      </c>
      <c r="AE2" s="440" t="s">
        <v>700</v>
      </c>
      <c r="AF2" s="440" t="s">
        <v>687</v>
      </c>
      <c r="AG2" s="440" t="s">
        <v>688</v>
      </c>
      <c r="AH2" s="440" t="s">
        <v>695</v>
      </c>
      <c r="AI2" s="440" t="s">
        <v>693</v>
      </c>
      <c r="AJ2" s="440" t="s">
        <v>694</v>
      </c>
      <c r="AK2" s="440" t="s">
        <v>682</v>
      </c>
      <c r="AL2" s="440" t="s">
        <v>681</v>
      </c>
      <c r="AM2" s="440" t="s">
        <v>698</v>
      </c>
      <c r="AN2" s="440" t="s">
        <v>699</v>
      </c>
      <c r="AO2" s="440" t="s">
        <v>692</v>
      </c>
      <c r="AP2" s="440" t="s">
        <v>702</v>
      </c>
      <c r="AQ2" s="440" t="s">
        <v>703</v>
      </c>
      <c r="AR2" s="440" t="s">
        <v>704</v>
      </c>
      <c r="AS2" s="440" t="s">
        <v>691</v>
      </c>
      <c r="AT2" s="440" t="s">
        <v>683</v>
      </c>
      <c r="AU2" s="440" t="s">
        <v>689</v>
      </c>
      <c r="AV2" s="440" t="s">
        <v>714</v>
      </c>
      <c r="AW2" s="440" t="s">
        <v>709</v>
      </c>
      <c r="AX2" s="441" t="s">
        <v>708</v>
      </c>
      <c r="AY2" s="1327" t="s">
        <v>624</v>
      </c>
    </row>
    <row r="3" spans="1:51" ht="48" thickBot="1" x14ac:dyDescent="0.3">
      <c r="A3" s="1351"/>
      <c r="B3" s="1354"/>
      <c r="C3" s="1345"/>
      <c r="D3" s="1348"/>
      <c r="E3" s="1339"/>
      <c r="F3" s="1332"/>
      <c r="G3" s="1339"/>
      <c r="H3" s="1332"/>
      <c r="I3" s="1334"/>
      <c r="J3" s="1337"/>
      <c r="K3" s="1122"/>
      <c r="L3" s="442" t="s">
        <v>755</v>
      </c>
      <c r="M3" s="442" t="s">
        <v>741</v>
      </c>
      <c r="N3" s="442" t="s">
        <v>730</v>
      </c>
      <c r="O3" s="442" t="s">
        <v>717</v>
      </c>
      <c r="P3" s="442" t="s">
        <v>749</v>
      </c>
      <c r="Q3" s="443" t="s">
        <v>753</v>
      </c>
      <c r="R3" s="442" t="s">
        <v>752</v>
      </c>
      <c r="S3" s="442" t="s">
        <v>744</v>
      </c>
      <c r="T3" s="444" t="s">
        <v>716</v>
      </c>
      <c r="U3" s="442" t="s">
        <v>731</v>
      </c>
      <c r="V3" s="442" t="s">
        <v>726</v>
      </c>
      <c r="W3" s="442" t="s">
        <v>735</v>
      </c>
      <c r="X3" s="442" t="s">
        <v>757</v>
      </c>
      <c r="Y3" s="444" t="s">
        <v>725</v>
      </c>
      <c r="Z3" s="442" t="s">
        <v>720</v>
      </c>
      <c r="AA3" s="442" t="s">
        <v>721</v>
      </c>
      <c r="AB3" s="442" t="s">
        <v>748</v>
      </c>
      <c r="AC3" s="442" t="s">
        <v>754</v>
      </c>
      <c r="AD3" s="442" t="s">
        <v>718</v>
      </c>
      <c r="AE3" s="442" t="s">
        <v>719</v>
      </c>
      <c r="AF3" s="442" t="s">
        <v>732</v>
      </c>
      <c r="AG3" s="442" t="s">
        <v>733</v>
      </c>
      <c r="AH3" s="442" t="s">
        <v>740</v>
      </c>
      <c r="AI3" s="442" t="s">
        <v>738</v>
      </c>
      <c r="AJ3" s="442" t="s">
        <v>739</v>
      </c>
      <c r="AK3" s="442" t="s">
        <v>728</v>
      </c>
      <c r="AL3" s="442" t="s">
        <v>727</v>
      </c>
      <c r="AM3" s="442" t="s">
        <v>742</v>
      </c>
      <c r="AN3" s="442" t="s">
        <v>743</v>
      </c>
      <c r="AO3" s="442" t="s">
        <v>737</v>
      </c>
      <c r="AP3" s="442" t="s">
        <v>745</v>
      </c>
      <c r="AQ3" s="442" t="s">
        <v>746</v>
      </c>
      <c r="AR3" s="442" t="s">
        <v>747</v>
      </c>
      <c r="AS3" s="442" t="s">
        <v>736</v>
      </c>
      <c r="AT3" s="442" t="s">
        <v>729</v>
      </c>
      <c r="AU3" s="442" t="s">
        <v>734</v>
      </c>
      <c r="AV3" s="442" t="s">
        <v>756</v>
      </c>
      <c r="AW3" s="442" t="s">
        <v>751</v>
      </c>
      <c r="AX3" s="445" t="s">
        <v>750</v>
      </c>
      <c r="AY3" s="1328"/>
    </row>
    <row r="4" spans="1:51" x14ac:dyDescent="0.25">
      <c r="A4" s="446" t="s">
        <v>105</v>
      </c>
      <c r="B4" s="447" t="s">
        <v>557</v>
      </c>
      <c r="C4" s="448">
        <v>24160497</v>
      </c>
      <c r="D4" s="449">
        <v>24160497</v>
      </c>
      <c r="E4" s="908">
        <v>13901698</v>
      </c>
      <c r="F4" s="909">
        <v>24309497</v>
      </c>
      <c r="G4" s="908">
        <v>20798108</v>
      </c>
      <c r="H4" s="909">
        <v>29698966</v>
      </c>
      <c r="I4" s="450">
        <f>AY4</f>
        <v>27323934</v>
      </c>
      <c r="J4" s="451">
        <f t="shared" ref="J4:J69" si="0">IF(OR(I4="",I4=0),"",I4/H4)</f>
        <v>0.9200298084451829</v>
      </c>
      <c r="K4" s="1123"/>
      <c r="L4" s="910">
        <v>1745893</v>
      </c>
      <c r="M4" s="911">
        <v>1092789</v>
      </c>
      <c r="N4" s="911">
        <v>160714</v>
      </c>
      <c r="O4" s="911"/>
      <c r="P4" s="911"/>
      <c r="Q4" s="912"/>
      <c r="R4" s="911"/>
      <c r="S4" s="911"/>
      <c r="T4" s="913">
        <v>3055603</v>
      </c>
      <c r="U4" s="911"/>
      <c r="V4" s="911"/>
      <c r="W4" s="911"/>
      <c r="X4" s="911"/>
      <c r="Y4" s="914"/>
      <c r="Z4" s="911"/>
      <c r="AA4" s="911">
        <v>6142093</v>
      </c>
      <c r="AB4" s="911"/>
      <c r="AC4" s="912">
        <v>8884300</v>
      </c>
      <c r="AD4" s="911"/>
      <c r="AE4" s="911">
        <v>581901</v>
      </c>
      <c r="AF4" s="911"/>
      <c r="AG4" s="911"/>
      <c r="AH4" s="911"/>
      <c r="AI4" s="911"/>
      <c r="AJ4" s="911">
        <v>5660641</v>
      </c>
      <c r="AK4" s="911"/>
      <c r="AL4" s="911"/>
      <c r="AM4" s="911"/>
      <c r="AN4" s="911"/>
      <c r="AO4" s="911"/>
      <c r="AP4" s="911"/>
      <c r="AQ4" s="911"/>
      <c r="AR4" s="911"/>
      <c r="AS4" s="911"/>
      <c r="AT4" s="911"/>
      <c r="AU4" s="911"/>
      <c r="AV4" s="915"/>
      <c r="AW4" s="911"/>
      <c r="AX4" s="916"/>
      <c r="AY4" s="452">
        <f>SUM(L4:AX4)</f>
        <v>27323934</v>
      </c>
    </row>
    <row r="5" spans="1:51" hidden="1" x14ac:dyDescent="0.25">
      <c r="A5" s="453" t="s">
        <v>105</v>
      </c>
      <c r="B5" s="454" t="s">
        <v>558</v>
      </c>
      <c r="C5" s="455">
        <v>0</v>
      </c>
      <c r="D5" s="456">
        <f>C5</f>
        <v>0</v>
      </c>
      <c r="E5" s="917">
        <v>0</v>
      </c>
      <c r="F5" s="918">
        <v>0</v>
      </c>
      <c r="G5" s="917">
        <v>0</v>
      </c>
      <c r="H5" s="918">
        <v>0</v>
      </c>
      <c r="I5" s="457">
        <f t="shared" ref="I5:I16" si="1">AY5</f>
        <v>0</v>
      </c>
      <c r="J5" s="458" t="str">
        <f t="shared" si="0"/>
        <v/>
      </c>
      <c r="K5" s="1123"/>
      <c r="L5" s="459"/>
      <c r="M5" s="460"/>
      <c r="N5" s="460"/>
      <c r="O5" s="460"/>
      <c r="P5" s="460"/>
      <c r="Q5" s="461"/>
      <c r="R5" s="460"/>
      <c r="S5" s="460"/>
      <c r="T5" s="462"/>
      <c r="U5" s="460"/>
      <c r="V5" s="460"/>
      <c r="W5" s="460"/>
      <c r="X5" s="460"/>
      <c r="Y5" s="463"/>
      <c r="Z5" s="460"/>
      <c r="AA5" s="460"/>
      <c r="AB5" s="460"/>
      <c r="AC5" s="460"/>
      <c r="AD5" s="460"/>
      <c r="AE5" s="460"/>
      <c r="AF5" s="460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W5" s="460"/>
      <c r="AX5" s="464"/>
      <c r="AY5" s="465">
        <f t="shared" ref="AY5:AY68" si="2">SUM(L5:AX5)</f>
        <v>0</v>
      </c>
    </row>
    <row r="6" spans="1:51" hidden="1" x14ac:dyDescent="0.25">
      <c r="A6" s="453" t="s">
        <v>107</v>
      </c>
      <c r="B6" s="454" t="s">
        <v>108</v>
      </c>
      <c r="C6" s="455">
        <v>0</v>
      </c>
      <c r="D6" s="456">
        <f>C6</f>
        <v>0</v>
      </c>
      <c r="E6" s="917">
        <v>0</v>
      </c>
      <c r="F6" s="918">
        <v>0</v>
      </c>
      <c r="G6" s="917">
        <v>0</v>
      </c>
      <c r="H6" s="918">
        <v>0</v>
      </c>
      <c r="I6" s="457">
        <f t="shared" si="1"/>
        <v>0</v>
      </c>
      <c r="J6" s="458" t="str">
        <f t="shared" si="0"/>
        <v/>
      </c>
      <c r="K6" s="1123"/>
      <c r="L6" s="459"/>
      <c r="M6" s="460"/>
      <c r="N6" s="460"/>
      <c r="O6" s="460"/>
      <c r="P6" s="460"/>
      <c r="Q6" s="461"/>
      <c r="R6" s="460"/>
      <c r="S6" s="460"/>
      <c r="T6" s="462"/>
      <c r="U6" s="460"/>
      <c r="V6" s="460"/>
      <c r="W6" s="460"/>
      <c r="X6" s="460"/>
      <c r="Y6" s="463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460"/>
      <c r="AV6" s="460"/>
      <c r="AW6" s="460"/>
      <c r="AX6" s="464"/>
      <c r="AY6" s="465">
        <f t="shared" si="2"/>
        <v>0</v>
      </c>
    </row>
    <row r="7" spans="1:51" hidden="1" x14ac:dyDescent="0.25">
      <c r="A7" s="453" t="s">
        <v>107</v>
      </c>
      <c r="B7" s="454" t="s">
        <v>559</v>
      </c>
      <c r="C7" s="455">
        <v>0</v>
      </c>
      <c r="D7" s="456">
        <f>C7</f>
        <v>0</v>
      </c>
      <c r="E7" s="917">
        <v>0</v>
      </c>
      <c r="F7" s="918">
        <v>0</v>
      </c>
      <c r="G7" s="917">
        <v>0</v>
      </c>
      <c r="H7" s="918">
        <v>0</v>
      </c>
      <c r="I7" s="457">
        <f t="shared" si="1"/>
        <v>0</v>
      </c>
      <c r="J7" s="458" t="str">
        <f t="shared" si="0"/>
        <v/>
      </c>
      <c r="K7" s="1123"/>
      <c r="L7" s="459"/>
      <c r="M7" s="460"/>
      <c r="N7" s="460"/>
      <c r="O7" s="460"/>
      <c r="P7" s="460"/>
      <c r="Q7" s="461"/>
      <c r="R7" s="460"/>
      <c r="S7" s="460"/>
      <c r="T7" s="462"/>
      <c r="U7" s="460"/>
      <c r="V7" s="460"/>
      <c r="W7" s="460"/>
      <c r="X7" s="460"/>
      <c r="Y7" s="463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0"/>
      <c r="AQ7" s="460"/>
      <c r="AR7" s="460"/>
      <c r="AS7" s="460"/>
      <c r="AT7" s="460"/>
      <c r="AU7" s="460"/>
      <c r="AV7" s="460"/>
      <c r="AW7" s="460"/>
      <c r="AX7" s="464"/>
      <c r="AY7" s="465">
        <f t="shared" si="2"/>
        <v>0</v>
      </c>
    </row>
    <row r="8" spans="1:51" x14ac:dyDescent="0.25">
      <c r="A8" s="453" t="s">
        <v>109</v>
      </c>
      <c r="B8" s="454" t="s">
        <v>110</v>
      </c>
      <c r="C8" s="455">
        <v>1866265</v>
      </c>
      <c r="D8" s="456">
        <v>1866265</v>
      </c>
      <c r="E8" s="917">
        <v>0</v>
      </c>
      <c r="F8" s="918">
        <v>2813053</v>
      </c>
      <c r="G8" s="917">
        <v>877333</v>
      </c>
      <c r="H8" s="918">
        <v>2299696</v>
      </c>
      <c r="I8" s="457">
        <f t="shared" si="1"/>
        <v>2299696</v>
      </c>
      <c r="J8" s="458">
        <f t="shared" si="0"/>
        <v>1</v>
      </c>
      <c r="K8" s="1123"/>
      <c r="L8" s="459">
        <v>149000</v>
      </c>
      <c r="M8" s="463">
        <v>75000</v>
      </c>
      <c r="N8" s="460"/>
      <c r="O8" s="460"/>
      <c r="P8" s="460"/>
      <c r="Q8" s="461"/>
      <c r="R8" s="460"/>
      <c r="S8" s="463"/>
      <c r="T8" s="462"/>
      <c r="U8" s="460"/>
      <c r="V8" s="460"/>
      <c r="W8" s="460"/>
      <c r="X8" s="460"/>
      <c r="Y8" s="463"/>
      <c r="Z8" s="463"/>
      <c r="AA8" s="460">
        <v>855240</v>
      </c>
      <c r="AB8" s="460"/>
      <c r="AC8" s="460">
        <v>768106</v>
      </c>
      <c r="AD8" s="460"/>
      <c r="AE8" s="463">
        <v>48750</v>
      </c>
      <c r="AF8" s="460"/>
      <c r="AG8" s="460"/>
      <c r="AH8" s="463"/>
      <c r="AI8" s="460"/>
      <c r="AJ8" s="463">
        <v>403600</v>
      </c>
      <c r="AK8" s="460"/>
      <c r="AL8" s="460"/>
      <c r="AM8" s="463"/>
      <c r="AN8" s="463"/>
      <c r="AO8" s="460"/>
      <c r="AP8" s="463"/>
      <c r="AQ8" s="463"/>
      <c r="AR8" s="463"/>
      <c r="AS8" s="460"/>
      <c r="AT8" s="460"/>
      <c r="AU8" s="460"/>
      <c r="AV8" s="460"/>
      <c r="AW8" s="460"/>
      <c r="AX8" s="464"/>
      <c r="AY8" s="465">
        <f t="shared" si="2"/>
        <v>2299696</v>
      </c>
    </row>
    <row r="9" spans="1:51" hidden="1" x14ac:dyDescent="0.25">
      <c r="A9" s="453" t="s">
        <v>111</v>
      </c>
      <c r="B9" s="454" t="s">
        <v>112</v>
      </c>
      <c r="C9" s="455">
        <v>0</v>
      </c>
      <c r="D9" s="456">
        <f>C9</f>
        <v>0</v>
      </c>
      <c r="E9" s="917">
        <v>0</v>
      </c>
      <c r="F9" s="918">
        <v>0</v>
      </c>
      <c r="G9" s="917">
        <v>0</v>
      </c>
      <c r="H9" s="918">
        <v>0</v>
      </c>
      <c r="I9" s="457">
        <f t="shared" si="1"/>
        <v>0</v>
      </c>
      <c r="J9" s="458" t="str">
        <f t="shared" si="0"/>
        <v/>
      </c>
      <c r="K9" s="1123"/>
      <c r="L9" s="459"/>
      <c r="M9" s="460"/>
      <c r="N9" s="460"/>
      <c r="O9" s="460"/>
      <c r="P9" s="460"/>
      <c r="Q9" s="461"/>
      <c r="R9" s="460"/>
      <c r="S9" s="460"/>
      <c r="T9" s="462"/>
      <c r="U9" s="460"/>
      <c r="V9" s="460"/>
      <c r="W9" s="460"/>
      <c r="X9" s="460"/>
      <c r="Y9" s="463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4"/>
      <c r="AY9" s="465">
        <f t="shared" si="2"/>
        <v>0</v>
      </c>
    </row>
    <row r="10" spans="1:51" x14ac:dyDescent="0.25">
      <c r="A10" s="453" t="s">
        <v>113</v>
      </c>
      <c r="B10" s="454" t="s">
        <v>114</v>
      </c>
      <c r="C10" s="455">
        <v>666600</v>
      </c>
      <c r="D10" s="456">
        <f>C10</f>
        <v>666600</v>
      </c>
      <c r="E10" s="917">
        <v>0</v>
      </c>
      <c r="F10" s="918">
        <v>666600</v>
      </c>
      <c r="G10" s="917">
        <v>0</v>
      </c>
      <c r="H10" s="918">
        <v>666600</v>
      </c>
      <c r="I10" s="457">
        <f t="shared" si="1"/>
        <v>666600</v>
      </c>
      <c r="J10" s="458">
        <f t="shared" si="0"/>
        <v>1</v>
      </c>
      <c r="K10" s="1123"/>
      <c r="L10" s="459"/>
      <c r="M10" s="460"/>
      <c r="N10" s="460"/>
      <c r="O10" s="460"/>
      <c r="P10" s="460"/>
      <c r="Q10" s="461"/>
      <c r="R10" s="460"/>
      <c r="S10" s="460"/>
      <c r="T10" s="462"/>
      <c r="U10" s="460"/>
      <c r="V10" s="460"/>
      <c r="W10" s="460"/>
      <c r="X10" s="460"/>
      <c r="Y10" s="463"/>
      <c r="Z10" s="460"/>
      <c r="AA10" s="460"/>
      <c r="AB10" s="460"/>
      <c r="AC10" s="460"/>
      <c r="AD10" s="460"/>
      <c r="AE10" s="460"/>
      <c r="AF10" s="460"/>
      <c r="AG10" s="460"/>
      <c r="AH10" s="460"/>
      <c r="AI10" s="460"/>
      <c r="AJ10" s="460">
        <v>666600</v>
      </c>
      <c r="AK10" s="460"/>
      <c r="AL10" s="460"/>
      <c r="AM10" s="460"/>
      <c r="AN10" s="460"/>
      <c r="AO10" s="460"/>
      <c r="AP10" s="460"/>
      <c r="AQ10" s="460"/>
      <c r="AR10" s="460"/>
      <c r="AS10" s="460"/>
      <c r="AT10" s="460"/>
      <c r="AU10" s="460"/>
      <c r="AV10" s="460"/>
      <c r="AW10" s="460"/>
      <c r="AX10" s="464"/>
      <c r="AY10" s="465">
        <f t="shared" si="2"/>
        <v>666600</v>
      </c>
    </row>
    <row r="11" spans="1:51" x14ac:dyDescent="0.25">
      <c r="A11" s="453" t="s">
        <v>115</v>
      </c>
      <c r="B11" s="454" t="s">
        <v>116</v>
      </c>
      <c r="C11" s="455">
        <v>1325900</v>
      </c>
      <c r="D11" s="456">
        <v>1325900</v>
      </c>
      <c r="E11" s="917">
        <v>1244014</v>
      </c>
      <c r="F11" s="918">
        <v>1325900</v>
      </c>
      <c r="G11" s="917">
        <v>1244014</v>
      </c>
      <c r="H11" s="918">
        <v>1281189</v>
      </c>
      <c r="I11" s="457">
        <f t="shared" si="1"/>
        <v>1244014</v>
      </c>
      <c r="J11" s="458">
        <f t="shared" si="0"/>
        <v>0.9709839844082333</v>
      </c>
      <c r="K11" s="1123"/>
      <c r="L11" s="459">
        <v>29638</v>
      </c>
      <c r="M11" s="460">
        <v>61958</v>
      </c>
      <c r="N11" s="460"/>
      <c r="O11" s="460"/>
      <c r="P11" s="460"/>
      <c r="Q11" s="461"/>
      <c r="R11" s="460"/>
      <c r="S11" s="460"/>
      <c r="T11" s="462"/>
      <c r="U11" s="460"/>
      <c r="V11" s="460"/>
      <c r="W11" s="460"/>
      <c r="X11" s="460"/>
      <c r="Y11" s="463"/>
      <c r="Z11" s="460"/>
      <c r="AA11" s="460">
        <v>446097</v>
      </c>
      <c r="AB11" s="460"/>
      <c r="AC11" s="460">
        <v>446097</v>
      </c>
      <c r="AD11" s="460"/>
      <c r="AE11" s="460">
        <v>37175</v>
      </c>
      <c r="AF11" s="460"/>
      <c r="AG11" s="460"/>
      <c r="AH11" s="460"/>
      <c r="AI11" s="460"/>
      <c r="AJ11" s="460">
        <v>223049</v>
      </c>
      <c r="AK11" s="460"/>
      <c r="AL11" s="460"/>
      <c r="AM11" s="460"/>
      <c r="AN11" s="460"/>
      <c r="AO11" s="460"/>
      <c r="AP11" s="460"/>
      <c r="AQ11" s="460"/>
      <c r="AR11" s="460"/>
      <c r="AS11" s="460"/>
      <c r="AT11" s="460"/>
      <c r="AU11" s="460"/>
      <c r="AV11" s="460"/>
      <c r="AW11" s="460"/>
      <c r="AX11" s="464"/>
      <c r="AY11" s="465">
        <f t="shared" si="2"/>
        <v>1244014</v>
      </c>
    </row>
    <row r="12" spans="1:51" hidden="1" x14ac:dyDescent="0.25">
      <c r="A12" s="453" t="s">
        <v>115</v>
      </c>
      <c r="B12" s="454" t="s">
        <v>421</v>
      </c>
      <c r="C12" s="455">
        <v>0</v>
      </c>
      <c r="D12" s="456">
        <f>C12</f>
        <v>0</v>
      </c>
      <c r="E12" s="917">
        <v>0</v>
      </c>
      <c r="F12" s="918">
        <v>0</v>
      </c>
      <c r="G12" s="917">
        <v>0</v>
      </c>
      <c r="H12" s="918">
        <v>0</v>
      </c>
      <c r="I12" s="457">
        <f t="shared" si="1"/>
        <v>0</v>
      </c>
      <c r="J12" s="458" t="str">
        <f t="shared" si="0"/>
        <v/>
      </c>
      <c r="K12" s="1123"/>
      <c r="L12" s="459"/>
      <c r="M12" s="460"/>
      <c r="N12" s="460"/>
      <c r="O12" s="460"/>
      <c r="P12" s="460"/>
      <c r="Q12" s="461"/>
      <c r="R12" s="460"/>
      <c r="S12" s="460"/>
      <c r="T12" s="462"/>
      <c r="U12" s="460"/>
      <c r="V12" s="460"/>
      <c r="W12" s="460"/>
      <c r="X12" s="460"/>
      <c r="Y12" s="463"/>
      <c r="Z12" s="460"/>
      <c r="AA12" s="460"/>
      <c r="AB12" s="460"/>
      <c r="AC12" s="460"/>
      <c r="AD12" s="460"/>
      <c r="AE12" s="460"/>
      <c r="AF12" s="460"/>
      <c r="AG12" s="460"/>
      <c r="AH12" s="460"/>
      <c r="AI12" s="460"/>
      <c r="AJ12" s="460"/>
      <c r="AK12" s="460"/>
      <c r="AL12" s="460"/>
      <c r="AM12" s="460"/>
      <c r="AN12" s="460"/>
      <c r="AO12" s="460"/>
      <c r="AP12" s="460"/>
      <c r="AQ12" s="460"/>
      <c r="AR12" s="460"/>
      <c r="AS12" s="460"/>
      <c r="AT12" s="460"/>
      <c r="AU12" s="460"/>
      <c r="AV12" s="460"/>
      <c r="AW12" s="460"/>
      <c r="AX12" s="464"/>
      <c r="AY12" s="465">
        <f t="shared" si="2"/>
        <v>0</v>
      </c>
    </row>
    <row r="13" spans="1:51" x14ac:dyDescent="0.25">
      <c r="A13" s="453" t="s">
        <v>117</v>
      </c>
      <c r="B13" s="454" t="s">
        <v>118</v>
      </c>
      <c r="C13" s="455">
        <v>75190</v>
      </c>
      <c r="D13" s="456">
        <v>75190</v>
      </c>
      <c r="E13" s="917">
        <v>0</v>
      </c>
      <c r="F13" s="918">
        <v>75190</v>
      </c>
      <c r="G13" s="917">
        <v>0</v>
      </c>
      <c r="H13" s="918">
        <v>75189</v>
      </c>
      <c r="I13" s="457">
        <f t="shared" si="1"/>
        <v>75189</v>
      </c>
      <c r="J13" s="458">
        <f t="shared" si="0"/>
        <v>1</v>
      </c>
      <c r="K13" s="1123"/>
      <c r="L13" s="459"/>
      <c r="M13" s="460"/>
      <c r="N13" s="460"/>
      <c r="O13" s="460"/>
      <c r="P13" s="460"/>
      <c r="Q13" s="461"/>
      <c r="R13" s="460"/>
      <c r="S13" s="460"/>
      <c r="T13" s="462"/>
      <c r="U13" s="460"/>
      <c r="V13" s="460"/>
      <c r="W13" s="460"/>
      <c r="X13" s="460"/>
      <c r="Y13" s="463"/>
      <c r="Z13" s="460"/>
      <c r="AA13" s="460"/>
      <c r="AB13" s="460"/>
      <c r="AC13" s="460"/>
      <c r="AD13" s="460"/>
      <c r="AE13" s="460"/>
      <c r="AF13" s="460"/>
      <c r="AG13" s="460"/>
      <c r="AH13" s="460"/>
      <c r="AI13" s="460"/>
      <c r="AJ13" s="460">
        <v>75189</v>
      </c>
      <c r="AK13" s="460"/>
      <c r="AL13" s="460"/>
      <c r="AM13" s="460"/>
      <c r="AN13" s="460"/>
      <c r="AO13" s="460"/>
      <c r="AP13" s="460"/>
      <c r="AQ13" s="460"/>
      <c r="AR13" s="460"/>
      <c r="AS13" s="460"/>
      <c r="AT13" s="460"/>
      <c r="AU13" s="460"/>
      <c r="AV13" s="460"/>
      <c r="AW13" s="460"/>
      <c r="AX13" s="464"/>
      <c r="AY13" s="465">
        <f t="shared" si="2"/>
        <v>75189</v>
      </c>
    </row>
    <row r="14" spans="1:51" x14ac:dyDescent="0.25">
      <c r="A14" s="453" t="s">
        <v>119</v>
      </c>
      <c r="B14" s="454" t="s">
        <v>120</v>
      </c>
      <c r="C14" s="455">
        <v>70000</v>
      </c>
      <c r="D14" s="456">
        <v>70000</v>
      </c>
      <c r="E14" s="917">
        <v>0</v>
      </c>
      <c r="F14" s="918">
        <v>70000</v>
      </c>
      <c r="G14" s="917">
        <v>0</v>
      </c>
      <c r="H14" s="918">
        <v>0</v>
      </c>
      <c r="I14" s="457">
        <f t="shared" si="1"/>
        <v>0</v>
      </c>
      <c r="J14" s="458" t="str">
        <f t="shared" si="0"/>
        <v/>
      </c>
      <c r="K14" s="1123"/>
      <c r="L14" s="459"/>
      <c r="M14" s="460"/>
      <c r="N14" s="460"/>
      <c r="O14" s="460"/>
      <c r="P14" s="460"/>
      <c r="Q14" s="461"/>
      <c r="R14" s="460"/>
      <c r="S14" s="460"/>
      <c r="T14" s="462"/>
      <c r="U14" s="460"/>
      <c r="V14" s="460"/>
      <c r="W14" s="460"/>
      <c r="X14" s="460"/>
      <c r="Y14" s="463"/>
      <c r="Z14" s="460"/>
      <c r="AA14" s="460"/>
      <c r="AB14" s="460"/>
      <c r="AC14" s="460"/>
      <c r="AD14" s="460"/>
      <c r="AE14" s="460"/>
      <c r="AF14" s="460"/>
      <c r="AG14" s="460"/>
      <c r="AH14" s="460"/>
      <c r="AI14" s="460"/>
      <c r="AJ14" s="460"/>
      <c r="AK14" s="460"/>
      <c r="AL14" s="460"/>
      <c r="AM14" s="460"/>
      <c r="AN14" s="460"/>
      <c r="AO14" s="460"/>
      <c r="AP14" s="460"/>
      <c r="AQ14" s="460"/>
      <c r="AR14" s="460"/>
      <c r="AS14" s="460"/>
      <c r="AT14" s="460"/>
      <c r="AU14" s="460"/>
      <c r="AV14" s="460"/>
      <c r="AW14" s="460"/>
      <c r="AX14" s="464"/>
      <c r="AY14" s="465">
        <f t="shared" si="2"/>
        <v>0</v>
      </c>
    </row>
    <row r="15" spans="1:51" hidden="1" x14ac:dyDescent="0.25">
      <c r="A15" s="453" t="s">
        <v>121</v>
      </c>
      <c r="B15" s="454" t="s">
        <v>55</v>
      </c>
      <c r="C15" s="455">
        <v>0</v>
      </c>
      <c r="D15" s="456">
        <f>C15</f>
        <v>0</v>
      </c>
      <c r="E15" s="917">
        <v>0</v>
      </c>
      <c r="F15" s="918">
        <v>0</v>
      </c>
      <c r="G15" s="917">
        <v>0</v>
      </c>
      <c r="H15" s="918">
        <v>0</v>
      </c>
      <c r="I15" s="457">
        <f t="shared" si="1"/>
        <v>0</v>
      </c>
      <c r="J15" s="458" t="str">
        <f t="shared" si="0"/>
        <v/>
      </c>
      <c r="K15" s="1123"/>
      <c r="L15" s="459"/>
      <c r="M15" s="460"/>
      <c r="N15" s="460"/>
      <c r="O15" s="460"/>
      <c r="P15" s="460"/>
      <c r="Q15" s="461"/>
      <c r="R15" s="460"/>
      <c r="S15" s="460"/>
      <c r="T15" s="462"/>
      <c r="U15" s="460"/>
      <c r="V15" s="460"/>
      <c r="W15" s="460"/>
      <c r="X15" s="460"/>
      <c r="Y15" s="463"/>
      <c r="Z15" s="460"/>
      <c r="AA15" s="460"/>
      <c r="AB15" s="460"/>
      <c r="AC15" s="460"/>
      <c r="AD15" s="460"/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  <c r="AU15" s="460"/>
      <c r="AV15" s="460"/>
      <c r="AW15" s="460"/>
      <c r="AX15" s="464"/>
      <c r="AY15" s="465">
        <f t="shared" si="2"/>
        <v>0</v>
      </c>
    </row>
    <row r="16" spans="1:51" x14ac:dyDescent="0.25">
      <c r="A16" s="453" t="s">
        <v>123</v>
      </c>
      <c r="B16" s="454" t="s">
        <v>555</v>
      </c>
      <c r="C16" s="455">
        <v>3125494</v>
      </c>
      <c r="D16" s="456">
        <v>3307494</v>
      </c>
      <c r="E16" s="917">
        <v>1152857</v>
      </c>
      <c r="F16" s="918">
        <v>3438894</v>
      </c>
      <c r="G16" s="917">
        <v>2182157</v>
      </c>
      <c r="H16" s="918">
        <v>3925674</v>
      </c>
      <c r="I16" s="457">
        <f t="shared" si="1"/>
        <v>3925674</v>
      </c>
      <c r="J16" s="458">
        <f t="shared" si="0"/>
        <v>1</v>
      </c>
      <c r="K16" s="1123"/>
      <c r="L16" s="459">
        <v>318258</v>
      </c>
      <c r="M16" s="460">
        <v>274732</v>
      </c>
      <c r="N16" s="460"/>
      <c r="O16" s="460"/>
      <c r="P16" s="460"/>
      <c r="Q16" s="461"/>
      <c r="R16" s="460"/>
      <c r="S16" s="460"/>
      <c r="T16" s="462"/>
      <c r="U16" s="460"/>
      <c r="V16" s="460"/>
      <c r="W16" s="460"/>
      <c r="X16" s="460"/>
      <c r="Y16" s="463"/>
      <c r="Z16" s="460"/>
      <c r="AA16" s="460">
        <v>73146</v>
      </c>
      <c r="AB16" s="460"/>
      <c r="AC16" s="460">
        <v>2117769</v>
      </c>
      <c r="AD16" s="460"/>
      <c r="AE16" s="460"/>
      <c r="AF16" s="460"/>
      <c r="AG16" s="460">
        <v>88017</v>
      </c>
      <c r="AH16" s="460"/>
      <c r="AI16" s="460">
        <v>960000</v>
      </c>
      <c r="AJ16" s="460">
        <v>74700</v>
      </c>
      <c r="AK16" s="460">
        <v>19052</v>
      </c>
      <c r="AL16" s="460"/>
      <c r="AM16" s="460"/>
      <c r="AN16" s="460"/>
      <c r="AO16" s="460"/>
      <c r="AP16" s="460"/>
      <c r="AQ16" s="460"/>
      <c r="AR16" s="460"/>
      <c r="AS16" s="460"/>
      <c r="AT16" s="460"/>
      <c r="AU16" s="460"/>
      <c r="AV16" s="460"/>
      <c r="AW16" s="460"/>
      <c r="AX16" s="464"/>
      <c r="AY16" s="465">
        <f t="shared" si="2"/>
        <v>3925674</v>
      </c>
    </row>
    <row r="17" spans="1:51" s="731" customFormat="1" x14ac:dyDescent="0.25">
      <c r="A17" s="717" t="s">
        <v>129</v>
      </c>
      <c r="B17" s="718" t="s">
        <v>554</v>
      </c>
      <c r="C17" s="719">
        <f t="shared" ref="C17" si="3">SUM(C4:C16)</f>
        <v>31289946</v>
      </c>
      <c r="D17" s="720">
        <f t="shared" ref="D17" si="4">SUM(D4:D16)</f>
        <v>31471946</v>
      </c>
      <c r="E17" s="721">
        <f t="shared" ref="E17" si="5">SUM(E4:E16)</f>
        <v>16298569</v>
      </c>
      <c r="F17" s="722">
        <f t="shared" ref="F17" si="6">SUM(F4:F16)</f>
        <v>32699134</v>
      </c>
      <c r="G17" s="721">
        <f t="shared" ref="G17" si="7">SUM(G4:G16)</f>
        <v>25101612</v>
      </c>
      <c r="H17" s="722">
        <f t="shared" ref="H17" si="8">SUM(H4:H16)</f>
        <v>37947314</v>
      </c>
      <c r="I17" s="723">
        <f t="shared" ref="I17" si="9">SUM(I4:I16)</f>
        <v>35535107</v>
      </c>
      <c r="J17" s="724">
        <f t="shared" si="0"/>
        <v>0.93643273407967687</v>
      </c>
      <c r="K17" s="737"/>
      <c r="L17" s="725">
        <f t="shared" ref="L17:AX17" si="10">SUM(L4:L16)</f>
        <v>2242789</v>
      </c>
      <c r="M17" s="726">
        <f t="shared" si="10"/>
        <v>1504479</v>
      </c>
      <c r="N17" s="726">
        <f t="shared" si="10"/>
        <v>160714</v>
      </c>
      <c r="O17" s="726">
        <f t="shared" si="10"/>
        <v>0</v>
      </c>
      <c r="P17" s="726">
        <f t="shared" si="10"/>
        <v>0</v>
      </c>
      <c r="Q17" s="727">
        <f t="shared" si="10"/>
        <v>0</v>
      </c>
      <c r="R17" s="726">
        <f t="shared" si="10"/>
        <v>0</v>
      </c>
      <c r="S17" s="726">
        <f t="shared" si="10"/>
        <v>0</v>
      </c>
      <c r="T17" s="728">
        <f t="shared" si="10"/>
        <v>3055603</v>
      </c>
      <c r="U17" s="726">
        <f t="shared" si="10"/>
        <v>0</v>
      </c>
      <c r="V17" s="726">
        <f t="shared" si="10"/>
        <v>0</v>
      </c>
      <c r="W17" s="726">
        <f t="shared" si="10"/>
        <v>0</v>
      </c>
      <c r="X17" s="726">
        <f t="shared" si="10"/>
        <v>0</v>
      </c>
      <c r="Y17" s="729">
        <f t="shared" si="10"/>
        <v>0</v>
      </c>
      <c r="Z17" s="726">
        <f t="shared" si="10"/>
        <v>0</v>
      </c>
      <c r="AA17" s="726">
        <f t="shared" si="10"/>
        <v>7516576</v>
      </c>
      <c r="AB17" s="726">
        <f t="shared" si="10"/>
        <v>0</v>
      </c>
      <c r="AC17" s="726">
        <f t="shared" si="10"/>
        <v>12216272</v>
      </c>
      <c r="AD17" s="726">
        <f t="shared" si="10"/>
        <v>0</v>
      </c>
      <c r="AE17" s="726">
        <f t="shared" si="10"/>
        <v>667826</v>
      </c>
      <c r="AF17" s="726">
        <f t="shared" si="10"/>
        <v>0</v>
      </c>
      <c r="AG17" s="726">
        <f t="shared" si="10"/>
        <v>88017</v>
      </c>
      <c r="AH17" s="726">
        <f t="shared" si="10"/>
        <v>0</v>
      </c>
      <c r="AI17" s="726">
        <f t="shared" si="10"/>
        <v>960000</v>
      </c>
      <c r="AJ17" s="726">
        <f t="shared" si="10"/>
        <v>7103779</v>
      </c>
      <c r="AK17" s="726">
        <f t="shared" si="10"/>
        <v>19052</v>
      </c>
      <c r="AL17" s="726">
        <f t="shared" si="10"/>
        <v>0</v>
      </c>
      <c r="AM17" s="726">
        <f t="shared" si="10"/>
        <v>0</v>
      </c>
      <c r="AN17" s="726">
        <f t="shared" si="10"/>
        <v>0</v>
      </c>
      <c r="AO17" s="726">
        <f t="shared" si="10"/>
        <v>0</v>
      </c>
      <c r="AP17" s="726">
        <f t="shared" si="10"/>
        <v>0</v>
      </c>
      <c r="AQ17" s="726">
        <f t="shared" si="10"/>
        <v>0</v>
      </c>
      <c r="AR17" s="726">
        <f t="shared" si="10"/>
        <v>0</v>
      </c>
      <c r="AS17" s="726">
        <f t="shared" si="10"/>
        <v>0</v>
      </c>
      <c r="AT17" s="726">
        <f t="shared" si="10"/>
        <v>0</v>
      </c>
      <c r="AU17" s="726">
        <f t="shared" si="10"/>
        <v>0</v>
      </c>
      <c r="AV17" s="726">
        <f t="shared" si="10"/>
        <v>0</v>
      </c>
      <c r="AW17" s="726">
        <f t="shared" si="10"/>
        <v>0</v>
      </c>
      <c r="AX17" s="723">
        <f t="shared" si="10"/>
        <v>0</v>
      </c>
      <c r="AY17" s="730">
        <f t="shared" si="2"/>
        <v>35535107</v>
      </c>
    </row>
    <row r="18" spans="1:51" x14ac:dyDescent="0.25">
      <c r="A18" s="453" t="s">
        <v>124</v>
      </c>
      <c r="B18" s="454" t="s">
        <v>127</v>
      </c>
      <c r="C18" s="455">
        <v>8547955</v>
      </c>
      <c r="D18" s="456">
        <v>8547955</v>
      </c>
      <c r="E18" s="917">
        <v>3403398</v>
      </c>
      <c r="F18" s="918">
        <v>8015594</v>
      </c>
      <c r="G18" s="917">
        <v>5622162</v>
      </c>
      <c r="H18" s="918">
        <v>9819458</v>
      </c>
      <c r="I18" s="457">
        <f t="shared" ref="I18:I20" si="11">AY18</f>
        <v>9368933</v>
      </c>
      <c r="J18" s="458">
        <f t="shared" si="0"/>
        <v>0.95411915810424563</v>
      </c>
      <c r="K18" s="1123"/>
      <c r="L18" s="459">
        <v>9368933</v>
      </c>
      <c r="M18" s="460"/>
      <c r="N18" s="460"/>
      <c r="O18" s="460"/>
      <c r="P18" s="460"/>
      <c r="Q18" s="461"/>
      <c r="R18" s="460"/>
      <c r="S18" s="460"/>
      <c r="T18" s="462"/>
      <c r="U18" s="460"/>
      <c r="V18" s="460"/>
      <c r="W18" s="460"/>
      <c r="X18" s="460"/>
      <c r="Y18" s="463"/>
      <c r="Z18" s="460"/>
      <c r="AA18" s="460"/>
      <c r="AB18" s="460"/>
      <c r="AC18" s="460"/>
      <c r="AD18" s="460"/>
      <c r="AE18" s="460"/>
      <c r="AF18" s="460"/>
      <c r="AG18" s="460"/>
      <c r="AH18" s="460"/>
      <c r="AI18" s="460"/>
      <c r="AJ18" s="460"/>
      <c r="AK18" s="460"/>
      <c r="AL18" s="460"/>
      <c r="AM18" s="460"/>
      <c r="AN18" s="460"/>
      <c r="AO18" s="460"/>
      <c r="AP18" s="460"/>
      <c r="AQ18" s="460"/>
      <c r="AR18" s="460"/>
      <c r="AS18" s="460"/>
      <c r="AT18" s="460"/>
      <c r="AU18" s="460"/>
      <c r="AV18" s="460"/>
      <c r="AW18" s="460"/>
      <c r="AX18" s="464"/>
      <c r="AY18" s="465">
        <f t="shared" si="2"/>
        <v>9368933</v>
      </c>
    </row>
    <row r="19" spans="1:51" x14ac:dyDescent="0.25">
      <c r="A19" s="453" t="s">
        <v>125</v>
      </c>
      <c r="B19" s="454" t="s">
        <v>128</v>
      </c>
      <c r="C19" s="455">
        <v>165750</v>
      </c>
      <c r="D19" s="456">
        <v>165750</v>
      </c>
      <c r="E19" s="917">
        <v>70057</v>
      </c>
      <c r="F19" s="918">
        <v>652203</v>
      </c>
      <c r="G19" s="917">
        <v>629703</v>
      </c>
      <c r="H19" s="918">
        <v>682203</v>
      </c>
      <c r="I19" s="457">
        <f t="shared" si="11"/>
        <v>682203</v>
      </c>
      <c r="J19" s="458">
        <f t="shared" si="0"/>
        <v>1</v>
      </c>
      <c r="K19" s="1123"/>
      <c r="L19" s="459">
        <v>12146</v>
      </c>
      <c r="M19" s="460"/>
      <c r="N19" s="460"/>
      <c r="O19" s="460">
        <v>135000</v>
      </c>
      <c r="P19" s="460"/>
      <c r="Q19" s="461"/>
      <c r="R19" s="460"/>
      <c r="S19" s="460"/>
      <c r="T19" s="462"/>
      <c r="U19" s="460"/>
      <c r="V19" s="460"/>
      <c r="W19" s="460"/>
      <c r="X19" s="460"/>
      <c r="Y19" s="463"/>
      <c r="Z19" s="460"/>
      <c r="AA19" s="460"/>
      <c r="AB19" s="460">
        <v>46000</v>
      </c>
      <c r="AC19" s="460"/>
      <c r="AD19" s="460"/>
      <c r="AE19" s="460"/>
      <c r="AF19" s="460"/>
      <c r="AG19" s="460"/>
      <c r="AH19" s="460"/>
      <c r="AI19" s="460"/>
      <c r="AJ19" s="460">
        <v>30000</v>
      </c>
      <c r="AK19" s="460">
        <v>9057</v>
      </c>
      <c r="AL19" s="460"/>
      <c r="AM19" s="460"/>
      <c r="AN19" s="460"/>
      <c r="AO19" s="460"/>
      <c r="AP19" s="460"/>
      <c r="AQ19" s="460">
        <v>450000</v>
      </c>
      <c r="AR19" s="460"/>
      <c r="AS19" s="460"/>
      <c r="AT19" s="460"/>
      <c r="AU19" s="460"/>
      <c r="AV19" s="460"/>
      <c r="AW19" s="460"/>
      <c r="AX19" s="464"/>
      <c r="AY19" s="465">
        <f t="shared" si="2"/>
        <v>682203</v>
      </c>
    </row>
    <row r="20" spans="1:51" s="467" customFormat="1" x14ac:dyDescent="0.25">
      <c r="A20" s="453" t="s">
        <v>126</v>
      </c>
      <c r="B20" s="454" t="s">
        <v>155</v>
      </c>
      <c r="C20" s="455">
        <v>772000</v>
      </c>
      <c r="D20" s="456">
        <v>822000</v>
      </c>
      <c r="E20" s="917">
        <v>317750</v>
      </c>
      <c r="F20" s="918">
        <v>1861645</v>
      </c>
      <c r="G20" s="917">
        <v>776221</v>
      </c>
      <c r="H20" s="918">
        <v>1859231</v>
      </c>
      <c r="I20" s="457">
        <f t="shared" si="11"/>
        <v>1687331</v>
      </c>
      <c r="J20" s="458">
        <f t="shared" si="0"/>
        <v>0.90754241941964175</v>
      </c>
      <c r="K20" s="1124"/>
      <c r="L20" s="919">
        <v>1637331</v>
      </c>
      <c r="M20" s="920"/>
      <c r="N20" s="920"/>
      <c r="O20" s="920"/>
      <c r="P20" s="920"/>
      <c r="Q20" s="920"/>
      <c r="R20" s="920"/>
      <c r="S20" s="920"/>
      <c r="T20" s="921"/>
      <c r="U20" s="920"/>
      <c r="V20" s="920"/>
      <c r="W20" s="920"/>
      <c r="X20" s="920"/>
      <c r="Y20" s="922"/>
      <c r="Z20" s="920"/>
      <c r="AA20" s="920"/>
      <c r="AB20" s="920"/>
      <c r="AC20" s="920"/>
      <c r="AD20" s="920"/>
      <c r="AE20" s="920"/>
      <c r="AF20" s="920">
        <v>50000</v>
      </c>
      <c r="AG20" s="920"/>
      <c r="AH20" s="920"/>
      <c r="AI20" s="920"/>
      <c r="AJ20" s="920"/>
      <c r="AK20" s="920"/>
      <c r="AL20" s="920"/>
      <c r="AM20" s="920"/>
      <c r="AN20" s="920"/>
      <c r="AO20" s="920"/>
      <c r="AP20" s="920"/>
      <c r="AQ20" s="920"/>
      <c r="AR20" s="920"/>
      <c r="AS20" s="920"/>
      <c r="AT20" s="920"/>
      <c r="AU20" s="920"/>
      <c r="AV20" s="920"/>
      <c r="AW20" s="920"/>
      <c r="AX20" s="923"/>
      <c r="AY20" s="466">
        <f t="shared" si="2"/>
        <v>1687331</v>
      </c>
    </row>
    <row r="21" spans="1:51" s="731" customFormat="1" x14ac:dyDescent="0.25">
      <c r="A21" s="717" t="s">
        <v>130</v>
      </c>
      <c r="B21" s="718" t="s">
        <v>556</v>
      </c>
      <c r="C21" s="719">
        <f t="shared" ref="C21" si="12">SUM(C18:C20)</f>
        <v>9485705</v>
      </c>
      <c r="D21" s="720">
        <f t="shared" ref="D21" si="13">SUM(D18:D20)</f>
        <v>9535705</v>
      </c>
      <c r="E21" s="721">
        <f t="shared" ref="E21" si="14">SUM(E18:E20)</f>
        <v>3791205</v>
      </c>
      <c r="F21" s="722">
        <f t="shared" ref="F21" si="15">SUM(F18:F20)</f>
        <v>10529442</v>
      </c>
      <c r="G21" s="721">
        <f t="shared" ref="G21" si="16">SUM(G18:G20)</f>
        <v>7028086</v>
      </c>
      <c r="H21" s="722">
        <f t="shared" ref="H21" si="17">SUM(H18:H20)</f>
        <v>12360892</v>
      </c>
      <c r="I21" s="723">
        <f t="shared" ref="I21" si="18">SUM(I18:I20)</f>
        <v>11738467</v>
      </c>
      <c r="J21" s="724">
        <f t="shared" si="0"/>
        <v>0.9496456242801895</v>
      </c>
      <c r="K21" s="737"/>
      <c r="L21" s="725">
        <f t="shared" ref="L21:AX21" si="19">SUM(L18:L20)</f>
        <v>11018410</v>
      </c>
      <c r="M21" s="726">
        <f t="shared" si="19"/>
        <v>0</v>
      </c>
      <c r="N21" s="726">
        <f t="shared" si="19"/>
        <v>0</v>
      </c>
      <c r="O21" s="726">
        <f t="shared" si="19"/>
        <v>135000</v>
      </c>
      <c r="P21" s="726">
        <f t="shared" si="19"/>
        <v>0</v>
      </c>
      <c r="Q21" s="727">
        <f t="shared" si="19"/>
        <v>0</v>
      </c>
      <c r="R21" s="726">
        <f t="shared" si="19"/>
        <v>0</v>
      </c>
      <c r="S21" s="726">
        <f t="shared" si="19"/>
        <v>0</v>
      </c>
      <c r="T21" s="728">
        <f t="shared" si="19"/>
        <v>0</v>
      </c>
      <c r="U21" s="726">
        <f t="shared" si="19"/>
        <v>0</v>
      </c>
      <c r="V21" s="726">
        <f t="shared" si="19"/>
        <v>0</v>
      </c>
      <c r="W21" s="726">
        <f t="shared" si="19"/>
        <v>0</v>
      </c>
      <c r="X21" s="726">
        <f t="shared" si="19"/>
        <v>0</v>
      </c>
      <c r="Y21" s="729">
        <f t="shared" si="19"/>
        <v>0</v>
      </c>
      <c r="Z21" s="726">
        <f t="shared" si="19"/>
        <v>0</v>
      </c>
      <c r="AA21" s="726">
        <f t="shared" si="19"/>
        <v>0</v>
      </c>
      <c r="AB21" s="726">
        <f t="shared" si="19"/>
        <v>46000</v>
      </c>
      <c r="AC21" s="726">
        <f t="shared" si="19"/>
        <v>0</v>
      </c>
      <c r="AD21" s="726">
        <f t="shared" si="19"/>
        <v>0</v>
      </c>
      <c r="AE21" s="726">
        <f t="shared" si="19"/>
        <v>0</v>
      </c>
      <c r="AF21" s="726">
        <f t="shared" si="19"/>
        <v>50000</v>
      </c>
      <c r="AG21" s="726">
        <f t="shared" si="19"/>
        <v>0</v>
      </c>
      <c r="AH21" s="726">
        <f t="shared" si="19"/>
        <v>0</v>
      </c>
      <c r="AI21" s="726">
        <f t="shared" si="19"/>
        <v>0</v>
      </c>
      <c r="AJ21" s="726">
        <f t="shared" si="19"/>
        <v>30000</v>
      </c>
      <c r="AK21" s="726">
        <f t="shared" si="19"/>
        <v>9057</v>
      </c>
      <c r="AL21" s="726">
        <f t="shared" si="19"/>
        <v>0</v>
      </c>
      <c r="AM21" s="726">
        <f t="shared" si="19"/>
        <v>0</v>
      </c>
      <c r="AN21" s="726">
        <f t="shared" si="19"/>
        <v>0</v>
      </c>
      <c r="AO21" s="726">
        <f t="shared" si="19"/>
        <v>0</v>
      </c>
      <c r="AP21" s="726">
        <f t="shared" si="19"/>
        <v>0</v>
      </c>
      <c r="AQ21" s="726">
        <f t="shared" si="19"/>
        <v>450000</v>
      </c>
      <c r="AR21" s="726">
        <f t="shared" si="19"/>
        <v>0</v>
      </c>
      <c r="AS21" s="726">
        <f t="shared" si="19"/>
        <v>0</v>
      </c>
      <c r="AT21" s="726">
        <f t="shared" si="19"/>
        <v>0</v>
      </c>
      <c r="AU21" s="726">
        <f t="shared" si="19"/>
        <v>0</v>
      </c>
      <c r="AV21" s="726">
        <f t="shared" si="19"/>
        <v>0</v>
      </c>
      <c r="AW21" s="726">
        <f t="shared" si="19"/>
        <v>0</v>
      </c>
      <c r="AX21" s="723">
        <f t="shared" si="19"/>
        <v>0</v>
      </c>
      <c r="AY21" s="730">
        <f t="shared" si="2"/>
        <v>11738467</v>
      </c>
    </row>
    <row r="22" spans="1:51" s="558" customFormat="1" x14ac:dyDescent="0.25">
      <c r="A22" s="740" t="s">
        <v>131</v>
      </c>
      <c r="B22" s="741" t="s">
        <v>138</v>
      </c>
      <c r="C22" s="742">
        <f t="shared" ref="C22" si="20">SUM(C21,C17)</f>
        <v>40775651</v>
      </c>
      <c r="D22" s="743">
        <f t="shared" ref="D22" si="21">SUM(D21,D17)</f>
        <v>41007651</v>
      </c>
      <c r="E22" s="744">
        <f t="shared" ref="E22" si="22">SUM(E21,E17)</f>
        <v>20089774</v>
      </c>
      <c r="F22" s="745">
        <f t="shared" ref="F22" si="23">SUM(F21,F17)</f>
        <v>43228576</v>
      </c>
      <c r="G22" s="744">
        <f t="shared" ref="G22" si="24">SUM(G21,G17)</f>
        <v>32129698</v>
      </c>
      <c r="H22" s="745">
        <f t="shared" ref="H22" si="25">SUM(H21,H17)</f>
        <v>50308206</v>
      </c>
      <c r="I22" s="746">
        <f t="shared" ref="I22" si="26">SUM(I21,I17)</f>
        <v>47273574</v>
      </c>
      <c r="J22" s="747">
        <f t="shared" si="0"/>
        <v>0.93967918474373746</v>
      </c>
      <c r="K22" s="1125"/>
      <c r="L22" s="748">
        <f t="shared" ref="L22:AX22" si="27">SUM(L21,L17)</f>
        <v>13261199</v>
      </c>
      <c r="M22" s="749">
        <f t="shared" si="27"/>
        <v>1504479</v>
      </c>
      <c r="N22" s="749">
        <f t="shared" si="27"/>
        <v>160714</v>
      </c>
      <c r="O22" s="749">
        <f t="shared" si="27"/>
        <v>135000</v>
      </c>
      <c r="P22" s="749">
        <f t="shared" si="27"/>
        <v>0</v>
      </c>
      <c r="Q22" s="750">
        <f t="shared" si="27"/>
        <v>0</v>
      </c>
      <c r="R22" s="749">
        <f t="shared" si="27"/>
        <v>0</v>
      </c>
      <c r="S22" s="749">
        <f t="shared" si="27"/>
        <v>0</v>
      </c>
      <c r="T22" s="751">
        <f t="shared" si="27"/>
        <v>3055603</v>
      </c>
      <c r="U22" s="749">
        <f t="shared" si="27"/>
        <v>0</v>
      </c>
      <c r="V22" s="749">
        <f t="shared" si="27"/>
        <v>0</v>
      </c>
      <c r="W22" s="749">
        <f t="shared" si="27"/>
        <v>0</v>
      </c>
      <c r="X22" s="749">
        <f t="shared" si="27"/>
        <v>0</v>
      </c>
      <c r="Y22" s="752">
        <f t="shared" si="27"/>
        <v>0</v>
      </c>
      <c r="Z22" s="749">
        <f t="shared" si="27"/>
        <v>0</v>
      </c>
      <c r="AA22" s="749">
        <f t="shared" si="27"/>
        <v>7516576</v>
      </c>
      <c r="AB22" s="749">
        <f t="shared" si="27"/>
        <v>46000</v>
      </c>
      <c r="AC22" s="749">
        <f t="shared" si="27"/>
        <v>12216272</v>
      </c>
      <c r="AD22" s="749">
        <f t="shared" si="27"/>
        <v>0</v>
      </c>
      <c r="AE22" s="749">
        <f t="shared" si="27"/>
        <v>667826</v>
      </c>
      <c r="AF22" s="749">
        <f t="shared" si="27"/>
        <v>50000</v>
      </c>
      <c r="AG22" s="749">
        <f t="shared" si="27"/>
        <v>88017</v>
      </c>
      <c r="AH22" s="749">
        <f t="shared" si="27"/>
        <v>0</v>
      </c>
      <c r="AI22" s="749">
        <f t="shared" si="27"/>
        <v>960000</v>
      </c>
      <c r="AJ22" s="749">
        <f t="shared" si="27"/>
        <v>7133779</v>
      </c>
      <c r="AK22" s="749">
        <f t="shared" si="27"/>
        <v>28109</v>
      </c>
      <c r="AL22" s="749">
        <f t="shared" si="27"/>
        <v>0</v>
      </c>
      <c r="AM22" s="749">
        <f t="shared" si="27"/>
        <v>0</v>
      </c>
      <c r="AN22" s="749">
        <f t="shared" si="27"/>
        <v>0</v>
      </c>
      <c r="AO22" s="749">
        <f t="shared" si="27"/>
        <v>0</v>
      </c>
      <c r="AP22" s="749">
        <f t="shared" si="27"/>
        <v>0</v>
      </c>
      <c r="AQ22" s="749">
        <f t="shared" si="27"/>
        <v>450000</v>
      </c>
      <c r="AR22" s="749">
        <f t="shared" si="27"/>
        <v>0</v>
      </c>
      <c r="AS22" s="749">
        <f t="shared" si="27"/>
        <v>0</v>
      </c>
      <c r="AT22" s="749">
        <f t="shared" si="27"/>
        <v>0</v>
      </c>
      <c r="AU22" s="749">
        <f t="shared" si="27"/>
        <v>0</v>
      </c>
      <c r="AV22" s="749">
        <f t="shared" si="27"/>
        <v>0</v>
      </c>
      <c r="AW22" s="749">
        <f t="shared" si="27"/>
        <v>0</v>
      </c>
      <c r="AX22" s="746">
        <f t="shared" si="27"/>
        <v>0</v>
      </c>
      <c r="AY22" s="753">
        <f t="shared" si="2"/>
        <v>47273574</v>
      </c>
    </row>
    <row r="23" spans="1:51" s="474" customFormat="1" x14ac:dyDescent="0.2">
      <c r="A23" s="468" t="s">
        <v>132</v>
      </c>
      <c r="B23" s="791" t="s">
        <v>58</v>
      </c>
      <c r="C23" s="469">
        <v>7851759</v>
      </c>
      <c r="D23" s="470">
        <v>7896999</v>
      </c>
      <c r="E23" s="924">
        <v>3824072</v>
      </c>
      <c r="F23" s="925">
        <v>7062414</v>
      </c>
      <c r="G23" s="924">
        <v>5934606</v>
      </c>
      <c r="H23" s="925">
        <v>8535062</v>
      </c>
      <c r="I23" s="471">
        <f t="shared" ref="I23:I27" si="28">AY23</f>
        <v>8394777</v>
      </c>
      <c r="J23" s="472">
        <f t="shared" si="0"/>
        <v>0.98356368120114412</v>
      </c>
      <c r="K23" s="1126"/>
      <c r="L23" s="926">
        <v>2396440</v>
      </c>
      <c r="M23" s="927">
        <v>304778</v>
      </c>
      <c r="N23" s="927"/>
      <c r="O23" s="927">
        <v>21940</v>
      </c>
      <c r="P23" s="927"/>
      <c r="Q23" s="927"/>
      <c r="R23" s="927"/>
      <c r="S23" s="927"/>
      <c r="T23" s="928">
        <v>290926</v>
      </c>
      <c r="U23" s="927"/>
      <c r="V23" s="927"/>
      <c r="W23" s="927"/>
      <c r="X23" s="927"/>
      <c r="Y23" s="929"/>
      <c r="Z23" s="927"/>
      <c r="AA23" s="927">
        <v>1400854</v>
      </c>
      <c r="AB23" s="927">
        <v>8073</v>
      </c>
      <c r="AC23" s="927">
        <v>2257382</v>
      </c>
      <c r="AD23" s="927"/>
      <c r="AE23" s="927">
        <v>124859</v>
      </c>
      <c r="AF23" s="927">
        <v>9750</v>
      </c>
      <c r="AG23" s="927">
        <v>13861</v>
      </c>
      <c r="AH23" s="927"/>
      <c r="AI23" s="927">
        <v>159840</v>
      </c>
      <c r="AJ23" s="927">
        <v>1330517</v>
      </c>
      <c r="AK23" s="927">
        <v>4682</v>
      </c>
      <c r="AL23" s="927"/>
      <c r="AM23" s="927"/>
      <c r="AN23" s="927"/>
      <c r="AO23" s="927"/>
      <c r="AP23" s="927"/>
      <c r="AQ23" s="927">
        <v>70875</v>
      </c>
      <c r="AR23" s="927"/>
      <c r="AS23" s="927"/>
      <c r="AT23" s="927"/>
      <c r="AU23" s="927"/>
      <c r="AV23" s="927"/>
      <c r="AW23" s="927"/>
      <c r="AX23" s="930"/>
      <c r="AY23" s="473">
        <f t="shared" si="2"/>
        <v>8394777</v>
      </c>
    </row>
    <row r="24" spans="1:51" s="474" customFormat="1" hidden="1" x14ac:dyDescent="0.2">
      <c r="A24" s="468" t="s">
        <v>601</v>
      </c>
      <c r="B24" s="791" t="s">
        <v>602</v>
      </c>
      <c r="C24" s="469">
        <v>0</v>
      </c>
      <c r="D24" s="470">
        <v>0</v>
      </c>
      <c r="E24" s="924">
        <v>0</v>
      </c>
      <c r="F24" s="925">
        <v>0</v>
      </c>
      <c r="G24" s="924">
        <v>0</v>
      </c>
      <c r="H24" s="925">
        <v>0</v>
      </c>
      <c r="I24" s="471">
        <f t="shared" si="28"/>
        <v>0</v>
      </c>
      <c r="J24" s="472"/>
      <c r="K24" s="1126"/>
      <c r="L24" s="926"/>
      <c r="M24" s="927"/>
      <c r="N24" s="927"/>
      <c r="O24" s="927"/>
      <c r="P24" s="927"/>
      <c r="Q24" s="927"/>
      <c r="R24" s="927"/>
      <c r="S24" s="927"/>
      <c r="T24" s="928"/>
      <c r="U24" s="927"/>
      <c r="V24" s="927"/>
      <c r="W24" s="927"/>
      <c r="X24" s="927"/>
      <c r="Y24" s="929"/>
      <c r="Z24" s="927"/>
      <c r="AA24" s="927"/>
      <c r="AB24" s="927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927"/>
      <c r="AO24" s="927"/>
      <c r="AP24" s="927"/>
      <c r="AQ24" s="927"/>
      <c r="AR24" s="927"/>
      <c r="AS24" s="927"/>
      <c r="AT24" s="927"/>
      <c r="AU24" s="927"/>
      <c r="AV24" s="927"/>
      <c r="AW24" s="927"/>
      <c r="AX24" s="930"/>
      <c r="AY24" s="473">
        <f t="shared" si="2"/>
        <v>0</v>
      </c>
    </row>
    <row r="25" spans="1:51" x14ac:dyDescent="0.25">
      <c r="A25" s="453" t="s">
        <v>133</v>
      </c>
      <c r="B25" s="540" t="s">
        <v>676</v>
      </c>
      <c r="C25" s="455">
        <v>0</v>
      </c>
      <c r="D25" s="456">
        <v>0</v>
      </c>
      <c r="E25" s="917">
        <v>8262</v>
      </c>
      <c r="F25" s="918">
        <v>0</v>
      </c>
      <c r="G25" s="917">
        <v>8262</v>
      </c>
      <c r="H25" s="918">
        <v>8262</v>
      </c>
      <c r="I25" s="457">
        <f t="shared" si="28"/>
        <v>8262</v>
      </c>
      <c r="J25" s="458">
        <f t="shared" si="0"/>
        <v>1</v>
      </c>
      <c r="K25" s="1123"/>
      <c r="L25" s="459">
        <v>1377</v>
      </c>
      <c r="M25" s="460">
        <v>1377</v>
      </c>
      <c r="N25" s="460"/>
      <c r="O25" s="460"/>
      <c r="P25" s="460"/>
      <c r="Q25" s="461"/>
      <c r="R25" s="460"/>
      <c r="S25" s="460"/>
      <c r="T25" s="462"/>
      <c r="U25" s="460"/>
      <c r="V25" s="460"/>
      <c r="W25" s="460"/>
      <c r="X25" s="460"/>
      <c r="Y25" s="463"/>
      <c r="Z25" s="460"/>
      <c r="AA25" s="460">
        <v>1377</v>
      </c>
      <c r="AB25" s="460"/>
      <c r="AC25" s="460">
        <v>2754</v>
      </c>
      <c r="AD25" s="460"/>
      <c r="AE25" s="460"/>
      <c r="AF25" s="460"/>
      <c r="AG25" s="460"/>
      <c r="AH25" s="460"/>
      <c r="AI25" s="460"/>
      <c r="AJ25" s="460">
        <v>1377</v>
      </c>
      <c r="AK25" s="460"/>
      <c r="AL25" s="460"/>
      <c r="AM25" s="460"/>
      <c r="AN25" s="460"/>
      <c r="AO25" s="460"/>
      <c r="AP25" s="460"/>
      <c r="AQ25" s="460"/>
      <c r="AR25" s="460"/>
      <c r="AS25" s="460"/>
      <c r="AT25" s="460"/>
      <c r="AU25" s="460"/>
      <c r="AV25" s="460"/>
      <c r="AW25" s="460"/>
      <c r="AX25" s="464"/>
      <c r="AY25" s="465">
        <f t="shared" si="2"/>
        <v>8262</v>
      </c>
    </row>
    <row r="26" spans="1:51" x14ac:dyDescent="0.25">
      <c r="A26" s="453" t="s">
        <v>134</v>
      </c>
      <c r="B26" s="540" t="s">
        <v>52</v>
      </c>
      <c r="C26" s="455">
        <v>140000</v>
      </c>
      <c r="D26" s="456">
        <f>C26</f>
        <v>140000</v>
      </c>
      <c r="E26" s="917">
        <v>0</v>
      </c>
      <c r="F26" s="918">
        <v>140000</v>
      </c>
      <c r="G26" s="917">
        <v>0</v>
      </c>
      <c r="H26" s="918">
        <v>140000</v>
      </c>
      <c r="I26" s="457">
        <f t="shared" si="28"/>
        <v>33178</v>
      </c>
      <c r="J26" s="458">
        <f t="shared" si="0"/>
        <v>0.2369857142857143</v>
      </c>
      <c r="K26" s="1123"/>
      <c r="L26" s="459"/>
      <c r="M26" s="460"/>
      <c r="N26" s="460"/>
      <c r="O26" s="460"/>
      <c r="P26" s="460"/>
      <c r="Q26" s="461"/>
      <c r="R26" s="460"/>
      <c r="S26" s="460"/>
      <c r="T26" s="462"/>
      <c r="U26" s="460"/>
      <c r="V26" s="460"/>
      <c r="W26" s="460"/>
      <c r="X26" s="460"/>
      <c r="Y26" s="463"/>
      <c r="Z26" s="460"/>
      <c r="AA26" s="460">
        <v>33178</v>
      </c>
      <c r="AB26" s="460"/>
      <c r="AC26" s="460"/>
      <c r="AD26" s="460"/>
      <c r="AE26" s="460"/>
      <c r="AF26" s="460"/>
      <c r="AG26" s="460"/>
      <c r="AH26" s="460"/>
      <c r="AI26" s="460"/>
      <c r="AJ26" s="460"/>
      <c r="AK26" s="460"/>
      <c r="AL26" s="460"/>
      <c r="AM26" s="460"/>
      <c r="AN26" s="460"/>
      <c r="AO26" s="460"/>
      <c r="AP26" s="460"/>
      <c r="AQ26" s="460"/>
      <c r="AR26" s="460"/>
      <c r="AS26" s="460"/>
      <c r="AT26" s="460"/>
      <c r="AU26" s="460"/>
      <c r="AV26" s="460"/>
      <c r="AW26" s="460"/>
      <c r="AX26" s="464"/>
      <c r="AY26" s="465">
        <f t="shared" si="2"/>
        <v>33178</v>
      </c>
    </row>
    <row r="27" spans="1:51" x14ac:dyDescent="0.25">
      <c r="A27" s="453" t="s">
        <v>135</v>
      </c>
      <c r="B27" s="540" t="s">
        <v>56</v>
      </c>
      <c r="C27" s="455">
        <v>221189</v>
      </c>
      <c r="D27" s="456">
        <v>221189</v>
      </c>
      <c r="E27" s="917">
        <v>212183</v>
      </c>
      <c r="F27" s="918">
        <v>221189</v>
      </c>
      <c r="G27" s="917">
        <v>212183</v>
      </c>
      <c r="H27" s="918">
        <v>221189</v>
      </c>
      <c r="I27" s="457">
        <f t="shared" si="28"/>
        <v>212183</v>
      </c>
      <c r="J27" s="458">
        <f t="shared" si="0"/>
        <v>0.95928368951439724</v>
      </c>
      <c r="K27" s="1123"/>
      <c r="L27" s="459">
        <v>22650</v>
      </c>
      <c r="M27" s="460">
        <v>10769</v>
      </c>
      <c r="N27" s="460"/>
      <c r="O27" s="460"/>
      <c r="P27" s="460"/>
      <c r="Q27" s="461"/>
      <c r="R27" s="460"/>
      <c r="S27" s="460"/>
      <c r="T27" s="462"/>
      <c r="U27" s="460"/>
      <c r="V27" s="460"/>
      <c r="W27" s="460"/>
      <c r="X27" s="460"/>
      <c r="Y27" s="463"/>
      <c r="Z27" s="460"/>
      <c r="AA27" s="460">
        <v>68390</v>
      </c>
      <c r="AB27" s="460"/>
      <c r="AC27" s="460">
        <v>69865</v>
      </c>
      <c r="AD27" s="460"/>
      <c r="AE27" s="460">
        <v>5576</v>
      </c>
      <c r="AF27" s="460"/>
      <c r="AG27" s="460"/>
      <c r="AH27" s="460"/>
      <c r="AI27" s="460"/>
      <c r="AJ27" s="460">
        <v>34933</v>
      </c>
      <c r="AK27" s="460"/>
      <c r="AL27" s="460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4"/>
      <c r="AY27" s="465">
        <f t="shared" si="2"/>
        <v>212183</v>
      </c>
    </row>
    <row r="28" spans="1:51" s="558" customFormat="1" x14ac:dyDescent="0.25">
      <c r="A28" s="740" t="s">
        <v>136</v>
      </c>
      <c r="B28" s="741" t="s">
        <v>137</v>
      </c>
      <c r="C28" s="742">
        <f t="shared" ref="C28" si="29">SUM(C23:C27)</f>
        <v>8212948</v>
      </c>
      <c r="D28" s="743">
        <f t="shared" ref="D28" si="30">SUM(D23:D27)</f>
        <v>8258188</v>
      </c>
      <c r="E28" s="744">
        <f t="shared" ref="E28" si="31">SUM(E23:E27)</f>
        <v>4044517</v>
      </c>
      <c r="F28" s="745">
        <f t="shared" ref="F28" si="32">SUM(F23:F27)</f>
        <v>7423603</v>
      </c>
      <c r="G28" s="744">
        <f t="shared" ref="G28" si="33">SUM(G23:G27)</f>
        <v>6155051</v>
      </c>
      <c r="H28" s="745">
        <f t="shared" ref="H28" si="34">SUM(H23:H27)</f>
        <v>8904513</v>
      </c>
      <c r="I28" s="746">
        <f t="shared" ref="I28" si="35">SUM(I23:I27)</f>
        <v>8648400</v>
      </c>
      <c r="J28" s="747">
        <f t="shared" si="0"/>
        <v>0.97123784310270533</v>
      </c>
      <c r="K28" s="1125"/>
      <c r="L28" s="748">
        <f t="shared" ref="L28:AX28" si="36">SUM(L23:L27)</f>
        <v>2420467</v>
      </c>
      <c r="M28" s="749">
        <f t="shared" si="36"/>
        <v>316924</v>
      </c>
      <c r="N28" s="749">
        <f t="shared" si="36"/>
        <v>0</v>
      </c>
      <c r="O28" s="749">
        <f t="shared" si="36"/>
        <v>21940</v>
      </c>
      <c r="P28" s="749">
        <f t="shared" si="36"/>
        <v>0</v>
      </c>
      <c r="Q28" s="750">
        <f t="shared" si="36"/>
        <v>0</v>
      </c>
      <c r="R28" s="749">
        <f t="shared" si="36"/>
        <v>0</v>
      </c>
      <c r="S28" s="749">
        <f t="shared" si="36"/>
        <v>0</v>
      </c>
      <c r="T28" s="751">
        <f t="shared" si="36"/>
        <v>290926</v>
      </c>
      <c r="U28" s="749">
        <f t="shared" si="36"/>
        <v>0</v>
      </c>
      <c r="V28" s="749">
        <f t="shared" si="36"/>
        <v>0</v>
      </c>
      <c r="W28" s="749">
        <f t="shared" si="36"/>
        <v>0</v>
      </c>
      <c r="X28" s="749">
        <f t="shared" si="36"/>
        <v>0</v>
      </c>
      <c r="Y28" s="752">
        <f t="shared" si="36"/>
        <v>0</v>
      </c>
      <c r="Z28" s="749">
        <f t="shared" si="36"/>
        <v>0</v>
      </c>
      <c r="AA28" s="749">
        <f t="shared" si="36"/>
        <v>1503799</v>
      </c>
      <c r="AB28" s="749">
        <f t="shared" si="36"/>
        <v>8073</v>
      </c>
      <c r="AC28" s="749">
        <f t="shared" si="36"/>
        <v>2330001</v>
      </c>
      <c r="AD28" s="749">
        <f t="shared" si="36"/>
        <v>0</v>
      </c>
      <c r="AE28" s="749">
        <f t="shared" si="36"/>
        <v>130435</v>
      </c>
      <c r="AF28" s="749">
        <f t="shared" si="36"/>
        <v>9750</v>
      </c>
      <c r="AG28" s="749">
        <f t="shared" si="36"/>
        <v>13861</v>
      </c>
      <c r="AH28" s="749">
        <f t="shared" si="36"/>
        <v>0</v>
      </c>
      <c r="AI28" s="749">
        <f t="shared" si="36"/>
        <v>159840</v>
      </c>
      <c r="AJ28" s="749">
        <f t="shared" si="36"/>
        <v>1366827</v>
      </c>
      <c r="AK28" s="749">
        <f t="shared" si="36"/>
        <v>4682</v>
      </c>
      <c r="AL28" s="749">
        <f t="shared" si="36"/>
        <v>0</v>
      </c>
      <c r="AM28" s="749">
        <f t="shared" si="36"/>
        <v>0</v>
      </c>
      <c r="AN28" s="749">
        <f t="shared" si="36"/>
        <v>0</v>
      </c>
      <c r="AO28" s="749">
        <f t="shared" si="36"/>
        <v>0</v>
      </c>
      <c r="AP28" s="749">
        <f t="shared" si="36"/>
        <v>0</v>
      </c>
      <c r="AQ28" s="749">
        <f t="shared" si="36"/>
        <v>70875</v>
      </c>
      <c r="AR28" s="749">
        <f t="shared" si="36"/>
        <v>0</v>
      </c>
      <c r="AS28" s="749">
        <f t="shared" si="36"/>
        <v>0</v>
      </c>
      <c r="AT28" s="749">
        <f t="shared" si="36"/>
        <v>0</v>
      </c>
      <c r="AU28" s="749">
        <f t="shared" si="36"/>
        <v>0</v>
      </c>
      <c r="AV28" s="749">
        <f t="shared" si="36"/>
        <v>0</v>
      </c>
      <c r="AW28" s="749">
        <f t="shared" si="36"/>
        <v>0</v>
      </c>
      <c r="AX28" s="746">
        <f t="shared" si="36"/>
        <v>0</v>
      </c>
      <c r="AY28" s="753">
        <f t="shared" si="2"/>
        <v>8648400</v>
      </c>
    </row>
    <row r="29" spans="1:51" x14ac:dyDescent="0.25">
      <c r="A29" s="453" t="s">
        <v>140</v>
      </c>
      <c r="B29" s="454" t="s">
        <v>73</v>
      </c>
      <c r="C29" s="455">
        <v>900000</v>
      </c>
      <c r="D29" s="456">
        <f>C29</f>
        <v>900000</v>
      </c>
      <c r="E29" s="917">
        <v>432334</v>
      </c>
      <c r="F29" s="918">
        <v>900000</v>
      </c>
      <c r="G29" s="917">
        <v>805205</v>
      </c>
      <c r="H29" s="918">
        <v>900000</v>
      </c>
      <c r="I29" s="457">
        <f t="shared" ref="I29:I32" si="37">AY29</f>
        <v>825791</v>
      </c>
      <c r="J29" s="458">
        <f t="shared" si="0"/>
        <v>0.9175455555555555</v>
      </c>
      <c r="K29" s="1123"/>
      <c r="L29" s="459"/>
      <c r="M29" s="460">
        <v>2511</v>
      </c>
      <c r="N29" s="460"/>
      <c r="O29" s="460"/>
      <c r="P29" s="460"/>
      <c r="Q29" s="461"/>
      <c r="R29" s="460"/>
      <c r="S29" s="460"/>
      <c r="T29" s="462"/>
      <c r="U29" s="460"/>
      <c r="V29" s="460"/>
      <c r="W29" s="460"/>
      <c r="X29" s="460"/>
      <c r="Y29" s="463"/>
      <c r="Z29" s="460"/>
      <c r="AA29" s="460">
        <v>9173</v>
      </c>
      <c r="AB29" s="460"/>
      <c r="AC29" s="460">
        <v>299490</v>
      </c>
      <c r="AD29" s="460"/>
      <c r="AE29" s="460"/>
      <c r="AF29" s="460">
        <v>514617</v>
      </c>
      <c r="AG29" s="460"/>
      <c r="AH29" s="460"/>
      <c r="AI29" s="460"/>
      <c r="AJ29" s="460"/>
      <c r="AK29" s="460"/>
      <c r="AL29" s="460"/>
      <c r="AM29" s="460"/>
      <c r="AN29" s="460"/>
      <c r="AO29" s="460"/>
      <c r="AP29" s="460"/>
      <c r="AQ29" s="460"/>
      <c r="AR29" s="460"/>
      <c r="AS29" s="460"/>
      <c r="AT29" s="460"/>
      <c r="AU29" s="460"/>
      <c r="AV29" s="460"/>
      <c r="AW29" s="460"/>
      <c r="AX29" s="464"/>
      <c r="AY29" s="465">
        <f t="shared" si="2"/>
        <v>825791</v>
      </c>
    </row>
    <row r="30" spans="1:51" x14ac:dyDescent="0.25">
      <c r="A30" s="453" t="s">
        <v>141</v>
      </c>
      <c r="B30" s="454" t="s">
        <v>142</v>
      </c>
      <c r="C30" s="455">
        <v>320000</v>
      </c>
      <c r="D30" s="456">
        <f>C30</f>
        <v>320000</v>
      </c>
      <c r="E30" s="917">
        <v>140351</v>
      </c>
      <c r="F30" s="918">
        <v>320000</v>
      </c>
      <c r="G30" s="917">
        <v>161821</v>
      </c>
      <c r="H30" s="918">
        <v>320000</v>
      </c>
      <c r="I30" s="457">
        <f t="shared" si="37"/>
        <v>208620</v>
      </c>
      <c r="J30" s="458">
        <f t="shared" si="0"/>
        <v>0.65193749999999995</v>
      </c>
      <c r="K30" s="1123"/>
      <c r="L30" s="459">
        <v>192004</v>
      </c>
      <c r="M30" s="460"/>
      <c r="N30" s="460"/>
      <c r="O30" s="460"/>
      <c r="P30" s="460"/>
      <c r="Q30" s="461"/>
      <c r="R30" s="460"/>
      <c r="S30" s="460"/>
      <c r="T30" s="462"/>
      <c r="U30" s="460"/>
      <c r="V30" s="460"/>
      <c r="W30" s="460"/>
      <c r="X30" s="460"/>
      <c r="Y30" s="463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>
        <v>16616</v>
      </c>
      <c r="AJ30" s="460"/>
      <c r="AK30" s="460"/>
      <c r="AL30" s="460"/>
      <c r="AM30" s="460"/>
      <c r="AN30" s="460"/>
      <c r="AO30" s="460"/>
      <c r="AP30" s="460"/>
      <c r="AQ30" s="460"/>
      <c r="AR30" s="460"/>
      <c r="AS30" s="460"/>
      <c r="AT30" s="460"/>
      <c r="AU30" s="460"/>
      <c r="AV30" s="460"/>
      <c r="AW30" s="460"/>
      <c r="AX30" s="464"/>
      <c r="AY30" s="465">
        <f t="shared" si="2"/>
        <v>208620</v>
      </c>
    </row>
    <row r="31" spans="1:51" x14ac:dyDescent="0.25">
      <c r="A31" s="453" t="s">
        <v>423</v>
      </c>
      <c r="B31" s="454" t="s">
        <v>424</v>
      </c>
      <c r="C31" s="455">
        <v>780000</v>
      </c>
      <c r="D31" s="456">
        <v>780000</v>
      </c>
      <c r="E31" s="917">
        <v>117795</v>
      </c>
      <c r="F31" s="918">
        <v>780000</v>
      </c>
      <c r="G31" s="917">
        <v>285358</v>
      </c>
      <c r="H31" s="918">
        <v>703549</v>
      </c>
      <c r="I31" s="457">
        <f t="shared" si="37"/>
        <v>513399</v>
      </c>
      <c r="J31" s="458">
        <f t="shared" si="0"/>
        <v>0.72972742481333919</v>
      </c>
      <c r="K31" s="1123"/>
      <c r="L31" s="459">
        <v>1299</v>
      </c>
      <c r="M31" s="460"/>
      <c r="N31" s="460"/>
      <c r="O31" s="460"/>
      <c r="P31" s="460"/>
      <c r="Q31" s="461"/>
      <c r="R31" s="460"/>
      <c r="S31" s="460"/>
      <c r="T31" s="462"/>
      <c r="U31" s="460"/>
      <c r="V31" s="460"/>
      <c r="W31" s="460"/>
      <c r="X31" s="460"/>
      <c r="Y31" s="463"/>
      <c r="Z31" s="460"/>
      <c r="AA31" s="460"/>
      <c r="AB31" s="460"/>
      <c r="AC31" s="460">
        <v>480228</v>
      </c>
      <c r="AD31" s="460"/>
      <c r="AE31" s="460">
        <v>3378</v>
      </c>
      <c r="AF31" s="460">
        <v>23874</v>
      </c>
      <c r="AG31" s="460"/>
      <c r="AH31" s="460"/>
      <c r="AI31" s="460"/>
      <c r="AJ31" s="460">
        <v>4620</v>
      </c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0"/>
      <c r="AX31" s="464"/>
      <c r="AY31" s="465">
        <f t="shared" si="2"/>
        <v>513399</v>
      </c>
    </row>
    <row r="32" spans="1:51" x14ac:dyDescent="0.25">
      <c r="A32" s="453" t="s">
        <v>603</v>
      </c>
      <c r="B32" s="454" t="s">
        <v>468</v>
      </c>
      <c r="C32" s="455">
        <v>0</v>
      </c>
      <c r="D32" s="456">
        <v>0</v>
      </c>
      <c r="E32" s="917">
        <v>0</v>
      </c>
      <c r="F32" s="918">
        <v>0</v>
      </c>
      <c r="G32" s="917">
        <v>0</v>
      </c>
      <c r="H32" s="918">
        <v>0</v>
      </c>
      <c r="I32" s="457">
        <f t="shared" si="37"/>
        <v>12495</v>
      </c>
      <c r="J32" s="458"/>
      <c r="K32" s="1123"/>
      <c r="L32" s="459"/>
      <c r="M32" s="460"/>
      <c r="N32" s="460"/>
      <c r="O32" s="460"/>
      <c r="P32" s="460"/>
      <c r="Q32" s="461"/>
      <c r="R32" s="460"/>
      <c r="S32" s="460"/>
      <c r="T32" s="462"/>
      <c r="U32" s="460"/>
      <c r="V32" s="460"/>
      <c r="W32" s="460"/>
      <c r="X32" s="460"/>
      <c r="Y32" s="463"/>
      <c r="Z32" s="460"/>
      <c r="AA32" s="460"/>
      <c r="AB32" s="460"/>
      <c r="AC32" s="460"/>
      <c r="AD32" s="460"/>
      <c r="AE32" s="460"/>
      <c r="AF32" s="460"/>
      <c r="AG32" s="460"/>
      <c r="AH32" s="460"/>
      <c r="AI32" s="460"/>
      <c r="AJ32" s="460">
        <v>12495</v>
      </c>
      <c r="AK32" s="460"/>
      <c r="AL32" s="460"/>
      <c r="AM32" s="460"/>
      <c r="AN32" s="460"/>
      <c r="AO32" s="460"/>
      <c r="AP32" s="460"/>
      <c r="AQ32" s="460"/>
      <c r="AR32" s="460"/>
      <c r="AS32" s="460"/>
      <c r="AT32" s="460"/>
      <c r="AU32" s="460"/>
      <c r="AV32" s="460"/>
      <c r="AW32" s="460"/>
      <c r="AX32" s="464"/>
      <c r="AY32" s="465">
        <f t="shared" si="2"/>
        <v>12495</v>
      </c>
    </row>
    <row r="33" spans="1:51" x14ac:dyDescent="0.25">
      <c r="A33" s="475" t="s">
        <v>143</v>
      </c>
      <c r="B33" s="476" t="s">
        <v>560</v>
      </c>
      <c r="C33" s="477">
        <f>SUM(C29:C32)</f>
        <v>2000000</v>
      </c>
      <c r="D33" s="478">
        <f t="shared" ref="D33:I33" si="38">SUM(D29:D32)</f>
        <v>2000000</v>
      </c>
      <c r="E33" s="479">
        <f t="shared" si="38"/>
        <v>690480</v>
      </c>
      <c r="F33" s="480">
        <f t="shared" si="38"/>
        <v>2000000</v>
      </c>
      <c r="G33" s="479">
        <f t="shared" si="38"/>
        <v>1252384</v>
      </c>
      <c r="H33" s="480">
        <f t="shared" si="38"/>
        <v>1923549</v>
      </c>
      <c r="I33" s="481">
        <f t="shared" si="38"/>
        <v>1560305</v>
      </c>
      <c r="J33" s="482">
        <f t="shared" si="0"/>
        <v>0.81115947657169118</v>
      </c>
      <c r="K33" s="1123"/>
      <c r="L33" s="483">
        <f t="shared" ref="L33:AX33" si="39">SUM(L29:L32)</f>
        <v>193303</v>
      </c>
      <c r="M33" s="484">
        <f t="shared" si="39"/>
        <v>2511</v>
      </c>
      <c r="N33" s="484">
        <f t="shared" si="39"/>
        <v>0</v>
      </c>
      <c r="O33" s="484">
        <f t="shared" si="39"/>
        <v>0</v>
      </c>
      <c r="P33" s="484">
        <f t="shared" si="39"/>
        <v>0</v>
      </c>
      <c r="Q33" s="485">
        <f t="shared" si="39"/>
        <v>0</v>
      </c>
      <c r="R33" s="484">
        <f t="shared" si="39"/>
        <v>0</v>
      </c>
      <c r="S33" s="484">
        <f t="shared" si="39"/>
        <v>0</v>
      </c>
      <c r="T33" s="486">
        <f t="shared" si="39"/>
        <v>0</v>
      </c>
      <c r="U33" s="484">
        <f t="shared" si="39"/>
        <v>0</v>
      </c>
      <c r="V33" s="484">
        <f t="shared" si="39"/>
        <v>0</v>
      </c>
      <c r="W33" s="484">
        <f t="shared" si="39"/>
        <v>0</v>
      </c>
      <c r="X33" s="484">
        <f t="shared" si="39"/>
        <v>0</v>
      </c>
      <c r="Y33" s="487">
        <f t="shared" si="39"/>
        <v>0</v>
      </c>
      <c r="Z33" s="484">
        <f t="shared" si="39"/>
        <v>0</v>
      </c>
      <c r="AA33" s="484">
        <f t="shared" si="39"/>
        <v>9173</v>
      </c>
      <c r="AB33" s="484">
        <f t="shared" si="39"/>
        <v>0</v>
      </c>
      <c r="AC33" s="484">
        <f t="shared" si="39"/>
        <v>779718</v>
      </c>
      <c r="AD33" s="484">
        <f t="shared" si="39"/>
        <v>0</v>
      </c>
      <c r="AE33" s="484">
        <f t="shared" si="39"/>
        <v>3378</v>
      </c>
      <c r="AF33" s="484">
        <f t="shared" si="39"/>
        <v>538491</v>
      </c>
      <c r="AG33" s="484">
        <f t="shared" si="39"/>
        <v>0</v>
      </c>
      <c r="AH33" s="484">
        <f t="shared" si="39"/>
        <v>0</v>
      </c>
      <c r="AI33" s="484">
        <f t="shared" si="39"/>
        <v>16616</v>
      </c>
      <c r="AJ33" s="484">
        <f t="shared" si="39"/>
        <v>17115</v>
      </c>
      <c r="AK33" s="484">
        <f t="shared" si="39"/>
        <v>0</v>
      </c>
      <c r="AL33" s="484">
        <f t="shared" si="39"/>
        <v>0</v>
      </c>
      <c r="AM33" s="484">
        <f t="shared" si="39"/>
        <v>0</v>
      </c>
      <c r="AN33" s="484">
        <f t="shared" si="39"/>
        <v>0</v>
      </c>
      <c r="AO33" s="484">
        <f t="shared" si="39"/>
        <v>0</v>
      </c>
      <c r="AP33" s="484">
        <f t="shared" si="39"/>
        <v>0</v>
      </c>
      <c r="AQ33" s="484">
        <f t="shared" si="39"/>
        <v>0</v>
      </c>
      <c r="AR33" s="484">
        <f t="shared" si="39"/>
        <v>0</v>
      </c>
      <c r="AS33" s="484">
        <f t="shared" si="39"/>
        <v>0</v>
      </c>
      <c r="AT33" s="484">
        <f t="shared" si="39"/>
        <v>0</v>
      </c>
      <c r="AU33" s="484">
        <f t="shared" si="39"/>
        <v>0</v>
      </c>
      <c r="AV33" s="484">
        <f t="shared" si="39"/>
        <v>0</v>
      </c>
      <c r="AW33" s="484">
        <f t="shared" si="39"/>
        <v>0</v>
      </c>
      <c r="AX33" s="481">
        <f t="shared" si="39"/>
        <v>0</v>
      </c>
      <c r="AY33" s="488">
        <f t="shared" si="2"/>
        <v>1560305</v>
      </c>
    </row>
    <row r="34" spans="1:51" x14ac:dyDescent="0.25">
      <c r="A34" s="453" t="s">
        <v>147</v>
      </c>
      <c r="B34" s="454" t="s">
        <v>422</v>
      </c>
      <c r="C34" s="455">
        <v>1500000</v>
      </c>
      <c r="D34" s="456">
        <v>3804000</v>
      </c>
      <c r="E34" s="917">
        <v>770880</v>
      </c>
      <c r="F34" s="918">
        <v>3354200</v>
      </c>
      <c r="G34" s="917">
        <v>951998</v>
      </c>
      <c r="H34" s="918">
        <v>2146208</v>
      </c>
      <c r="I34" s="457">
        <f t="shared" ref="I34:I39" si="40">AY34</f>
        <v>2146208</v>
      </c>
      <c r="J34" s="458">
        <f t="shared" si="0"/>
        <v>1</v>
      </c>
      <c r="K34" s="1123"/>
      <c r="L34" s="459">
        <v>54445</v>
      </c>
      <c r="M34" s="460"/>
      <c r="N34" s="460"/>
      <c r="O34" s="460"/>
      <c r="P34" s="460"/>
      <c r="Q34" s="461"/>
      <c r="R34" s="460"/>
      <c r="S34" s="460"/>
      <c r="T34" s="462"/>
      <c r="U34" s="460"/>
      <c r="V34" s="460"/>
      <c r="W34" s="460"/>
      <c r="X34" s="460"/>
      <c r="Y34" s="463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>
        <v>82713</v>
      </c>
      <c r="AS34" s="460"/>
      <c r="AT34" s="460"/>
      <c r="AU34" s="460">
        <v>2009050</v>
      </c>
      <c r="AV34" s="460"/>
      <c r="AW34" s="460"/>
      <c r="AX34" s="464"/>
      <c r="AY34" s="465">
        <f t="shared" si="2"/>
        <v>2146208</v>
      </c>
    </row>
    <row r="35" spans="1:51" x14ac:dyDescent="0.25">
      <c r="A35" s="453" t="s">
        <v>148</v>
      </c>
      <c r="B35" s="454" t="s">
        <v>144</v>
      </c>
      <c r="C35" s="455">
        <v>380000</v>
      </c>
      <c r="D35" s="456">
        <v>380000</v>
      </c>
      <c r="E35" s="917">
        <v>202603</v>
      </c>
      <c r="F35" s="918">
        <v>380000</v>
      </c>
      <c r="G35" s="917">
        <v>231074</v>
      </c>
      <c r="H35" s="918">
        <v>141448</v>
      </c>
      <c r="I35" s="457">
        <f t="shared" si="40"/>
        <v>141448</v>
      </c>
      <c r="J35" s="458">
        <f t="shared" si="0"/>
        <v>1</v>
      </c>
      <c r="K35" s="1123"/>
      <c r="L35" s="459"/>
      <c r="M35" s="460"/>
      <c r="N35" s="460"/>
      <c r="O35" s="460"/>
      <c r="P35" s="460">
        <v>1417</v>
      </c>
      <c r="Q35" s="461"/>
      <c r="R35" s="460"/>
      <c r="S35" s="460"/>
      <c r="T35" s="462"/>
      <c r="U35" s="460"/>
      <c r="V35" s="460"/>
      <c r="W35" s="460"/>
      <c r="X35" s="460"/>
      <c r="Y35" s="463"/>
      <c r="Z35" s="460"/>
      <c r="AA35" s="460"/>
      <c r="AB35" s="460"/>
      <c r="AC35" s="460">
        <v>77045</v>
      </c>
      <c r="AD35" s="460"/>
      <c r="AE35" s="460"/>
      <c r="AF35" s="460"/>
      <c r="AG35" s="460"/>
      <c r="AH35" s="460"/>
      <c r="AI35" s="460"/>
      <c r="AJ35" s="460">
        <v>62986</v>
      </c>
      <c r="AK35" s="460"/>
      <c r="AL35" s="460"/>
      <c r="AM35" s="460"/>
      <c r="AN35" s="460"/>
      <c r="AO35" s="460"/>
      <c r="AP35" s="460"/>
      <c r="AQ35" s="460"/>
      <c r="AR35" s="460"/>
      <c r="AS35" s="460"/>
      <c r="AT35" s="460"/>
      <c r="AU35" s="460"/>
      <c r="AV35" s="460"/>
      <c r="AW35" s="460"/>
      <c r="AX35" s="464"/>
      <c r="AY35" s="465">
        <f t="shared" si="2"/>
        <v>141448</v>
      </c>
    </row>
    <row r="36" spans="1:51" x14ac:dyDescent="0.25">
      <c r="A36" s="453" t="s">
        <v>149</v>
      </c>
      <c r="B36" s="454" t="s">
        <v>145</v>
      </c>
      <c r="C36" s="455">
        <v>0</v>
      </c>
      <c r="D36" s="456">
        <v>0</v>
      </c>
      <c r="E36" s="917">
        <v>0</v>
      </c>
      <c r="F36" s="918">
        <v>0</v>
      </c>
      <c r="G36" s="917">
        <v>115376</v>
      </c>
      <c r="H36" s="918">
        <v>292508</v>
      </c>
      <c r="I36" s="457">
        <f t="shared" si="40"/>
        <v>292508</v>
      </c>
      <c r="J36" s="458">
        <f t="shared" si="0"/>
        <v>1</v>
      </c>
      <c r="K36" s="1123"/>
      <c r="L36" s="459">
        <v>74990</v>
      </c>
      <c r="M36" s="460"/>
      <c r="N36" s="460"/>
      <c r="O36" s="460"/>
      <c r="P36" s="460">
        <v>3929</v>
      </c>
      <c r="Q36" s="461"/>
      <c r="R36" s="460"/>
      <c r="S36" s="460"/>
      <c r="T36" s="462"/>
      <c r="U36" s="460"/>
      <c r="V36" s="460"/>
      <c r="W36" s="460"/>
      <c r="X36" s="460"/>
      <c r="Y36" s="463"/>
      <c r="Z36" s="460"/>
      <c r="AA36" s="460"/>
      <c r="AB36" s="460"/>
      <c r="AC36" s="460">
        <v>67480</v>
      </c>
      <c r="AD36" s="460"/>
      <c r="AE36" s="460"/>
      <c r="AF36" s="460">
        <v>5800</v>
      </c>
      <c r="AG36" s="460"/>
      <c r="AH36" s="460"/>
      <c r="AI36" s="460"/>
      <c r="AJ36" s="460">
        <v>140309</v>
      </c>
      <c r="AK36" s="460"/>
      <c r="AL36" s="460"/>
      <c r="AM36" s="460"/>
      <c r="AN36" s="460"/>
      <c r="AO36" s="460"/>
      <c r="AP36" s="460"/>
      <c r="AQ36" s="460"/>
      <c r="AR36" s="460"/>
      <c r="AS36" s="460"/>
      <c r="AT36" s="460"/>
      <c r="AU36" s="460"/>
      <c r="AV36" s="460"/>
      <c r="AW36" s="460"/>
      <c r="AX36" s="464"/>
      <c r="AY36" s="465">
        <f t="shared" si="2"/>
        <v>292508</v>
      </c>
    </row>
    <row r="37" spans="1:51" x14ac:dyDescent="0.25">
      <c r="A37" s="453" t="s">
        <v>150</v>
      </c>
      <c r="B37" s="454" t="s">
        <v>54</v>
      </c>
      <c r="C37" s="455">
        <v>1000000</v>
      </c>
      <c r="D37" s="456">
        <v>1000000</v>
      </c>
      <c r="E37" s="917">
        <v>500917</v>
      </c>
      <c r="F37" s="918">
        <v>1000000</v>
      </c>
      <c r="G37" s="917">
        <v>736473</v>
      </c>
      <c r="H37" s="918">
        <v>893688</v>
      </c>
      <c r="I37" s="457">
        <f t="shared" si="40"/>
        <v>893688</v>
      </c>
      <c r="J37" s="458">
        <f t="shared" si="0"/>
        <v>1</v>
      </c>
      <c r="K37" s="1123"/>
      <c r="L37" s="459">
        <v>15716</v>
      </c>
      <c r="M37" s="460"/>
      <c r="N37" s="460"/>
      <c r="O37" s="460"/>
      <c r="P37" s="460"/>
      <c r="Q37" s="461"/>
      <c r="R37" s="460"/>
      <c r="S37" s="460"/>
      <c r="T37" s="462"/>
      <c r="U37" s="460"/>
      <c r="V37" s="460"/>
      <c r="W37" s="460"/>
      <c r="X37" s="460"/>
      <c r="Y37" s="463"/>
      <c r="Z37" s="460"/>
      <c r="AA37" s="460">
        <v>877972</v>
      </c>
      <c r="AB37" s="460"/>
      <c r="AC37" s="460"/>
      <c r="AD37" s="460"/>
      <c r="AE37" s="460"/>
      <c r="AF37" s="460"/>
      <c r="AG37" s="460"/>
      <c r="AH37" s="460"/>
      <c r="AI37" s="460"/>
      <c r="AJ37" s="460"/>
      <c r="AK37" s="460"/>
      <c r="AL37" s="460"/>
      <c r="AM37" s="460"/>
      <c r="AN37" s="460"/>
      <c r="AO37" s="460"/>
      <c r="AP37" s="460"/>
      <c r="AQ37" s="460"/>
      <c r="AR37" s="460"/>
      <c r="AS37" s="460"/>
      <c r="AT37" s="460"/>
      <c r="AU37" s="460"/>
      <c r="AV37" s="460"/>
      <c r="AW37" s="460"/>
      <c r="AX37" s="464"/>
      <c r="AY37" s="465">
        <f t="shared" si="2"/>
        <v>893688</v>
      </c>
    </row>
    <row r="38" spans="1:51" x14ac:dyDescent="0.25">
      <c r="A38" s="453" t="s">
        <v>151</v>
      </c>
      <c r="B38" s="454" t="s">
        <v>60</v>
      </c>
      <c r="C38" s="455">
        <v>246870</v>
      </c>
      <c r="D38" s="456">
        <v>246870</v>
      </c>
      <c r="E38" s="917">
        <v>93560</v>
      </c>
      <c r="F38" s="918">
        <v>246870</v>
      </c>
      <c r="G38" s="917">
        <v>169939</v>
      </c>
      <c r="H38" s="918">
        <v>322439</v>
      </c>
      <c r="I38" s="457">
        <f t="shared" si="40"/>
        <v>322439</v>
      </c>
      <c r="J38" s="458">
        <f t="shared" si="0"/>
        <v>1</v>
      </c>
      <c r="K38" s="1123"/>
      <c r="L38" s="459">
        <v>46940</v>
      </c>
      <c r="M38" s="460">
        <v>41725</v>
      </c>
      <c r="N38" s="460"/>
      <c r="O38" s="460"/>
      <c r="P38" s="460">
        <v>17157</v>
      </c>
      <c r="Q38" s="461"/>
      <c r="R38" s="460"/>
      <c r="S38" s="460"/>
      <c r="T38" s="462"/>
      <c r="U38" s="460"/>
      <c r="V38" s="460"/>
      <c r="W38" s="460"/>
      <c r="X38" s="460"/>
      <c r="Y38" s="463"/>
      <c r="Z38" s="460"/>
      <c r="AA38" s="460">
        <v>167651</v>
      </c>
      <c r="AB38" s="460">
        <v>15980</v>
      </c>
      <c r="AC38" s="460">
        <v>32986</v>
      </c>
      <c r="AD38" s="460"/>
      <c r="AE38" s="460"/>
      <c r="AF38" s="460"/>
      <c r="AG38" s="460"/>
      <c r="AH38" s="460"/>
      <c r="AI38" s="460"/>
      <c r="AJ38" s="460"/>
      <c r="AK38" s="460"/>
      <c r="AL38" s="460"/>
      <c r="AM38" s="460"/>
      <c r="AN38" s="460"/>
      <c r="AO38" s="460"/>
      <c r="AP38" s="460"/>
      <c r="AQ38" s="460"/>
      <c r="AR38" s="460"/>
      <c r="AS38" s="460"/>
      <c r="AT38" s="460"/>
      <c r="AU38" s="460"/>
      <c r="AV38" s="460"/>
      <c r="AW38" s="460"/>
      <c r="AX38" s="464"/>
      <c r="AY38" s="465">
        <f t="shared" si="2"/>
        <v>322439</v>
      </c>
    </row>
    <row r="39" spans="1:51" x14ac:dyDescent="0.25">
      <c r="A39" s="453" t="s">
        <v>152</v>
      </c>
      <c r="B39" s="454" t="s">
        <v>419</v>
      </c>
      <c r="C39" s="455">
        <v>4502370</v>
      </c>
      <c r="D39" s="456">
        <v>4502370</v>
      </c>
      <c r="E39" s="917">
        <v>2157249</v>
      </c>
      <c r="F39" s="918">
        <v>4723409</v>
      </c>
      <c r="G39" s="917">
        <v>3067504</v>
      </c>
      <c r="H39" s="918">
        <v>5401674</v>
      </c>
      <c r="I39" s="457">
        <f t="shared" si="40"/>
        <v>5401674</v>
      </c>
      <c r="J39" s="458">
        <f t="shared" si="0"/>
        <v>1</v>
      </c>
      <c r="K39" s="1123"/>
      <c r="L39" s="459">
        <v>1928415</v>
      </c>
      <c r="M39" s="460">
        <v>176051</v>
      </c>
      <c r="N39" s="460">
        <v>144371</v>
      </c>
      <c r="O39" s="460"/>
      <c r="P39" s="460">
        <v>824353</v>
      </c>
      <c r="Q39" s="461"/>
      <c r="R39" s="460"/>
      <c r="S39" s="460">
        <v>4252</v>
      </c>
      <c r="T39" s="462"/>
      <c r="U39" s="460"/>
      <c r="V39" s="460">
        <v>11610</v>
      </c>
      <c r="W39" s="460"/>
      <c r="X39" s="460"/>
      <c r="Y39" s="463"/>
      <c r="Z39" s="460">
        <v>7724</v>
      </c>
      <c r="AA39" s="460">
        <v>1219609</v>
      </c>
      <c r="AB39" s="460">
        <v>132929</v>
      </c>
      <c r="AC39" s="460">
        <v>117734</v>
      </c>
      <c r="AD39" s="460"/>
      <c r="AE39" s="460"/>
      <c r="AF39" s="460"/>
      <c r="AG39" s="460"/>
      <c r="AH39" s="460"/>
      <c r="AI39" s="460"/>
      <c r="AJ39" s="460">
        <v>834626</v>
      </c>
      <c r="AK39" s="460"/>
      <c r="AL39" s="460"/>
      <c r="AM39" s="460"/>
      <c r="AN39" s="460"/>
      <c r="AO39" s="460"/>
      <c r="AP39" s="460"/>
      <c r="AQ39" s="460"/>
      <c r="AR39" s="460"/>
      <c r="AS39" s="460"/>
      <c r="AT39" s="460"/>
      <c r="AU39" s="460"/>
      <c r="AV39" s="460"/>
      <c r="AW39" s="460"/>
      <c r="AX39" s="464"/>
      <c r="AY39" s="465">
        <f t="shared" si="2"/>
        <v>5401674</v>
      </c>
    </row>
    <row r="40" spans="1:51" x14ac:dyDescent="0.25">
      <c r="A40" s="475" t="s">
        <v>153</v>
      </c>
      <c r="B40" s="476" t="s">
        <v>561</v>
      </c>
      <c r="C40" s="477">
        <f t="shared" ref="C40" si="41">SUM(C34:C39)</f>
        <v>7629240</v>
      </c>
      <c r="D40" s="478">
        <f t="shared" ref="D40" si="42">SUM(D34:D39)</f>
        <v>9933240</v>
      </c>
      <c r="E40" s="479">
        <f t="shared" ref="E40" si="43">SUM(E34:E39)</f>
        <v>3725209</v>
      </c>
      <c r="F40" s="480">
        <f t="shared" ref="F40" si="44">SUM(F34:F39)</f>
        <v>9704479</v>
      </c>
      <c r="G40" s="479">
        <f t="shared" ref="G40" si="45">SUM(G34:G39)</f>
        <v>5272364</v>
      </c>
      <c r="H40" s="480">
        <f t="shared" ref="H40" si="46">SUM(H34:H39)</f>
        <v>9197965</v>
      </c>
      <c r="I40" s="481">
        <f t="shared" ref="I40" si="47">SUM(I34:I39)</f>
        <v>9197965</v>
      </c>
      <c r="J40" s="482">
        <f t="shared" si="0"/>
        <v>1</v>
      </c>
      <c r="K40" s="1123"/>
      <c r="L40" s="483">
        <f t="shared" ref="L40:AX40" si="48">SUM(L34:L39)</f>
        <v>2120506</v>
      </c>
      <c r="M40" s="484">
        <f t="shared" si="48"/>
        <v>217776</v>
      </c>
      <c r="N40" s="484">
        <f t="shared" si="48"/>
        <v>144371</v>
      </c>
      <c r="O40" s="484">
        <f t="shared" si="48"/>
        <v>0</v>
      </c>
      <c r="P40" s="484">
        <f t="shared" si="48"/>
        <v>846856</v>
      </c>
      <c r="Q40" s="485">
        <f t="shared" si="48"/>
        <v>0</v>
      </c>
      <c r="R40" s="484">
        <f t="shared" si="48"/>
        <v>0</v>
      </c>
      <c r="S40" s="484">
        <f t="shared" si="48"/>
        <v>4252</v>
      </c>
      <c r="T40" s="486">
        <f t="shared" si="48"/>
        <v>0</v>
      </c>
      <c r="U40" s="484">
        <f t="shared" si="48"/>
        <v>0</v>
      </c>
      <c r="V40" s="484">
        <f t="shared" si="48"/>
        <v>11610</v>
      </c>
      <c r="W40" s="484">
        <f t="shared" si="48"/>
        <v>0</v>
      </c>
      <c r="X40" s="484">
        <f t="shared" si="48"/>
        <v>0</v>
      </c>
      <c r="Y40" s="487">
        <f t="shared" si="48"/>
        <v>0</v>
      </c>
      <c r="Z40" s="484">
        <f t="shared" si="48"/>
        <v>7724</v>
      </c>
      <c r="AA40" s="484">
        <f t="shared" si="48"/>
        <v>2265232</v>
      </c>
      <c r="AB40" s="484">
        <f t="shared" si="48"/>
        <v>148909</v>
      </c>
      <c r="AC40" s="484">
        <f t="shared" si="48"/>
        <v>295245</v>
      </c>
      <c r="AD40" s="484">
        <f t="shared" si="48"/>
        <v>0</v>
      </c>
      <c r="AE40" s="484">
        <f t="shared" si="48"/>
        <v>0</v>
      </c>
      <c r="AF40" s="484">
        <f t="shared" si="48"/>
        <v>5800</v>
      </c>
      <c r="AG40" s="484">
        <f t="shared" si="48"/>
        <v>0</v>
      </c>
      <c r="AH40" s="484">
        <f t="shared" si="48"/>
        <v>0</v>
      </c>
      <c r="AI40" s="484">
        <f t="shared" si="48"/>
        <v>0</v>
      </c>
      <c r="AJ40" s="484">
        <f t="shared" si="48"/>
        <v>1037921</v>
      </c>
      <c r="AK40" s="484">
        <f t="shared" si="48"/>
        <v>0</v>
      </c>
      <c r="AL40" s="484">
        <f t="shared" si="48"/>
        <v>0</v>
      </c>
      <c r="AM40" s="484">
        <f t="shared" si="48"/>
        <v>0</v>
      </c>
      <c r="AN40" s="484">
        <f t="shared" si="48"/>
        <v>0</v>
      </c>
      <c r="AO40" s="484">
        <f t="shared" si="48"/>
        <v>0</v>
      </c>
      <c r="AP40" s="484">
        <f t="shared" si="48"/>
        <v>0</v>
      </c>
      <c r="AQ40" s="484">
        <f t="shared" si="48"/>
        <v>0</v>
      </c>
      <c r="AR40" s="484">
        <f t="shared" si="48"/>
        <v>82713</v>
      </c>
      <c r="AS40" s="484">
        <f t="shared" si="48"/>
        <v>0</v>
      </c>
      <c r="AT40" s="484">
        <f t="shared" si="48"/>
        <v>0</v>
      </c>
      <c r="AU40" s="484">
        <f t="shared" si="48"/>
        <v>2009050</v>
      </c>
      <c r="AV40" s="484">
        <f t="shared" si="48"/>
        <v>0</v>
      </c>
      <c r="AW40" s="484">
        <f t="shared" si="48"/>
        <v>0</v>
      </c>
      <c r="AX40" s="481">
        <f t="shared" si="48"/>
        <v>0</v>
      </c>
      <c r="AY40" s="488">
        <f t="shared" si="2"/>
        <v>9197965</v>
      </c>
    </row>
    <row r="41" spans="1:51" s="731" customFormat="1" x14ac:dyDescent="0.25">
      <c r="A41" s="717" t="s">
        <v>139</v>
      </c>
      <c r="B41" s="718" t="s">
        <v>562</v>
      </c>
      <c r="C41" s="719">
        <f t="shared" ref="C41" si="49">SUM(C40,C33)</f>
        <v>9629240</v>
      </c>
      <c r="D41" s="720">
        <f t="shared" ref="D41" si="50">SUM(D40,D33)</f>
        <v>11933240</v>
      </c>
      <c r="E41" s="721">
        <f t="shared" ref="E41" si="51">SUM(E40,E33)</f>
        <v>4415689</v>
      </c>
      <c r="F41" s="722">
        <f t="shared" ref="F41" si="52">SUM(F40,F33)</f>
        <v>11704479</v>
      </c>
      <c r="G41" s="721">
        <f t="shared" ref="G41" si="53">SUM(G40,G33)</f>
        <v>6524748</v>
      </c>
      <c r="H41" s="722">
        <f t="shared" ref="H41" si="54">SUM(H40,H33)</f>
        <v>11121514</v>
      </c>
      <c r="I41" s="723">
        <f t="shared" ref="I41" si="55">SUM(I40,I33)</f>
        <v>10758270</v>
      </c>
      <c r="J41" s="724">
        <f t="shared" si="0"/>
        <v>0.96733861954406564</v>
      </c>
      <c r="K41" s="737"/>
      <c r="L41" s="725">
        <f t="shared" ref="L41:AX41" si="56">SUM(L40,L33)</f>
        <v>2313809</v>
      </c>
      <c r="M41" s="726">
        <f t="shared" si="56"/>
        <v>220287</v>
      </c>
      <c r="N41" s="726">
        <f t="shared" si="56"/>
        <v>144371</v>
      </c>
      <c r="O41" s="726">
        <f t="shared" si="56"/>
        <v>0</v>
      </c>
      <c r="P41" s="726">
        <f t="shared" si="56"/>
        <v>846856</v>
      </c>
      <c r="Q41" s="727">
        <f t="shared" si="56"/>
        <v>0</v>
      </c>
      <c r="R41" s="726">
        <f t="shared" si="56"/>
        <v>0</v>
      </c>
      <c r="S41" s="726">
        <f t="shared" si="56"/>
        <v>4252</v>
      </c>
      <c r="T41" s="728">
        <f t="shared" si="56"/>
        <v>0</v>
      </c>
      <c r="U41" s="726">
        <f t="shared" si="56"/>
        <v>0</v>
      </c>
      <c r="V41" s="726">
        <f t="shared" si="56"/>
        <v>11610</v>
      </c>
      <c r="W41" s="726">
        <f t="shared" si="56"/>
        <v>0</v>
      </c>
      <c r="X41" s="726">
        <f t="shared" si="56"/>
        <v>0</v>
      </c>
      <c r="Y41" s="729">
        <f t="shared" si="56"/>
        <v>0</v>
      </c>
      <c r="Z41" s="726">
        <f t="shared" si="56"/>
        <v>7724</v>
      </c>
      <c r="AA41" s="726">
        <f t="shared" si="56"/>
        <v>2274405</v>
      </c>
      <c r="AB41" s="726">
        <f t="shared" si="56"/>
        <v>148909</v>
      </c>
      <c r="AC41" s="726">
        <f t="shared" si="56"/>
        <v>1074963</v>
      </c>
      <c r="AD41" s="726">
        <f t="shared" si="56"/>
        <v>0</v>
      </c>
      <c r="AE41" s="726">
        <f t="shared" si="56"/>
        <v>3378</v>
      </c>
      <c r="AF41" s="726">
        <f t="shared" si="56"/>
        <v>544291</v>
      </c>
      <c r="AG41" s="726">
        <f t="shared" si="56"/>
        <v>0</v>
      </c>
      <c r="AH41" s="726">
        <f t="shared" si="56"/>
        <v>0</v>
      </c>
      <c r="AI41" s="726">
        <f t="shared" si="56"/>
        <v>16616</v>
      </c>
      <c r="AJ41" s="726">
        <f t="shared" si="56"/>
        <v>1055036</v>
      </c>
      <c r="AK41" s="726">
        <f t="shared" si="56"/>
        <v>0</v>
      </c>
      <c r="AL41" s="726">
        <f t="shared" si="56"/>
        <v>0</v>
      </c>
      <c r="AM41" s="726">
        <f t="shared" si="56"/>
        <v>0</v>
      </c>
      <c r="AN41" s="726">
        <f t="shared" si="56"/>
        <v>0</v>
      </c>
      <c r="AO41" s="726">
        <f t="shared" si="56"/>
        <v>0</v>
      </c>
      <c r="AP41" s="726">
        <f t="shared" si="56"/>
        <v>0</v>
      </c>
      <c r="AQ41" s="726">
        <f t="shared" si="56"/>
        <v>0</v>
      </c>
      <c r="AR41" s="726">
        <f t="shared" si="56"/>
        <v>82713</v>
      </c>
      <c r="AS41" s="726">
        <f t="shared" si="56"/>
        <v>0</v>
      </c>
      <c r="AT41" s="726">
        <f t="shared" si="56"/>
        <v>0</v>
      </c>
      <c r="AU41" s="726">
        <f t="shared" si="56"/>
        <v>2009050</v>
      </c>
      <c r="AV41" s="726">
        <f t="shared" si="56"/>
        <v>0</v>
      </c>
      <c r="AW41" s="726">
        <f t="shared" si="56"/>
        <v>0</v>
      </c>
      <c r="AX41" s="723">
        <f t="shared" si="56"/>
        <v>0</v>
      </c>
      <c r="AY41" s="730">
        <f t="shared" si="2"/>
        <v>10758270</v>
      </c>
    </row>
    <row r="42" spans="1:51" x14ac:dyDescent="0.25">
      <c r="A42" s="453" t="s">
        <v>156</v>
      </c>
      <c r="B42" s="454" t="s">
        <v>157</v>
      </c>
      <c r="C42" s="455">
        <v>240000</v>
      </c>
      <c r="D42" s="456">
        <v>240000</v>
      </c>
      <c r="E42" s="917">
        <v>100000</v>
      </c>
      <c r="F42" s="918">
        <v>240000</v>
      </c>
      <c r="G42" s="917">
        <v>180000</v>
      </c>
      <c r="H42" s="918">
        <v>331400</v>
      </c>
      <c r="I42" s="457">
        <f t="shared" ref="I42:I43" si="57">AY42</f>
        <v>331400</v>
      </c>
      <c r="J42" s="458">
        <f t="shared" si="0"/>
        <v>1</v>
      </c>
      <c r="K42" s="1123"/>
      <c r="L42" s="459">
        <v>94600</v>
      </c>
      <c r="M42" s="460"/>
      <c r="N42" s="460"/>
      <c r="O42" s="460"/>
      <c r="P42" s="460"/>
      <c r="Q42" s="461"/>
      <c r="R42" s="460"/>
      <c r="S42" s="460"/>
      <c r="T42" s="462"/>
      <c r="U42" s="460"/>
      <c r="V42" s="460"/>
      <c r="W42" s="460"/>
      <c r="X42" s="460"/>
      <c r="Y42" s="463"/>
      <c r="Z42" s="460"/>
      <c r="AA42" s="460"/>
      <c r="AB42" s="460"/>
      <c r="AC42" s="460"/>
      <c r="AD42" s="460"/>
      <c r="AE42" s="460"/>
      <c r="AF42" s="460">
        <v>16800</v>
      </c>
      <c r="AG42" s="460"/>
      <c r="AH42" s="460"/>
      <c r="AI42" s="460"/>
      <c r="AJ42" s="460">
        <v>220000</v>
      </c>
      <c r="AK42" s="460"/>
      <c r="AL42" s="460"/>
      <c r="AM42" s="460"/>
      <c r="AN42" s="460"/>
      <c r="AO42" s="460"/>
      <c r="AP42" s="460"/>
      <c r="AQ42" s="460"/>
      <c r="AR42" s="460"/>
      <c r="AS42" s="460"/>
      <c r="AT42" s="460"/>
      <c r="AU42" s="460"/>
      <c r="AV42" s="460"/>
      <c r="AW42" s="460"/>
      <c r="AX42" s="464"/>
      <c r="AY42" s="465">
        <f t="shared" si="2"/>
        <v>331400</v>
      </c>
    </row>
    <row r="43" spans="1:51" x14ac:dyDescent="0.25">
      <c r="A43" s="453" t="s">
        <v>158</v>
      </c>
      <c r="B43" s="454" t="s">
        <v>417</v>
      </c>
      <c r="C43" s="455">
        <v>834000</v>
      </c>
      <c r="D43" s="456">
        <v>834000</v>
      </c>
      <c r="E43" s="917">
        <v>312219</v>
      </c>
      <c r="F43" s="918">
        <v>834000</v>
      </c>
      <c r="G43" s="917">
        <v>470573</v>
      </c>
      <c r="H43" s="918">
        <v>834000</v>
      </c>
      <c r="I43" s="457">
        <f t="shared" si="57"/>
        <v>607187</v>
      </c>
      <c r="J43" s="458">
        <f t="shared" si="0"/>
        <v>0.72804196642685848</v>
      </c>
      <c r="K43" s="1123"/>
      <c r="L43" s="459">
        <v>249500</v>
      </c>
      <c r="M43" s="460">
        <v>19214</v>
      </c>
      <c r="N43" s="460"/>
      <c r="O43" s="460"/>
      <c r="P43" s="460"/>
      <c r="Q43" s="461"/>
      <c r="R43" s="460"/>
      <c r="S43" s="460"/>
      <c r="T43" s="462"/>
      <c r="U43" s="460"/>
      <c r="V43" s="460"/>
      <c r="W43" s="460"/>
      <c r="X43" s="460"/>
      <c r="Y43" s="463"/>
      <c r="Z43" s="460"/>
      <c r="AA43" s="460">
        <v>51494</v>
      </c>
      <c r="AB43" s="460"/>
      <c r="AC43" s="460">
        <v>59342</v>
      </c>
      <c r="AD43" s="460"/>
      <c r="AE43" s="460"/>
      <c r="AF43" s="460">
        <v>48</v>
      </c>
      <c r="AG43" s="460"/>
      <c r="AH43" s="460"/>
      <c r="AI43" s="460"/>
      <c r="AJ43" s="460">
        <v>71569</v>
      </c>
      <c r="AK43" s="460"/>
      <c r="AL43" s="460"/>
      <c r="AM43" s="460"/>
      <c r="AN43" s="460"/>
      <c r="AO43" s="460"/>
      <c r="AP43" s="460"/>
      <c r="AQ43" s="460">
        <v>53741</v>
      </c>
      <c r="AR43" s="460">
        <v>102279</v>
      </c>
      <c r="AS43" s="460"/>
      <c r="AT43" s="460"/>
      <c r="AU43" s="460"/>
      <c r="AV43" s="460"/>
      <c r="AW43" s="460"/>
      <c r="AX43" s="464"/>
      <c r="AY43" s="465">
        <f t="shared" si="2"/>
        <v>607187</v>
      </c>
    </row>
    <row r="44" spans="1:51" s="731" customFormat="1" x14ac:dyDescent="0.25">
      <c r="A44" s="717" t="s">
        <v>159</v>
      </c>
      <c r="B44" s="718" t="s">
        <v>563</v>
      </c>
      <c r="C44" s="719">
        <f t="shared" ref="C44" si="58">SUM(C42:C43)</f>
        <v>1074000</v>
      </c>
      <c r="D44" s="720">
        <f t="shared" ref="D44" si="59">SUM(D42:D43)</f>
        <v>1074000</v>
      </c>
      <c r="E44" s="721">
        <f t="shared" ref="E44" si="60">SUM(E42:E43)</f>
        <v>412219</v>
      </c>
      <c r="F44" s="722">
        <f t="shared" ref="F44" si="61">SUM(F42:F43)</f>
        <v>1074000</v>
      </c>
      <c r="G44" s="721">
        <f t="shared" ref="G44" si="62">SUM(G42:G43)</f>
        <v>650573</v>
      </c>
      <c r="H44" s="722">
        <f t="shared" ref="H44" si="63">SUM(H42:H43)</f>
        <v>1165400</v>
      </c>
      <c r="I44" s="723">
        <f t="shared" ref="I44" si="64">SUM(I42:I43)</f>
        <v>938587</v>
      </c>
      <c r="J44" s="724">
        <f t="shared" si="0"/>
        <v>0.80537755277158052</v>
      </c>
      <c r="K44" s="737"/>
      <c r="L44" s="725">
        <f t="shared" ref="L44:AX44" si="65">SUM(L42:L43)</f>
        <v>344100</v>
      </c>
      <c r="M44" s="726">
        <f t="shared" si="65"/>
        <v>19214</v>
      </c>
      <c r="N44" s="726">
        <f t="shared" si="65"/>
        <v>0</v>
      </c>
      <c r="O44" s="726">
        <f t="shared" si="65"/>
        <v>0</v>
      </c>
      <c r="P44" s="726">
        <f t="shared" si="65"/>
        <v>0</v>
      </c>
      <c r="Q44" s="727">
        <f t="shared" si="65"/>
        <v>0</v>
      </c>
      <c r="R44" s="726">
        <f t="shared" si="65"/>
        <v>0</v>
      </c>
      <c r="S44" s="726">
        <f t="shared" si="65"/>
        <v>0</v>
      </c>
      <c r="T44" s="728">
        <f t="shared" si="65"/>
        <v>0</v>
      </c>
      <c r="U44" s="726">
        <f t="shared" si="65"/>
        <v>0</v>
      </c>
      <c r="V44" s="726">
        <f t="shared" si="65"/>
        <v>0</v>
      </c>
      <c r="W44" s="726">
        <f t="shared" si="65"/>
        <v>0</v>
      </c>
      <c r="X44" s="726">
        <f t="shared" si="65"/>
        <v>0</v>
      </c>
      <c r="Y44" s="729">
        <f t="shared" si="65"/>
        <v>0</v>
      </c>
      <c r="Z44" s="726">
        <f t="shared" si="65"/>
        <v>0</v>
      </c>
      <c r="AA44" s="726">
        <f t="shared" si="65"/>
        <v>51494</v>
      </c>
      <c r="AB44" s="726">
        <f t="shared" si="65"/>
        <v>0</v>
      </c>
      <c r="AC44" s="726">
        <f t="shared" si="65"/>
        <v>59342</v>
      </c>
      <c r="AD44" s="726">
        <f t="shared" si="65"/>
        <v>0</v>
      </c>
      <c r="AE44" s="726">
        <f t="shared" si="65"/>
        <v>0</v>
      </c>
      <c r="AF44" s="726">
        <f t="shared" si="65"/>
        <v>16848</v>
      </c>
      <c r="AG44" s="726">
        <f t="shared" si="65"/>
        <v>0</v>
      </c>
      <c r="AH44" s="726">
        <f t="shared" si="65"/>
        <v>0</v>
      </c>
      <c r="AI44" s="726">
        <f t="shared" si="65"/>
        <v>0</v>
      </c>
      <c r="AJ44" s="726">
        <f t="shared" si="65"/>
        <v>291569</v>
      </c>
      <c r="AK44" s="726">
        <f t="shared" si="65"/>
        <v>0</v>
      </c>
      <c r="AL44" s="726">
        <f t="shared" si="65"/>
        <v>0</v>
      </c>
      <c r="AM44" s="726">
        <f t="shared" si="65"/>
        <v>0</v>
      </c>
      <c r="AN44" s="726">
        <f t="shared" si="65"/>
        <v>0</v>
      </c>
      <c r="AO44" s="726">
        <f t="shared" si="65"/>
        <v>0</v>
      </c>
      <c r="AP44" s="726">
        <f t="shared" si="65"/>
        <v>0</v>
      </c>
      <c r="AQ44" s="726">
        <f t="shared" si="65"/>
        <v>53741</v>
      </c>
      <c r="AR44" s="726">
        <f t="shared" si="65"/>
        <v>102279</v>
      </c>
      <c r="AS44" s="726">
        <f t="shared" si="65"/>
        <v>0</v>
      </c>
      <c r="AT44" s="726">
        <f t="shared" si="65"/>
        <v>0</v>
      </c>
      <c r="AU44" s="726">
        <f t="shared" si="65"/>
        <v>0</v>
      </c>
      <c r="AV44" s="726">
        <f t="shared" si="65"/>
        <v>0</v>
      </c>
      <c r="AW44" s="726">
        <f t="shared" si="65"/>
        <v>0</v>
      </c>
      <c r="AX44" s="723">
        <f t="shared" si="65"/>
        <v>0</v>
      </c>
      <c r="AY44" s="730">
        <f t="shared" si="2"/>
        <v>938587</v>
      </c>
    </row>
    <row r="45" spans="1:51" x14ac:dyDescent="0.25">
      <c r="A45" s="453" t="s">
        <v>160</v>
      </c>
      <c r="B45" s="454" t="s">
        <v>349</v>
      </c>
      <c r="C45" s="455">
        <v>6350000</v>
      </c>
      <c r="D45" s="456">
        <v>6350000</v>
      </c>
      <c r="E45" s="917">
        <v>3132409</v>
      </c>
      <c r="F45" s="918">
        <v>4428000</v>
      </c>
      <c r="G45" s="917">
        <v>3398571</v>
      </c>
      <c r="H45" s="918">
        <v>4750775</v>
      </c>
      <c r="I45" s="457">
        <f t="shared" ref="I45:I51" si="66">AY45</f>
        <v>4318714</v>
      </c>
      <c r="J45" s="458">
        <f t="shared" si="0"/>
        <v>0.90905462792912739</v>
      </c>
      <c r="K45" s="1123"/>
      <c r="L45" s="459">
        <v>142053</v>
      </c>
      <c r="M45" s="460">
        <v>33660</v>
      </c>
      <c r="N45" s="460">
        <v>273852</v>
      </c>
      <c r="O45" s="460"/>
      <c r="P45" s="460">
        <v>7013</v>
      </c>
      <c r="Q45" s="461"/>
      <c r="R45" s="460"/>
      <c r="S45" s="460"/>
      <c r="T45" s="462"/>
      <c r="U45" s="460"/>
      <c r="V45" s="460"/>
      <c r="W45" s="460"/>
      <c r="X45" s="460"/>
      <c r="Y45" s="463"/>
      <c r="Z45" s="460">
        <v>1613448</v>
      </c>
      <c r="AA45" s="460">
        <v>67311</v>
      </c>
      <c r="AB45" s="460"/>
      <c r="AC45" s="460">
        <v>710058</v>
      </c>
      <c r="AD45" s="460"/>
      <c r="AE45" s="460"/>
      <c r="AF45" s="460"/>
      <c r="AG45" s="460"/>
      <c r="AH45" s="460"/>
      <c r="AI45" s="460"/>
      <c r="AJ45" s="460">
        <v>913462</v>
      </c>
      <c r="AK45" s="460"/>
      <c r="AL45" s="460"/>
      <c r="AM45" s="460"/>
      <c r="AN45" s="460"/>
      <c r="AO45" s="460"/>
      <c r="AP45" s="460"/>
      <c r="AQ45" s="460">
        <v>557857</v>
      </c>
      <c r="AR45" s="460"/>
      <c r="AS45" s="460"/>
      <c r="AT45" s="460"/>
      <c r="AU45" s="460"/>
      <c r="AV45" s="460"/>
      <c r="AW45" s="460"/>
      <c r="AX45" s="464"/>
      <c r="AY45" s="465">
        <f t="shared" si="2"/>
        <v>4318714</v>
      </c>
    </row>
    <row r="46" spans="1:51" x14ac:dyDescent="0.25">
      <c r="A46" s="453" t="s">
        <v>565</v>
      </c>
      <c r="B46" s="454" t="s">
        <v>169</v>
      </c>
      <c r="C46" s="455">
        <v>6808000</v>
      </c>
      <c r="D46" s="456">
        <v>6808000</v>
      </c>
      <c r="E46" s="917">
        <v>5018340</v>
      </c>
      <c r="F46" s="918">
        <v>6808000</v>
      </c>
      <c r="G46" s="917">
        <v>5361820</v>
      </c>
      <c r="H46" s="918">
        <v>9044800</v>
      </c>
      <c r="I46" s="457">
        <f t="shared" si="66"/>
        <v>9044800</v>
      </c>
      <c r="J46" s="458">
        <f t="shared" si="0"/>
        <v>1</v>
      </c>
      <c r="K46" s="1123"/>
      <c r="L46" s="459"/>
      <c r="M46" s="460"/>
      <c r="N46" s="460"/>
      <c r="O46" s="460"/>
      <c r="P46" s="460"/>
      <c r="Q46" s="461"/>
      <c r="R46" s="460"/>
      <c r="S46" s="460"/>
      <c r="T46" s="462"/>
      <c r="U46" s="460"/>
      <c r="V46" s="460"/>
      <c r="W46" s="460"/>
      <c r="X46" s="460"/>
      <c r="Y46" s="463"/>
      <c r="Z46" s="460"/>
      <c r="AA46" s="460"/>
      <c r="AB46" s="460"/>
      <c r="AC46" s="460"/>
      <c r="AD46" s="460"/>
      <c r="AE46" s="460"/>
      <c r="AF46" s="460"/>
      <c r="AG46" s="460"/>
      <c r="AH46" s="460"/>
      <c r="AI46" s="460"/>
      <c r="AJ46" s="460"/>
      <c r="AK46" s="460"/>
      <c r="AL46" s="460"/>
      <c r="AM46" s="460"/>
      <c r="AN46" s="460"/>
      <c r="AO46" s="460"/>
      <c r="AP46" s="460"/>
      <c r="AQ46" s="460"/>
      <c r="AR46" s="460"/>
      <c r="AS46" s="460"/>
      <c r="AT46" s="460">
        <v>9044800</v>
      </c>
      <c r="AU46" s="460"/>
      <c r="AV46" s="460"/>
      <c r="AW46" s="460"/>
      <c r="AX46" s="464"/>
      <c r="AY46" s="465">
        <f t="shared" si="2"/>
        <v>9044800</v>
      </c>
    </row>
    <row r="47" spans="1:51" x14ac:dyDescent="0.25">
      <c r="A47" s="453" t="s">
        <v>161</v>
      </c>
      <c r="B47" s="454" t="s">
        <v>418</v>
      </c>
      <c r="C47" s="455">
        <v>160200</v>
      </c>
      <c r="D47" s="456">
        <v>160200</v>
      </c>
      <c r="E47" s="917">
        <v>89100</v>
      </c>
      <c r="F47" s="918">
        <v>428805</v>
      </c>
      <c r="G47" s="917">
        <v>245030</v>
      </c>
      <c r="H47" s="918">
        <v>428805</v>
      </c>
      <c r="I47" s="457">
        <f t="shared" si="66"/>
        <v>373115</v>
      </c>
      <c r="J47" s="458">
        <f t="shared" si="0"/>
        <v>0.87012744720793833</v>
      </c>
      <c r="K47" s="1123"/>
      <c r="L47" s="459"/>
      <c r="M47" s="460">
        <v>130200</v>
      </c>
      <c r="N47" s="460"/>
      <c r="O47" s="460"/>
      <c r="P47" s="460"/>
      <c r="Q47" s="461"/>
      <c r="R47" s="460"/>
      <c r="S47" s="460"/>
      <c r="T47" s="462"/>
      <c r="U47" s="460"/>
      <c r="V47" s="460"/>
      <c r="W47" s="460"/>
      <c r="X47" s="460"/>
      <c r="Y47" s="463"/>
      <c r="Z47" s="460"/>
      <c r="AA47" s="460"/>
      <c r="AB47" s="460"/>
      <c r="AC47" s="460"/>
      <c r="AD47" s="460"/>
      <c r="AE47" s="460"/>
      <c r="AF47" s="460"/>
      <c r="AG47" s="460"/>
      <c r="AH47" s="460"/>
      <c r="AI47" s="460"/>
      <c r="AJ47" s="460">
        <v>242915</v>
      </c>
      <c r="AK47" s="460"/>
      <c r="AL47" s="460"/>
      <c r="AM47" s="460"/>
      <c r="AN47" s="460"/>
      <c r="AO47" s="460"/>
      <c r="AP47" s="460"/>
      <c r="AQ47" s="460"/>
      <c r="AR47" s="460"/>
      <c r="AS47" s="460"/>
      <c r="AT47" s="460"/>
      <c r="AU47" s="460"/>
      <c r="AV47" s="460"/>
      <c r="AW47" s="460"/>
      <c r="AX47" s="464"/>
      <c r="AY47" s="465">
        <f t="shared" si="2"/>
        <v>373115</v>
      </c>
    </row>
    <row r="48" spans="1:51" x14ac:dyDescent="0.25">
      <c r="A48" s="453" t="s">
        <v>163</v>
      </c>
      <c r="B48" s="454" t="s">
        <v>164</v>
      </c>
      <c r="C48" s="455">
        <v>6134000</v>
      </c>
      <c r="D48" s="456">
        <v>6164000</v>
      </c>
      <c r="E48" s="917">
        <v>1184571</v>
      </c>
      <c r="F48" s="918">
        <v>6146000</v>
      </c>
      <c r="G48" s="917">
        <v>1550317</v>
      </c>
      <c r="H48" s="918">
        <v>4384649</v>
      </c>
      <c r="I48" s="457">
        <f t="shared" si="66"/>
        <v>4262241</v>
      </c>
      <c r="J48" s="458">
        <f t="shared" si="0"/>
        <v>0.97208259999831226</v>
      </c>
      <c r="K48" s="1123"/>
      <c r="L48" s="459">
        <v>102512</v>
      </c>
      <c r="M48" s="460"/>
      <c r="N48" s="460">
        <v>108500</v>
      </c>
      <c r="O48" s="460"/>
      <c r="P48" s="460"/>
      <c r="Q48" s="461"/>
      <c r="R48" s="460"/>
      <c r="S48" s="460"/>
      <c r="T48" s="462"/>
      <c r="U48" s="460"/>
      <c r="V48" s="460">
        <v>2536567</v>
      </c>
      <c r="W48" s="460"/>
      <c r="X48" s="460"/>
      <c r="Y48" s="463"/>
      <c r="Z48" s="460">
        <v>1004225</v>
      </c>
      <c r="AA48" s="460">
        <v>186302</v>
      </c>
      <c r="AB48" s="460">
        <v>180000</v>
      </c>
      <c r="AC48" s="460">
        <v>4510</v>
      </c>
      <c r="AD48" s="460"/>
      <c r="AE48" s="460"/>
      <c r="AF48" s="460"/>
      <c r="AG48" s="460"/>
      <c r="AH48" s="460"/>
      <c r="AI48" s="460"/>
      <c r="AJ48" s="460">
        <v>89625</v>
      </c>
      <c r="AK48" s="460"/>
      <c r="AL48" s="460"/>
      <c r="AM48" s="460"/>
      <c r="AN48" s="460"/>
      <c r="AO48" s="460"/>
      <c r="AP48" s="460"/>
      <c r="AQ48" s="460">
        <v>50000</v>
      </c>
      <c r="AR48" s="460"/>
      <c r="AS48" s="460"/>
      <c r="AT48" s="460"/>
      <c r="AU48" s="460"/>
      <c r="AV48" s="460"/>
      <c r="AW48" s="460"/>
      <c r="AX48" s="464"/>
      <c r="AY48" s="465">
        <f t="shared" si="2"/>
        <v>4262241</v>
      </c>
    </row>
    <row r="49" spans="1:51" x14ac:dyDescent="0.25">
      <c r="A49" s="453" t="s">
        <v>165</v>
      </c>
      <c r="B49" s="454" t="s">
        <v>166</v>
      </c>
      <c r="C49" s="455">
        <v>0</v>
      </c>
      <c r="D49" s="456">
        <v>0</v>
      </c>
      <c r="E49" s="917">
        <v>0</v>
      </c>
      <c r="F49" s="918">
        <v>2952000</v>
      </c>
      <c r="G49" s="917">
        <v>1999762</v>
      </c>
      <c r="H49" s="918">
        <v>2955894</v>
      </c>
      <c r="I49" s="457">
        <f t="shared" si="66"/>
        <v>2119285</v>
      </c>
      <c r="J49" s="458">
        <f t="shared" si="0"/>
        <v>0.71696921472826836</v>
      </c>
      <c r="K49" s="1123"/>
      <c r="L49" s="459">
        <v>30000</v>
      </c>
      <c r="M49" s="460"/>
      <c r="N49" s="460"/>
      <c r="O49" s="460"/>
      <c r="P49" s="460"/>
      <c r="Q49" s="461"/>
      <c r="R49" s="460"/>
      <c r="S49" s="460"/>
      <c r="T49" s="462"/>
      <c r="U49" s="460"/>
      <c r="V49" s="460"/>
      <c r="W49" s="460"/>
      <c r="X49" s="460"/>
      <c r="Y49" s="463"/>
      <c r="Z49" s="460"/>
      <c r="AA49" s="460"/>
      <c r="AB49" s="460"/>
      <c r="AC49" s="460"/>
      <c r="AD49" s="460"/>
      <c r="AE49" s="460"/>
      <c r="AF49" s="460"/>
      <c r="AG49" s="460"/>
      <c r="AH49" s="460"/>
      <c r="AI49" s="460"/>
      <c r="AJ49" s="460"/>
      <c r="AK49" s="460"/>
      <c r="AL49" s="460"/>
      <c r="AM49" s="460"/>
      <c r="AN49" s="460"/>
      <c r="AO49" s="460"/>
      <c r="AP49" s="460"/>
      <c r="AQ49" s="460">
        <v>790100</v>
      </c>
      <c r="AR49" s="460">
        <v>1299185</v>
      </c>
      <c r="AS49" s="460"/>
      <c r="AT49" s="460"/>
      <c r="AU49" s="460"/>
      <c r="AV49" s="460"/>
      <c r="AW49" s="460"/>
      <c r="AX49" s="464"/>
      <c r="AY49" s="465">
        <f t="shared" si="2"/>
        <v>2119285</v>
      </c>
    </row>
    <row r="50" spans="1:51" x14ac:dyDescent="0.25">
      <c r="A50" s="453" t="s">
        <v>167</v>
      </c>
      <c r="B50" s="454" t="s">
        <v>420</v>
      </c>
      <c r="C50" s="455">
        <v>615000</v>
      </c>
      <c r="D50" s="456">
        <v>1115000</v>
      </c>
      <c r="E50" s="917">
        <v>511381</v>
      </c>
      <c r="F50" s="918">
        <v>1115000</v>
      </c>
      <c r="G50" s="917">
        <v>656481</v>
      </c>
      <c r="H50" s="918">
        <v>1301660</v>
      </c>
      <c r="I50" s="457">
        <f t="shared" si="66"/>
        <v>978981</v>
      </c>
      <c r="J50" s="458">
        <f t="shared" si="0"/>
        <v>0.7521019313799302</v>
      </c>
      <c r="K50" s="1123"/>
      <c r="L50" s="459">
        <v>288981</v>
      </c>
      <c r="M50" s="460"/>
      <c r="N50" s="460">
        <v>90000</v>
      </c>
      <c r="O50" s="460"/>
      <c r="P50" s="460"/>
      <c r="Q50" s="461"/>
      <c r="R50" s="460"/>
      <c r="S50" s="460"/>
      <c r="T50" s="462"/>
      <c r="U50" s="460"/>
      <c r="V50" s="460"/>
      <c r="W50" s="460"/>
      <c r="X50" s="460"/>
      <c r="Y50" s="463"/>
      <c r="Z50" s="460"/>
      <c r="AA50" s="460"/>
      <c r="AB50" s="460"/>
      <c r="AC50" s="460">
        <v>200000</v>
      </c>
      <c r="AD50" s="460"/>
      <c r="AE50" s="460"/>
      <c r="AF50" s="460">
        <v>400000</v>
      </c>
      <c r="AG50" s="460"/>
      <c r="AH50" s="460"/>
      <c r="AI50" s="460"/>
      <c r="AJ50" s="460"/>
      <c r="AK50" s="460"/>
      <c r="AL50" s="460"/>
      <c r="AM50" s="460"/>
      <c r="AN50" s="460"/>
      <c r="AO50" s="460"/>
      <c r="AP50" s="460"/>
      <c r="AQ50" s="460"/>
      <c r="AR50" s="460"/>
      <c r="AS50" s="460"/>
      <c r="AT50" s="460"/>
      <c r="AU50" s="460"/>
      <c r="AV50" s="460"/>
      <c r="AW50" s="460"/>
      <c r="AX50" s="464"/>
      <c r="AY50" s="465">
        <f t="shared" si="2"/>
        <v>978981</v>
      </c>
    </row>
    <row r="51" spans="1:51" s="474" customFormat="1" ht="31.5" x14ac:dyDescent="0.2">
      <c r="A51" s="468" t="s">
        <v>168</v>
      </c>
      <c r="B51" s="489" t="s">
        <v>564</v>
      </c>
      <c r="C51" s="469">
        <v>20308490</v>
      </c>
      <c r="D51" s="470">
        <v>20058490</v>
      </c>
      <c r="E51" s="924">
        <v>9156858</v>
      </c>
      <c r="F51" s="925">
        <v>23345803</v>
      </c>
      <c r="G51" s="924">
        <v>20624579</v>
      </c>
      <c r="H51" s="925">
        <v>25846270</v>
      </c>
      <c r="I51" s="471">
        <f t="shared" si="66"/>
        <v>25501883</v>
      </c>
      <c r="J51" s="472">
        <f t="shared" si="0"/>
        <v>0.98667556285684554</v>
      </c>
      <c r="K51" s="1126"/>
      <c r="L51" s="926">
        <v>5263397</v>
      </c>
      <c r="M51" s="927">
        <v>902675</v>
      </c>
      <c r="N51" s="927">
        <v>6583053</v>
      </c>
      <c r="O51" s="927"/>
      <c r="P51" s="927">
        <v>3429979</v>
      </c>
      <c r="Q51" s="927"/>
      <c r="R51" s="927"/>
      <c r="S51" s="927">
        <v>250000</v>
      </c>
      <c r="T51" s="928">
        <v>982</v>
      </c>
      <c r="U51" s="927"/>
      <c r="V51" s="927"/>
      <c r="W51" s="927">
        <v>104000</v>
      </c>
      <c r="X51" s="927">
        <v>1548382</v>
      </c>
      <c r="Y51" s="929"/>
      <c r="Z51" s="927">
        <v>2160000</v>
      </c>
      <c r="AA51" s="927">
        <v>832715</v>
      </c>
      <c r="AB51" s="927">
        <v>144000</v>
      </c>
      <c r="AC51" s="927">
        <v>305053</v>
      </c>
      <c r="AD51" s="927"/>
      <c r="AE51" s="927"/>
      <c r="AF51" s="927"/>
      <c r="AG51" s="927"/>
      <c r="AH51" s="927"/>
      <c r="AI51" s="927"/>
      <c r="AJ51" s="927">
        <v>2711082</v>
      </c>
      <c r="AK51" s="927">
        <v>549600</v>
      </c>
      <c r="AL51" s="927">
        <v>360000</v>
      </c>
      <c r="AM51" s="927"/>
      <c r="AN51" s="927"/>
      <c r="AO51" s="927"/>
      <c r="AP51" s="927"/>
      <c r="AQ51" s="927">
        <v>1971</v>
      </c>
      <c r="AR51" s="927">
        <v>24994</v>
      </c>
      <c r="AS51" s="927"/>
      <c r="AT51" s="927"/>
      <c r="AU51" s="927">
        <v>330000</v>
      </c>
      <c r="AV51" s="929"/>
      <c r="AW51" s="927"/>
      <c r="AX51" s="930"/>
      <c r="AY51" s="473">
        <f t="shared" si="2"/>
        <v>25501883</v>
      </c>
    </row>
    <row r="52" spans="1:51" s="731" customFormat="1" x14ac:dyDescent="0.25">
      <c r="A52" s="717" t="s">
        <v>569</v>
      </c>
      <c r="B52" s="718" t="s">
        <v>566</v>
      </c>
      <c r="C52" s="719">
        <f t="shared" ref="C52" si="67">SUM(C45:C51)</f>
        <v>40375690</v>
      </c>
      <c r="D52" s="720">
        <f t="shared" ref="D52" si="68">SUM(D45:D51)</f>
        <v>40655690</v>
      </c>
      <c r="E52" s="721">
        <f t="shared" ref="E52" si="69">SUM(E45:E51)</f>
        <v>19092659</v>
      </c>
      <c r="F52" s="722">
        <f t="shared" ref="F52" si="70">SUM(F45:F51)</f>
        <v>45223608</v>
      </c>
      <c r="G52" s="721">
        <f t="shared" ref="G52" si="71">SUM(G45:G51)</f>
        <v>33836560</v>
      </c>
      <c r="H52" s="722">
        <f t="shared" ref="H52" si="72">SUM(H45:H51)</f>
        <v>48712853</v>
      </c>
      <c r="I52" s="723">
        <f t="shared" ref="I52" si="73">SUM(I45:I51)</f>
        <v>46599019</v>
      </c>
      <c r="J52" s="724">
        <f t="shared" si="0"/>
        <v>0.95660623696173164</v>
      </c>
      <c r="K52" s="737"/>
      <c r="L52" s="725">
        <f t="shared" ref="L52:AX52" si="74">SUM(L45:L51)</f>
        <v>5826943</v>
      </c>
      <c r="M52" s="726">
        <f t="shared" si="74"/>
        <v>1066535</v>
      </c>
      <c r="N52" s="726">
        <f t="shared" si="74"/>
        <v>7055405</v>
      </c>
      <c r="O52" s="726">
        <f t="shared" si="74"/>
        <v>0</v>
      </c>
      <c r="P52" s="726">
        <f t="shared" si="74"/>
        <v>3436992</v>
      </c>
      <c r="Q52" s="727">
        <f t="shared" si="74"/>
        <v>0</v>
      </c>
      <c r="R52" s="726">
        <f t="shared" si="74"/>
        <v>0</v>
      </c>
      <c r="S52" s="726">
        <f t="shared" si="74"/>
        <v>250000</v>
      </c>
      <c r="T52" s="728">
        <f t="shared" si="74"/>
        <v>982</v>
      </c>
      <c r="U52" s="726">
        <f t="shared" si="74"/>
        <v>0</v>
      </c>
      <c r="V52" s="726">
        <f t="shared" si="74"/>
        <v>2536567</v>
      </c>
      <c r="W52" s="726">
        <f t="shared" si="74"/>
        <v>104000</v>
      </c>
      <c r="X52" s="726">
        <f t="shared" si="74"/>
        <v>1548382</v>
      </c>
      <c r="Y52" s="729">
        <f t="shared" si="74"/>
        <v>0</v>
      </c>
      <c r="Z52" s="726">
        <f t="shared" si="74"/>
        <v>4777673</v>
      </c>
      <c r="AA52" s="726">
        <f t="shared" si="74"/>
        <v>1086328</v>
      </c>
      <c r="AB52" s="726">
        <f t="shared" si="74"/>
        <v>324000</v>
      </c>
      <c r="AC52" s="726">
        <f t="shared" si="74"/>
        <v>1219621</v>
      </c>
      <c r="AD52" s="726">
        <f t="shared" si="74"/>
        <v>0</v>
      </c>
      <c r="AE52" s="726">
        <f t="shared" si="74"/>
        <v>0</v>
      </c>
      <c r="AF52" s="726">
        <f t="shared" si="74"/>
        <v>400000</v>
      </c>
      <c r="AG52" s="726">
        <f t="shared" si="74"/>
        <v>0</v>
      </c>
      <c r="AH52" s="726">
        <f t="shared" si="74"/>
        <v>0</v>
      </c>
      <c r="AI52" s="726">
        <f t="shared" si="74"/>
        <v>0</v>
      </c>
      <c r="AJ52" s="726">
        <f t="shared" si="74"/>
        <v>3957084</v>
      </c>
      <c r="AK52" s="726">
        <f t="shared" si="74"/>
        <v>549600</v>
      </c>
      <c r="AL52" s="726">
        <f t="shared" si="74"/>
        <v>360000</v>
      </c>
      <c r="AM52" s="726">
        <f t="shared" si="74"/>
        <v>0</v>
      </c>
      <c r="AN52" s="726">
        <f t="shared" si="74"/>
        <v>0</v>
      </c>
      <c r="AO52" s="726">
        <f t="shared" si="74"/>
        <v>0</v>
      </c>
      <c r="AP52" s="726">
        <f t="shared" si="74"/>
        <v>0</v>
      </c>
      <c r="AQ52" s="726">
        <f t="shared" si="74"/>
        <v>1399928</v>
      </c>
      <c r="AR52" s="726">
        <f t="shared" si="74"/>
        <v>1324179</v>
      </c>
      <c r="AS52" s="726">
        <f t="shared" si="74"/>
        <v>0</v>
      </c>
      <c r="AT52" s="726">
        <f t="shared" si="74"/>
        <v>9044800</v>
      </c>
      <c r="AU52" s="726">
        <f t="shared" si="74"/>
        <v>330000</v>
      </c>
      <c r="AV52" s="729">
        <f t="shared" si="74"/>
        <v>0</v>
      </c>
      <c r="AW52" s="726">
        <f t="shared" si="74"/>
        <v>0</v>
      </c>
      <c r="AX52" s="723">
        <f t="shared" si="74"/>
        <v>0</v>
      </c>
      <c r="AY52" s="730">
        <f t="shared" si="2"/>
        <v>46599019</v>
      </c>
    </row>
    <row r="53" spans="1:51" x14ac:dyDescent="0.25">
      <c r="A53" s="453" t="s">
        <v>170</v>
      </c>
      <c r="B53" s="454" t="s">
        <v>172</v>
      </c>
      <c r="C53" s="455">
        <v>250000</v>
      </c>
      <c r="D53" s="456">
        <f>C53</f>
        <v>250000</v>
      </c>
      <c r="E53" s="917">
        <v>88795</v>
      </c>
      <c r="F53" s="918">
        <v>250000</v>
      </c>
      <c r="G53" s="917">
        <v>88795</v>
      </c>
      <c r="H53" s="918">
        <v>250000</v>
      </c>
      <c r="I53" s="457">
        <f t="shared" ref="I53:I54" si="75">AY53</f>
        <v>88795</v>
      </c>
      <c r="J53" s="458">
        <f t="shared" si="0"/>
        <v>0.35518</v>
      </c>
      <c r="K53" s="1123"/>
      <c r="L53" s="459"/>
      <c r="M53" s="460"/>
      <c r="N53" s="460"/>
      <c r="O53" s="460"/>
      <c r="P53" s="460"/>
      <c r="Q53" s="461"/>
      <c r="R53" s="460"/>
      <c r="S53" s="460"/>
      <c r="T53" s="462"/>
      <c r="U53" s="460"/>
      <c r="V53" s="460"/>
      <c r="W53" s="460"/>
      <c r="X53" s="460"/>
      <c r="Y53" s="463"/>
      <c r="Z53" s="460"/>
      <c r="AA53" s="460"/>
      <c r="AB53" s="460"/>
      <c r="AC53" s="460"/>
      <c r="AD53" s="460"/>
      <c r="AE53" s="460"/>
      <c r="AF53" s="460"/>
      <c r="AG53" s="460"/>
      <c r="AH53" s="460"/>
      <c r="AI53" s="460"/>
      <c r="AJ53" s="460">
        <v>88795</v>
      </c>
      <c r="AK53" s="460"/>
      <c r="AL53" s="460"/>
      <c r="AM53" s="460"/>
      <c r="AN53" s="460"/>
      <c r="AO53" s="460"/>
      <c r="AP53" s="460"/>
      <c r="AQ53" s="460"/>
      <c r="AR53" s="460"/>
      <c r="AS53" s="460"/>
      <c r="AT53" s="460"/>
      <c r="AU53" s="460"/>
      <c r="AV53" s="463"/>
      <c r="AW53" s="460"/>
      <c r="AX53" s="464"/>
      <c r="AY53" s="465">
        <f t="shared" si="2"/>
        <v>88795</v>
      </c>
    </row>
    <row r="54" spans="1:51" x14ac:dyDescent="0.25">
      <c r="A54" s="453" t="s">
        <v>171</v>
      </c>
      <c r="B54" s="454" t="s">
        <v>173</v>
      </c>
      <c r="C54" s="455">
        <v>50000</v>
      </c>
      <c r="D54" s="456">
        <f>C54</f>
        <v>50000</v>
      </c>
      <c r="E54" s="917">
        <v>0</v>
      </c>
      <c r="F54" s="918">
        <v>50000</v>
      </c>
      <c r="G54" s="917">
        <v>9381</v>
      </c>
      <c r="H54" s="918">
        <v>50000</v>
      </c>
      <c r="I54" s="457">
        <f t="shared" si="75"/>
        <v>9381</v>
      </c>
      <c r="J54" s="458">
        <f t="shared" si="0"/>
        <v>0.18762000000000001</v>
      </c>
      <c r="K54" s="1123"/>
      <c r="L54" s="459">
        <v>9381</v>
      </c>
      <c r="M54" s="460"/>
      <c r="N54" s="460"/>
      <c r="O54" s="460"/>
      <c r="P54" s="460"/>
      <c r="Q54" s="461"/>
      <c r="R54" s="460"/>
      <c r="S54" s="460"/>
      <c r="T54" s="462"/>
      <c r="U54" s="460"/>
      <c r="V54" s="460"/>
      <c r="W54" s="460"/>
      <c r="X54" s="460"/>
      <c r="Y54" s="463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/>
      <c r="AJ54" s="460"/>
      <c r="AK54" s="460"/>
      <c r="AL54" s="460"/>
      <c r="AM54" s="460"/>
      <c r="AN54" s="460"/>
      <c r="AO54" s="460"/>
      <c r="AP54" s="460"/>
      <c r="AQ54" s="460"/>
      <c r="AR54" s="460"/>
      <c r="AS54" s="460"/>
      <c r="AT54" s="460"/>
      <c r="AU54" s="460"/>
      <c r="AV54" s="463"/>
      <c r="AW54" s="460"/>
      <c r="AX54" s="464"/>
      <c r="AY54" s="465">
        <f t="shared" si="2"/>
        <v>9381</v>
      </c>
    </row>
    <row r="55" spans="1:51" s="731" customFormat="1" x14ac:dyDescent="0.25">
      <c r="A55" s="717" t="s">
        <v>174</v>
      </c>
      <c r="B55" s="718" t="s">
        <v>567</v>
      </c>
      <c r="C55" s="719">
        <f t="shared" ref="C55" si="76">SUM(C53:C54)</f>
        <v>300000</v>
      </c>
      <c r="D55" s="720">
        <f t="shared" ref="D55" si="77">SUM(D53:D54)</f>
        <v>300000</v>
      </c>
      <c r="E55" s="721">
        <f t="shared" ref="E55" si="78">SUM(E53:E54)</f>
        <v>88795</v>
      </c>
      <c r="F55" s="722">
        <f t="shared" ref="F55" si="79">SUM(F53:F54)</f>
        <v>300000</v>
      </c>
      <c r="G55" s="721">
        <f t="shared" ref="G55" si="80">SUM(G53:G54)</f>
        <v>98176</v>
      </c>
      <c r="H55" s="722">
        <f t="shared" ref="H55" si="81">SUM(H53:H54)</f>
        <v>300000</v>
      </c>
      <c r="I55" s="723">
        <f t="shared" ref="I55" si="82">SUM(I53:I54)</f>
        <v>98176</v>
      </c>
      <c r="J55" s="724">
        <f t="shared" si="0"/>
        <v>0.32725333333333334</v>
      </c>
      <c r="K55" s="737"/>
      <c r="L55" s="725">
        <f t="shared" ref="L55:AX55" si="83">SUM(L53:L54)</f>
        <v>9381</v>
      </c>
      <c r="M55" s="726">
        <f t="shared" si="83"/>
        <v>0</v>
      </c>
      <c r="N55" s="726">
        <f t="shared" si="83"/>
        <v>0</v>
      </c>
      <c r="O55" s="726">
        <f t="shared" si="83"/>
        <v>0</v>
      </c>
      <c r="P55" s="726">
        <f t="shared" si="83"/>
        <v>0</v>
      </c>
      <c r="Q55" s="727">
        <f t="shared" si="83"/>
        <v>0</v>
      </c>
      <c r="R55" s="726">
        <f t="shared" si="83"/>
        <v>0</v>
      </c>
      <c r="S55" s="726">
        <f t="shared" si="83"/>
        <v>0</v>
      </c>
      <c r="T55" s="728">
        <f t="shared" si="83"/>
        <v>0</v>
      </c>
      <c r="U55" s="726">
        <f t="shared" si="83"/>
        <v>0</v>
      </c>
      <c r="V55" s="726">
        <f t="shared" si="83"/>
        <v>0</v>
      </c>
      <c r="W55" s="726">
        <f t="shared" si="83"/>
        <v>0</v>
      </c>
      <c r="X55" s="726">
        <f t="shared" si="83"/>
        <v>0</v>
      </c>
      <c r="Y55" s="729">
        <f t="shared" si="83"/>
        <v>0</v>
      </c>
      <c r="Z55" s="726">
        <f t="shared" si="83"/>
        <v>0</v>
      </c>
      <c r="AA55" s="726">
        <f t="shared" si="83"/>
        <v>0</v>
      </c>
      <c r="AB55" s="726">
        <f t="shared" si="83"/>
        <v>0</v>
      </c>
      <c r="AC55" s="726">
        <f t="shared" si="83"/>
        <v>0</v>
      </c>
      <c r="AD55" s="726">
        <f t="shared" si="83"/>
        <v>0</v>
      </c>
      <c r="AE55" s="726">
        <f t="shared" si="83"/>
        <v>0</v>
      </c>
      <c r="AF55" s="726">
        <f t="shared" si="83"/>
        <v>0</v>
      </c>
      <c r="AG55" s="726">
        <f t="shared" si="83"/>
        <v>0</v>
      </c>
      <c r="AH55" s="726">
        <f t="shared" si="83"/>
        <v>0</v>
      </c>
      <c r="AI55" s="726">
        <f t="shared" si="83"/>
        <v>0</v>
      </c>
      <c r="AJ55" s="726">
        <f t="shared" si="83"/>
        <v>88795</v>
      </c>
      <c r="AK55" s="726">
        <f t="shared" si="83"/>
        <v>0</v>
      </c>
      <c r="AL55" s="726">
        <f t="shared" si="83"/>
        <v>0</v>
      </c>
      <c r="AM55" s="726">
        <f t="shared" si="83"/>
        <v>0</v>
      </c>
      <c r="AN55" s="726">
        <f t="shared" si="83"/>
        <v>0</v>
      </c>
      <c r="AO55" s="726">
        <f t="shared" si="83"/>
        <v>0</v>
      </c>
      <c r="AP55" s="726">
        <f t="shared" si="83"/>
        <v>0</v>
      </c>
      <c r="AQ55" s="726">
        <f t="shared" si="83"/>
        <v>0</v>
      </c>
      <c r="AR55" s="726">
        <f t="shared" si="83"/>
        <v>0</v>
      </c>
      <c r="AS55" s="726">
        <f t="shared" si="83"/>
        <v>0</v>
      </c>
      <c r="AT55" s="726">
        <f t="shared" si="83"/>
        <v>0</v>
      </c>
      <c r="AU55" s="726">
        <f t="shared" si="83"/>
        <v>0</v>
      </c>
      <c r="AV55" s="729">
        <f t="shared" si="83"/>
        <v>0</v>
      </c>
      <c r="AW55" s="726">
        <f t="shared" si="83"/>
        <v>0</v>
      </c>
      <c r="AX55" s="723">
        <f t="shared" si="83"/>
        <v>0</v>
      </c>
      <c r="AY55" s="730">
        <f t="shared" si="2"/>
        <v>98176</v>
      </c>
    </row>
    <row r="56" spans="1:51" x14ac:dyDescent="0.25">
      <c r="A56" s="453" t="s">
        <v>175</v>
      </c>
      <c r="B56" s="454" t="s">
        <v>180</v>
      </c>
      <c r="C56" s="455">
        <v>12908766</v>
      </c>
      <c r="D56" s="456">
        <v>12984366</v>
      </c>
      <c r="E56" s="917">
        <v>5141561</v>
      </c>
      <c r="F56" s="918">
        <v>13197886</v>
      </c>
      <c r="G56" s="917">
        <v>7676968</v>
      </c>
      <c r="H56" s="918">
        <v>14078002</v>
      </c>
      <c r="I56" s="457">
        <f t="shared" ref="I56:I60" si="84">AY56</f>
        <v>11046269</v>
      </c>
      <c r="J56" s="458">
        <f t="shared" si="0"/>
        <v>0.78464749472261763</v>
      </c>
      <c r="K56" s="1123"/>
      <c r="L56" s="459">
        <v>1152543</v>
      </c>
      <c r="M56" s="460">
        <v>344084</v>
      </c>
      <c r="N56" s="460">
        <v>1018155</v>
      </c>
      <c r="O56" s="460"/>
      <c r="P56" s="460">
        <v>601374</v>
      </c>
      <c r="Q56" s="461"/>
      <c r="R56" s="460"/>
      <c r="S56" s="460">
        <v>68648</v>
      </c>
      <c r="T56" s="462"/>
      <c r="U56" s="460"/>
      <c r="V56" s="460">
        <v>688008</v>
      </c>
      <c r="W56" s="460">
        <v>28080</v>
      </c>
      <c r="X56" s="460">
        <v>402388</v>
      </c>
      <c r="Y56" s="463"/>
      <c r="Z56" s="460">
        <v>676401</v>
      </c>
      <c r="AA56" s="460">
        <v>580939</v>
      </c>
      <c r="AB56" s="460">
        <v>127686</v>
      </c>
      <c r="AC56" s="460">
        <v>397833</v>
      </c>
      <c r="AD56" s="460"/>
      <c r="AE56" s="460">
        <v>912</v>
      </c>
      <c r="AF56" s="460">
        <v>38292</v>
      </c>
      <c r="AG56" s="460"/>
      <c r="AH56" s="460"/>
      <c r="AI56" s="460">
        <v>829</v>
      </c>
      <c r="AJ56" s="460">
        <v>803541</v>
      </c>
      <c r="AK56" s="460">
        <v>133812</v>
      </c>
      <c r="AL56" s="460">
        <v>97200</v>
      </c>
      <c r="AM56" s="460"/>
      <c r="AN56" s="460"/>
      <c r="AO56" s="460"/>
      <c r="AP56" s="460"/>
      <c r="AQ56" s="460">
        <v>383610</v>
      </c>
      <c r="AR56" s="460">
        <v>405298</v>
      </c>
      <c r="AS56" s="460"/>
      <c r="AT56" s="460">
        <v>2442097</v>
      </c>
      <c r="AU56" s="460">
        <v>631545</v>
      </c>
      <c r="AV56" s="463"/>
      <c r="AW56" s="460">
        <v>22994</v>
      </c>
      <c r="AX56" s="464"/>
      <c r="AY56" s="465">
        <f t="shared" si="2"/>
        <v>11046269</v>
      </c>
    </row>
    <row r="57" spans="1:51" x14ac:dyDescent="0.25">
      <c r="A57" s="453" t="s">
        <v>176</v>
      </c>
      <c r="B57" s="454" t="s">
        <v>675</v>
      </c>
      <c r="C57" s="455">
        <v>0</v>
      </c>
      <c r="D57" s="456">
        <f>C57+5670000</f>
        <v>5670000</v>
      </c>
      <c r="E57" s="917">
        <v>5670000</v>
      </c>
      <c r="F57" s="918">
        <v>5670601</v>
      </c>
      <c r="G57" s="917">
        <v>5670000</v>
      </c>
      <c r="H57" s="918">
        <v>5670000</v>
      </c>
      <c r="I57" s="457">
        <f t="shared" si="84"/>
        <v>5379000</v>
      </c>
      <c r="J57" s="458">
        <f t="shared" si="0"/>
        <v>0.94867724867724867</v>
      </c>
      <c r="K57" s="1123"/>
      <c r="L57" s="459">
        <v>5379000</v>
      </c>
      <c r="M57" s="460"/>
      <c r="N57" s="460"/>
      <c r="O57" s="460"/>
      <c r="P57" s="460"/>
      <c r="Q57" s="461"/>
      <c r="R57" s="460"/>
      <c r="S57" s="460"/>
      <c r="T57" s="462"/>
      <c r="U57" s="460"/>
      <c r="V57" s="460"/>
      <c r="W57" s="460"/>
      <c r="X57" s="460"/>
      <c r="Y57" s="463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0"/>
      <c r="AK57" s="460"/>
      <c r="AL57" s="460"/>
      <c r="AM57" s="460"/>
      <c r="AN57" s="460"/>
      <c r="AO57" s="460"/>
      <c r="AP57" s="460"/>
      <c r="AQ57" s="460"/>
      <c r="AR57" s="460"/>
      <c r="AS57" s="460"/>
      <c r="AT57" s="460"/>
      <c r="AU57" s="460"/>
      <c r="AV57" s="463"/>
      <c r="AW57" s="460"/>
      <c r="AX57" s="464"/>
      <c r="AY57" s="465">
        <f t="shared" si="2"/>
        <v>5379000</v>
      </c>
    </row>
    <row r="58" spans="1:51" hidden="1" x14ac:dyDescent="0.25">
      <c r="A58" s="453" t="s">
        <v>177</v>
      </c>
      <c r="B58" s="454" t="s">
        <v>182</v>
      </c>
      <c r="C58" s="455">
        <v>0</v>
      </c>
      <c r="D58" s="456">
        <f>C58</f>
        <v>0</v>
      </c>
      <c r="E58" s="917">
        <v>0</v>
      </c>
      <c r="F58" s="918">
        <v>0</v>
      </c>
      <c r="G58" s="917">
        <v>0</v>
      </c>
      <c r="H58" s="918">
        <v>0</v>
      </c>
      <c r="I58" s="457">
        <f t="shared" si="84"/>
        <v>0</v>
      </c>
      <c r="J58" s="458" t="str">
        <f t="shared" si="0"/>
        <v/>
      </c>
      <c r="K58" s="1123"/>
      <c r="L58" s="459"/>
      <c r="M58" s="460"/>
      <c r="N58" s="460"/>
      <c r="O58" s="460"/>
      <c r="P58" s="460"/>
      <c r="Q58" s="461"/>
      <c r="R58" s="460"/>
      <c r="S58" s="460"/>
      <c r="T58" s="462"/>
      <c r="U58" s="460"/>
      <c r="V58" s="460"/>
      <c r="W58" s="460"/>
      <c r="X58" s="460"/>
      <c r="Y58" s="463"/>
      <c r="Z58" s="460"/>
      <c r="AA58" s="460"/>
      <c r="AB58" s="460"/>
      <c r="AC58" s="460"/>
      <c r="AD58" s="460"/>
      <c r="AE58" s="460"/>
      <c r="AF58" s="460"/>
      <c r="AG58" s="460"/>
      <c r="AH58" s="460"/>
      <c r="AI58" s="460"/>
      <c r="AJ58" s="460"/>
      <c r="AK58" s="460"/>
      <c r="AL58" s="460"/>
      <c r="AM58" s="460"/>
      <c r="AN58" s="460"/>
      <c r="AO58" s="460"/>
      <c r="AP58" s="460"/>
      <c r="AQ58" s="460"/>
      <c r="AR58" s="460"/>
      <c r="AS58" s="460"/>
      <c r="AT58" s="460"/>
      <c r="AU58" s="460"/>
      <c r="AV58" s="463"/>
      <c r="AW58" s="460"/>
      <c r="AX58" s="464"/>
      <c r="AY58" s="465">
        <f t="shared" si="2"/>
        <v>0</v>
      </c>
    </row>
    <row r="59" spans="1:51" hidden="1" x14ac:dyDescent="0.25">
      <c r="A59" s="453" t="s">
        <v>178</v>
      </c>
      <c r="B59" s="454" t="s">
        <v>183</v>
      </c>
      <c r="C59" s="455">
        <v>0</v>
      </c>
      <c r="D59" s="456">
        <f>C59</f>
        <v>0</v>
      </c>
      <c r="E59" s="917">
        <v>0</v>
      </c>
      <c r="F59" s="918">
        <v>0</v>
      </c>
      <c r="G59" s="917">
        <v>0</v>
      </c>
      <c r="H59" s="918">
        <v>0</v>
      </c>
      <c r="I59" s="457">
        <f t="shared" si="84"/>
        <v>0</v>
      </c>
      <c r="J59" s="458" t="str">
        <f t="shared" si="0"/>
        <v/>
      </c>
      <c r="K59" s="1123"/>
      <c r="L59" s="459"/>
      <c r="M59" s="460"/>
      <c r="N59" s="460"/>
      <c r="O59" s="460"/>
      <c r="P59" s="460"/>
      <c r="Q59" s="461"/>
      <c r="R59" s="460"/>
      <c r="S59" s="460"/>
      <c r="T59" s="462"/>
      <c r="U59" s="460"/>
      <c r="V59" s="460"/>
      <c r="W59" s="460"/>
      <c r="X59" s="460"/>
      <c r="Y59" s="463"/>
      <c r="Z59" s="460"/>
      <c r="AA59" s="460"/>
      <c r="AB59" s="460"/>
      <c r="AC59" s="460"/>
      <c r="AD59" s="460"/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0"/>
      <c r="AU59" s="460"/>
      <c r="AV59" s="463"/>
      <c r="AW59" s="460"/>
      <c r="AX59" s="464"/>
      <c r="AY59" s="465">
        <f t="shared" si="2"/>
        <v>0</v>
      </c>
    </row>
    <row r="60" spans="1:51" x14ac:dyDescent="0.25">
      <c r="A60" s="453" t="s">
        <v>179</v>
      </c>
      <c r="B60" s="454" t="s">
        <v>184</v>
      </c>
      <c r="C60" s="455">
        <v>500000</v>
      </c>
      <c r="D60" s="456">
        <v>500000</v>
      </c>
      <c r="E60" s="917">
        <v>110601</v>
      </c>
      <c r="F60" s="918">
        <v>1050000</v>
      </c>
      <c r="G60" s="917">
        <v>1036907</v>
      </c>
      <c r="H60" s="918">
        <v>1050000</v>
      </c>
      <c r="I60" s="457">
        <f t="shared" si="84"/>
        <v>1038082</v>
      </c>
      <c r="J60" s="458">
        <f t="shared" si="0"/>
        <v>0.98864952380952376</v>
      </c>
      <c r="K60" s="1123"/>
      <c r="L60" s="459">
        <v>38048</v>
      </c>
      <c r="M60" s="460"/>
      <c r="N60" s="460">
        <v>1000000</v>
      </c>
      <c r="O60" s="460"/>
      <c r="P60" s="460">
        <v>17</v>
      </c>
      <c r="Q60" s="461"/>
      <c r="R60" s="460"/>
      <c r="S60" s="460"/>
      <c r="T60" s="462"/>
      <c r="U60" s="460"/>
      <c r="V60" s="460"/>
      <c r="W60" s="460"/>
      <c r="X60" s="460"/>
      <c r="Y60" s="463"/>
      <c r="Z60" s="460"/>
      <c r="AA60" s="460">
        <v>1</v>
      </c>
      <c r="AB60" s="460"/>
      <c r="AC60" s="460"/>
      <c r="AD60" s="460"/>
      <c r="AE60" s="460"/>
      <c r="AF60" s="460"/>
      <c r="AG60" s="460"/>
      <c r="AH60" s="460"/>
      <c r="AI60" s="460"/>
      <c r="AJ60" s="460">
        <v>3</v>
      </c>
      <c r="AK60" s="460"/>
      <c r="AL60" s="460"/>
      <c r="AM60" s="460"/>
      <c r="AN60" s="460"/>
      <c r="AO60" s="460"/>
      <c r="AP60" s="460"/>
      <c r="AQ60" s="460"/>
      <c r="AR60" s="460"/>
      <c r="AS60" s="460"/>
      <c r="AT60" s="460">
        <v>13</v>
      </c>
      <c r="AU60" s="460"/>
      <c r="AV60" s="463"/>
      <c r="AW60" s="460"/>
      <c r="AX60" s="464"/>
      <c r="AY60" s="465">
        <f t="shared" si="2"/>
        <v>1038082</v>
      </c>
    </row>
    <row r="61" spans="1:51" s="731" customFormat="1" x14ac:dyDescent="0.25">
      <c r="A61" s="717" t="s">
        <v>185</v>
      </c>
      <c r="B61" s="718" t="s">
        <v>568</v>
      </c>
      <c r="C61" s="719">
        <f t="shared" ref="C61" si="85">SUM(C56:C60)</f>
        <v>13408766</v>
      </c>
      <c r="D61" s="720">
        <f t="shared" ref="D61" si="86">SUM(D56:D60)</f>
        <v>19154366</v>
      </c>
      <c r="E61" s="721">
        <f t="shared" ref="E61" si="87">SUM(E56:E60)</f>
        <v>10922162</v>
      </c>
      <c r="F61" s="722">
        <f t="shared" ref="F61" si="88">SUM(F56:F60)</f>
        <v>19918487</v>
      </c>
      <c r="G61" s="721">
        <f t="shared" ref="G61" si="89">SUM(G56:G60)</f>
        <v>14383875</v>
      </c>
      <c r="H61" s="722">
        <f t="shared" ref="H61" si="90">SUM(H56:H60)</f>
        <v>20798002</v>
      </c>
      <c r="I61" s="723">
        <f t="shared" ref="I61" si="91">SUM(I56:I60)</f>
        <v>17463351</v>
      </c>
      <c r="J61" s="724">
        <f t="shared" si="0"/>
        <v>0.83966483895904998</v>
      </c>
      <c r="K61" s="737"/>
      <c r="L61" s="725">
        <f t="shared" ref="L61:AX61" si="92">SUM(L56:L60)</f>
        <v>6569591</v>
      </c>
      <c r="M61" s="726">
        <f t="shared" si="92"/>
        <v>344084</v>
      </c>
      <c r="N61" s="726">
        <f t="shared" si="92"/>
        <v>2018155</v>
      </c>
      <c r="O61" s="726">
        <f t="shared" si="92"/>
        <v>0</v>
      </c>
      <c r="P61" s="726">
        <f t="shared" si="92"/>
        <v>601391</v>
      </c>
      <c r="Q61" s="727">
        <f t="shared" si="92"/>
        <v>0</v>
      </c>
      <c r="R61" s="726">
        <f t="shared" si="92"/>
        <v>0</v>
      </c>
      <c r="S61" s="726">
        <f t="shared" si="92"/>
        <v>68648</v>
      </c>
      <c r="T61" s="728">
        <f t="shared" si="92"/>
        <v>0</v>
      </c>
      <c r="U61" s="726">
        <f t="shared" si="92"/>
        <v>0</v>
      </c>
      <c r="V61" s="726">
        <f t="shared" si="92"/>
        <v>688008</v>
      </c>
      <c r="W61" s="726">
        <f t="shared" si="92"/>
        <v>28080</v>
      </c>
      <c r="X61" s="726">
        <f t="shared" si="92"/>
        <v>402388</v>
      </c>
      <c r="Y61" s="729">
        <f t="shared" si="92"/>
        <v>0</v>
      </c>
      <c r="Z61" s="726">
        <f t="shared" si="92"/>
        <v>676401</v>
      </c>
      <c r="AA61" s="726">
        <f t="shared" si="92"/>
        <v>580940</v>
      </c>
      <c r="AB61" s="726">
        <f t="shared" si="92"/>
        <v>127686</v>
      </c>
      <c r="AC61" s="726">
        <f t="shared" si="92"/>
        <v>397833</v>
      </c>
      <c r="AD61" s="726">
        <f t="shared" si="92"/>
        <v>0</v>
      </c>
      <c r="AE61" s="726">
        <f t="shared" si="92"/>
        <v>912</v>
      </c>
      <c r="AF61" s="726">
        <f t="shared" si="92"/>
        <v>38292</v>
      </c>
      <c r="AG61" s="726">
        <f t="shared" si="92"/>
        <v>0</v>
      </c>
      <c r="AH61" s="726">
        <f t="shared" si="92"/>
        <v>0</v>
      </c>
      <c r="AI61" s="726">
        <f t="shared" si="92"/>
        <v>829</v>
      </c>
      <c r="AJ61" s="726">
        <f t="shared" si="92"/>
        <v>803544</v>
      </c>
      <c r="AK61" s="726">
        <f t="shared" si="92"/>
        <v>133812</v>
      </c>
      <c r="AL61" s="726">
        <f t="shared" si="92"/>
        <v>97200</v>
      </c>
      <c r="AM61" s="726">
        <f t="shared" si="92"/>
        <v>0</v>
      </c>
      <c r="AN61" s="726">
        <f t="shared" si="92"/>
        <v>0</v>
      </c>
      <c r="AO61" s="726">
        <f t="shared" si="92"/>
        <v>0</v>
      </c>
      <c r="AP61" s="726">
        <f t="shared" si="92"/>
        <v>0</v>
      </c>
      <c r="AQ61" s="726">
        <f t="shared" si="92"/>
        <v>383610</v>
      </c>
      <c r="AR61" s="726">
        <f t="shared" si="92"/>
        <v>405298</v>
      </c>
      <c r="AS61" s="726">
        <f t="shared" si="92"/>
        <v>0</v>
      </c>
      <c r="AT61" s="726">
        <f t="shared" si="92"/>
        <v>2442110</v>
      </c>
      <c r="AU61" s="726">
        <f t="shared" si="92"/>
        <v>631545</v>
      </c>
      <c r="AV61" s="729">
        <f t="shared" si="92"/>
        <v>0</v>
      </c>
      <c r="AW61" s="726">
        <f t="shared" si="92"/>
        <v>22994</v>
      </c>
      <c r="AX61" s="723">
        <f t="shared" si="92"/>
        <v>0</v>
      </c>
      <c r="AY61" s="730">
        <f t="shared" si="2"/>
        <v>17463351</v>
      </c>
    </row>
    <row r="62" spans="1:51" s="558" customFormat="1" x14ac:dyDescent="0.25">
      <c r="A62" s="740" t="s">
        <v>186</v>
      </c>
      <c r="B62" s="741" t="s">
        <v>187</v>
      </c>
      <c r="C62" s="742">
        <f>SUM(C41,C44,C52,C55,C61)</f>
        <v>64787696</v>
      </c>
      <c r="D62" s="743">
        <f t="shared" ref="D62:I62" si="93">SUM(D41,D44,D52,D55,D61)</f>
        <v>73117296</v>
      </c>
      <c r="E62" s="744">
        <f t="shared" si="93"/>
        <v>34931524</v>
      </c>
      <c r="F62" s="745">
        <f t="shared" si="93"/>
        <v>78220574</v>
      </c>
      <c r="G62" s="744">
        <f t="shared" si="93"/>
        <v>55493932</v>
      </c>
      <c r="H62" s="745">
        <f t="shared" si="93"/>
        <v>82097769</v>
      </c>
      <c r="I62" s="746">
        <f t="shared" si="93"/>
        <v>75857403</v>
      </c>
      <c r="J62" s="747">
        <f t="shared" si="0"/>
        <v>0.92398860436755592</v>
      </c>
      <c r="K62" s="1125"/>
      <c r="L62" s="748">
        <f t="shared" ref="L62:AX62" si="94">L41+L44+L52+L55+L61</f>
        <v>15063824</v>
      </c>
      <c r="M62" s="749">
        <f t="shared" si="94"/>
        <v>1650120</v>
      </c>
      <c r="N62" s="749">
        <f t="shared" si="94"/>
        <v>9217931</v>
      </c>
      <c r="O62" s="749">
        <f t="shared" si="94"/>
        <v>0</v>
      </c>
      <c r="P62" s="749">
        <f t="shared" si="94"/>
        <v>4885239</v>
      </c>
      <c r="Q62" s="750">
        <f t="shared" si="94"/>
        <v>0</v>
      </c>
      <c r="R62" s="749">
        <f t="shared" si="94"/>
        <v>0</v>
      </c>
      <c r="S62" s="749">
        <f t="shared" si="94"/>
        <v>322900</v>
      </c>
      <c r="T62" s="751">
        <f t="shared" si="94"/>
        <v>982</v>
      </c>
      <c r="U62" s="749">
        <f t="shared" si="94"/>
        <v>0</v>
      </c>
      <c r="V62" s="749">
        <f t="shared" si="94"/>
        <v>3236185</v>
      </c>
      <c r="W62" s="749">
        <f t="shared" si="94"/>
        <v>132080</v>
      </c>
      <c r="X62" s="749">
        <f t="shared" si="94"/>
        <v>1950770</v>
      </c>
      <c r="Y62" s="752">
        <f t="shared" si="94"/>
        <v>0</v>
      </c>
      <c r="Z62" s="749">
        <f t="shared" si="94"/>
        <v>5461798</v>
      </c>
      <c r="AA62" s="749">
        <f t="shared" si="94"/>
        <v>3993167</v>
      </c>
      <c r="AB62" s="749">
        <f t="shared" si="94"/>
        <v>600595</v>
      </c>
      <c r="AC62" s="749">
        <f t="shared" si="94"/>
        <v>2751759</v>
      </c>
      <c r="AD62" s="749">
        <f t="shared" si="94"/>
        <v>0</v>
      </c>
      <c r="AE62" s="749">
        <f t="shared" si="94"/>
        <v>4290</v>
      </c>
      <c r="AF62" s="749">
        <f t="shared" si="94"/>
        <v>999431</v>
      </c>
      <c r="AG62" s="749">
        <f t="shared" si="94"/>
        <v>0</v>
      </c>
      <c r="AH62" s="749">
        <f t="shared" si="94"/>
        <v>0</v>
      </c>
      <c r="AI62" s="749">
        <f t="shared" si="94"/>
        <v>17445</v>
      </c>
      <c r="AJ62" s="749">
        <f t="shared" si="94"/>
        <v>6196028</v>
      </c>
      <c r="AK62" s="749">
        <f t="shared" si="94"/>
        <v>683412</v>
      </c>
      <c r="AL62" s="749">
        <f t="shared" si="94"/>
        <v>457200</v>
      </c>
      <c r="AM62" s="749">
        <f t="shared" si="94"/>
        <v>0</v>
      </c>
      <c r="AN62" s="749">
        <f t="shared" si="94"/>
        <v>0</v>
      </c>
      <c r="AO62" s="749">
        <f t="shared" si="94"/>
        <v>0</v>
      </c>
      <c r="AP62" s="749">
        <f t="shared" si="94"/>
        <v>0</v>
      </c>
      <c r="AQ62" s="749">
        <f t="shared" si="94"/>
        <v>1837279</v>
      </c>
      <c r="AR62" s="749">
        <f t="shared" si="94"/>
        <v>1914469</v>
      </c>
      <c r="AS62" s="749">
        <f t="shared" si="94"/>
        <v>0</v>
      </c>
      <c r="AT62" s="749">
        <f t="shared" si="94"/>
        <v>11486910</v>
      </c>
      <c r="AU62" s="749">
        <f t="shared" si="94"/>
        <v>2970595</v>
      </c>
      <c r="AV62" s="752">
        <f t="shared" si="94"/>
        <v>0</v>
      </c>
      <c r="AW62" s="749">
        <f t="shared" si="94"/>
        <v>22994</v>
      </c>
      <c r="AX62" s="746">
        <f t="shared" si="94"/>
        <v>0</v>
      </c>
      <c r="AY62" s="753">
        <f t="shared" si="2"/>
        <v>75857403</v>
      </c>
    </row>
    <row r="63" spans="1:51" s="558" customFormat="1" x14ac:dyDescent="0.25">
      <c r="A63" s="740" t="s">
        <v>203</v>
      </c>
      <c r="B63" s="741" t="s">
        <v>240</v>
      </c>
      <c r="C63" s="742">
        <f>'Szoc.jutt. - 8. mell.'!C28</f>
        <v>7000800</v>
      </c>
      <c r="D63" s="743">
        <f>'Szoc.jutt. - 8. mell.'!D28</f>
        <v>4696800</v>
      </c>
      <c r="E63" s="744">
        <f>'Szoc.jutt. - 8. mell.'!E28</f>
        <v>2106550</v>
      </c>
      <c r="F63" s="745">
        <f>'Szoc.jutt. - 8. mell.'!F28</f>
        <v>4696800</v>
      </c>
      <c r="G63" s="744">
        <f>'Szoc.jutt. - 8. mell.'!G28</f>
        <v>3237476</v>
      </c>
      <c r="H63" s="745">
        <f>'Szoc.jutt. - 8. mell.'!H28</f>
        <v>5134276</v>
      </c>
      <c r="I63" s="746">
        <f>'Szoc.jutt. - 8. mell.'!I28</f>
        <v>5134276</v>
      </c>
      <c r="J63" s="747">
        <f t="shared" si="0"/>
        <v>1</v>
      </c>
      <c r="K63" s="1125"/>
      <c r="L63" s="748"/>
      <c r="M63" s="749"/>
      <c r="N63" s="749"/>
      <c r="O63" s="749"/>
      <c r="P63" s="749"/>
      <c r="Q63" s="750"/>
      <c r="R63" s="749"/>
      <c r="S63" s="749"/>
      <c r="T63" s="751"/>
      <c r="U63" s="749"/>
      <c r="V63" s="749"/>
      <c r="W63" s="749"/>
      <c r="X63" s="749"/>
      <c r="Y63" s="752"/>
      <c r="Z63" s="749"/>
      <c r="AA63" s="749"/>
      <c r="AB63" s="749"/>
      <c r="AC63" s="749"/>
      <c r="AD63" s="749"/>
      <c r="AE63" s="749"/>
      <c r="AF63" s="749"/>
      <c r="AG63" s="749"/>
      <c r="AH63" s="749"/>
      <c r="AI63" s="749"/>
      <c r="AJ63" s="749"/>
      <c r="AK63" s="749"/>
      <c r="AL63" s="749"/>
      <c r="AM63" s="749"/>
      <c r="AN63" s="749"/>
      <c r="AO63" s="749"/>
      <c r="AP63" s="749"/>
      <c r="AQ63" s="749"/>
      <c r="AR63" s="749"/>
      <c r="AS63" s="749">
        <v>360000</v>
      </c>
      <c r="AT63" s="749"/>
      <c r="AU63" s="749">
        <v>4774276</v>
      </c>
      <c r="AV63" s="752"/>
      <c r="AW63" s="749"/>
      <c r="AX63" s="746"/>
      <c r="AY63" s="753">
        <f t="shared" si="2"/>
        <v>5134276</v>
      </c>
    </row>
    <row r="64" spans="1:51" x14ac:dyDescent="0.25">
      <c r="A64" s="490" t="s">
        <v>204</v>
      </c>
      <c r="B64" s="454" t="s">
        <v>205</v>
      </c>
      <c r="C64" s="491">
        <f>'Pénze.átadás - 7. mell.'!C5</f>
        <v>18163453</v>
      </c>
      <c r="D64" s="492">
        <f>'Pénze.átadás - 7. mell.'!D5</f>
        <v>18163453</v>
      </c>
      <c r="E64" s="493">
        <f>'Pénze.átadás - 7. mell.'!E5</f>
        <v>10014389</v>
      </c>
      <c r="F64" s="494">
        <f>'Pénze.átadás - 7. mell.'!F5</f>
        <v>18163453</v>
      </c>
      <c r="G64" s="493">
        <f>'Pénze.átadás - 7. mell.'!G5</f>
        <v>14088923</v>
      </c>
      <c r="H64" s="494">
        <f>'Pénze.átadás - 7. mell.'!H5</f>
        <v>18168533</v>
      </c>
      <c r="I64" s="495">
        <f>'Pénze.átadás - 7. mell.'!I5</f>
        <v>18168533</v>
      </c>
      <c r="J64" s="496">
        <f t="shared" si="0"/>
        <v>1</v>
      </c>
      <c r="K64" s="1127"/>
      <c r="L64" s="459"/>
      <c r="M64" s="460"/>
      <c r="N64" s="460"/>
      <c r="O64" s="460"/>
      <c r="P64" s="460"/>
      <c r="Q64" s="461">
        <v>18168533</v>
      </c>
      <c r="R64" s="460"/>
      <c r="S64" s="460"/>
      <c r="T64" s="462"/>
      <c r="U64" s="460"/>
      <c r="V64" s="460"/>
      <c r="W64" s="460"/>
      <c r="X64" s="460"/>
      <c r="Y64" s="463"/>
      <c r="Z64" s="460"/>
      <c r="AA64" s="460"/>
      <c r="AB64" s="460"/>
      <c r="AC64" s="460"/>
      <c r="AD64" s="460"/>
      <c r="AE64" s="460"/>
      <c r="AF64" s="460"/>
      <c r="AG64" s="460"/>
      <c r="AH64" s="460"/>
      <c r="AI64" s="460"/>
      <c r="AJ64" s="460"/>
      <c r="AK64" s="460"/>
      <c r="AL64" s="460"/>
      <c r="AM64" s="460"/>
      <c r="AN64" s="460"/>
      <c r="AO64" s="460"/>
      <c r="AP64" s="460"/>
      <c r="AQ64" s="460"/>
      <c r="AR64" s="460"/>
      <c r="AS64" s="460"/>
      <c r="AT64" s="460"/>
      <c r="AU64" s="460"/>
      <c r="AV64" s="463"/>
      <c r="AW64" s="460"/>
      <c r="AX64" s="464"/>
      <c r="AY64" s="465">
        <f t="shared" si="2"/>
        <v>18168533</v>
      </c>
    </row>
    <row r="65" spans="1:51" x14ac:dyDescent="0.25">
      <c r="A65" s="490" t="s">
        <v>206</v>
      </c>
      <c r="B65" s="454" t="s">
        <v>237</v>
      </c>
      <c r="C65" s="491">
        <f>'Pénze.átadás - 7. mell.'!C11</f>
        <v>21152748</v>
      </c>
      <c r="D65" s="492">
        <f>'Pénze.átadás - 7. mell.'!D11</f>
        <v>21152748</v>
      </c>
      <c r="E65" s="493">
        <f>'Pénze.átadás - 7. mell.'!E11</f>
        <v>8101419</v>
      </c>
      <c r="F65" s="494">
        <f>'Pénze.átadás - 7. mell.'!F11</f>
        <v>21152748</v>
      </c>
      <c r="G65" s="493">
        <f>'Pénze.átadás - 7. mell.'!G11</f>
        <v>11707090</v>
      </c>
      <c r="H65" s="494">
        <f>'Pénze.átadás - 7. mell.'!H11</f>
        <v>22374858</v>
      </c>
      <c r="I65" s="495">
        <f>'Pénze.átadás - 7. mell.'!I11</f>
        <v>18403907</v>
      </c>
      <c r="J65" s="496">
        <f t="shared" si="0"/>
        <v>0.82252620329478743</v>
      </c>
      <c r="K65" s="1127"/>
      <c r="L65" s="459">
        <v>29025</v>
      </c>
      <c r="M65" s="460"/>
      <c r="N65" s="460"/>
      <c r="O65" s="460"/>
      <c r="P65" s="460"/>
      <c r="Q65" s="461"/>
      <c r="R65" s="460">
        <v>18374882</v>
      </c>
      <c r="S65" s="460"/>
      <c r="T65" s="462"/>
      <c r="U65" s="460"/>
      <c r="V65" s="460"/>
      <c r="W65" s="460"/>
      <c r="X65" s="460"/>
      <c r="Y65" s="463"/>
      <c r="Z65" s="460"/>
      <c r="AA65" s="460"/>
      <c r="AB65" s="460"/>
      <c r="AC65" s="460"/>
      <c r="AD65" s="460"/>
      <c r="AE65" s="460"/>
      <c r="AF65" s="460"/>
      <c r="AG65" s="460"/>
      <c r="AH65" s="460"/>
      <c r="AI65" s="460"/>
      <c r="AJ65" s="460"/>
      <c r="AK65" s="460"/>
      <c r="AL65" s="460"/>
      <c r="AM65" s="460"/>
      <c r="AN65" s="460"/>
      <c r="AO65" s="460"/>
      <c r="AP65" s="460"/>
      <c r="AQ65" s="460"/>
      <c r="AR65" s="460"/>
      <c r="AS65" s="460"/>
      <c r="AT65" s="460"/>
      <c r="AU65" s="460"/>
      <c r="AV65" s="463"/>
      <c r="AW65" s="460"/>
      <c r="AX65" s="464"/>
      <c r="AY65" s="465">
        <f t="shared" si="2"/>
        <v>18403907</v>
      </c>
    </row>
    <row r="66" spans="1:51" x14ac:dyDescent="0.25">
      <c r="A66" s="490" t="s">
        <v>208</v>
      </c>
      <c r="B66" s="497" t="s">
        <v>905</v>
      </c>
      <c r="C66" s="491">
        <f>'Pénze.átadás - 7. mell.'!C13</f>
        <v>0</v>
      </c>
      <c r="D66" s="492">
        <f>'Pénze.átadás - 7. mell.'!D13</f>
        <v>0</v>
      </c>
      <c r="E66" s="493">
        <f>'Pénze.átadás - 7. mell.'!E13</f>
        <v>0</v>
      </c>
      <c r="F66" s="494">
        <f>'Pénze.átadás - 7. mell.'!F13</f>
        <v>0</v>
      </c>
      <c r="G66" s="493">
        <f>'Pénze.átadás - 7. mell.'!G13</f>
        <v>0</v>
      </c>
      <c r="H66" s="494">
        <f>'Pénze.átadás - 7. mell.'!H13</f>
        <v>1040606</v>
      </c>
      <c r="I66" s="495">
        <f>'Pénze.átadás - 7. mell.'!I13</f>
        <v>1040606</v>
      </c>
      <c r="J66" s="496">
        <f t="shared" si="0"/>
        <v>1</v>
      </c>
      <c r="K66" s="1127"/>
      <c r="L66" s="459"/>
      <c r="M66" s="460"/>
      <c r="N66" s="460"/>
      <c r="O66" s="460"/>
      <c r="P66" s="460"/>
      <c r="Q66" s="461"/>
      <c r="R66" s="460"/>
      <c r="S66" s="460">
        <v>1040606</v>
      </c>
      <c r="T66" s="462"/>
      <c r="U66" s="460"/>
      <c r="V66" s="460"/>
      <c r="W66" s="460"/>
      <c r="X66" s="460"/>
      <c r="Y66" s="463"/>
      <c r="Z66" s="460"/>
      <c r="AA66" s="460"/>
      <c r="AB66" s="460"/>
      <c r="AC66" s="460"/>
      <c r="AD66" s="460"/>
      <c r="AE66" s="460"/>
      <c r="AF66" s="460"/>
      <c r="AG66" s="460"/>
      <c r="AH66" s="460"/>
      <c r="AI66" s="460"/>
      <c r="AJ66" s="460"/>
      <c r="AK66" s="460"/>
      <c r="AL66" s="460"/>
      <c r="AM66" s="460"/>
      <c r="AN66" s="460"/>
      <c r="AO66" s="460"/>
      <c r="AP66" s="460"/>
      <c r="AQ66" s="460"/>
      <c r="AR66" s="460"/>
      <c r="AS66" s="460"/>
      <c r="AT66" s="460"/>
      <c r="AU66" s="460"/>
      <c r="AV66" s="463"/>
      <c r="AW66" s="460"/>
      <c r="AX66" s="464"/>
      <c r="AY66" s="465">
        <f t="shared" si="2"/>
        <v>1040606</v>
      </c>
    </row>
    <row r="67" spans="1:51" x14ac:dyDescent="0.25">
      <c r="A67" s="490" t="s">
        <v>210</v>
      </c>
      <c r="B67" s="454" t="s">
        <v>239</v>
      </c>
      <c r="C67" s="491">
        <f>'Pénze.átadás - 7. mell.'!C28</f>
        <v>15246654</v>
      </c>
      <c r="D67" s="492">
        <f>'Pénze.átadás - 7. mell.'!D28</f>
        <v>14929154</v>
      </c>
      <c r="E67" s="493">
        <f>'Pénze.átadás - 7. mell.'!E28</f>
        <v>6462266</v>
      </c>
      <c r="F67" s="494">
        <f>'Pénze.átadás - 7. mell.'!F28</f>
        <v>15083154</v>
      </c>
      <c r="G67" s="493">
        <f>'Pénze.átadás - 7. mell.'!G28</f>
        <v>10504705</v>
      </c>
      <c r="H67" s="494">
        <f>'Pénze.átadás - 7. mell.'!H28</f>
        <v>14865674</v>
      </c>
      <c r="I67" s="495">
        <f>'Pénze.átadás - 7. mell.'!I28</f>
        <v>14672510</v>
      </c>
      <c r="J67" s="496">
        <f t="shared" si="0"/>
        <v>0.98700603820586941</v>
      </c>
      <c r="K67" s="1127"/>
      <c r="L67" s="459">
        <v>2884168</v>
      </c>
      <c r="M67" s="460"/>
      <c r="N67" s="460"/>
      <c r="O67" s="460"/>
      <c r="P67" s="460">
        <v>154000</v>
      </c>
      <c r="Q67" s="461"/>
      <c r="R67" s="460">
        <v>25000</v>
      </c>
      <c r="S67" s="460">
        <v>2446869</v>
      </c>
      <c r="T67" s="462"/>
      <c r="U67" s="460"/>
      <c r="V67" s="460"/>
      <c r="W67" s="460"/>
      <c r="X67" s="460"/>
      <c r="Y67" s="463"/>
      <c r="Z67" s="460"/>
      <c r="AA67" s="460"/>
      <c r="AB67" s="460"/>
      <c r="AC67" s="460"/>
      <c r="AD67" s="460"/>
      <c r="AE67" s="460"/>
      <c r="AF67" s="460"/>
      <c r="AG67" s="460"/>
      <c r="AH67" s="460">
        <v>3601925</v>
      </c>
      <c r="AI67" s="460"/>
      <c r="AJ67" s="460"/>
      <c r="AK67" s="460"/>
      <c r="AL67" s="460"/>
      <c r="AM67" s="460">
        <v>5393798</v>
      </c>
      <c r="AN67" s="460">
        <v>166750</v>
      </c>
      <c r="AO67" s="460"/>
      <c r="AP67" s="460"/>
      <c r="AQ67" s="460"/>
      <c r="AR67" s="460"/>
      <c r="AS67" s="460"/>
      <c r="AT67" s="460"/>
      <c r="AU67" s="460"/>
      <c r="AV67" s="463"/>
      <c r="AW67" s="460"/>
      <c r="AX67" s="464"/>
      <c r="AY67" s="465">
        <f t="shared" si="2"/>
        <v>14672510</v>
      </c>
    </row>
    <row r="68" spans="1:51" x14ac:dyDescent="0.25">
      <c r="A68" s="490" t="s">
        <v>547</v>
      </c>
      <c r="B68" s="454" t="s">
        <v>211</v>
      </c>
      <c r="C68" s="491">
        <f>'Pénze.átadás - 7. mell.'!C35</f>
        <v>52314000</v>
      </c>
      <c r="D68" s="492">
        <f>'Pénze.átadás - 7. mell.'!D35</f>
        <v>52491869</v>
      </c>
      <c r="E68" s="493">
        <f>'Pénze.átadás - 7. mell.'!E35</f>
        <v>0</v>
      </c>
      <c r="F68" s="494">
        <f>'Pénze.átadás - 7. mell.'!F35</f>
        <v>40609201</v>
      </c>
      <c r="G68" s="493">
        <f>'Pénze.átadás - 7. mell.'!G35</f>
        <v>0</v>
      </c>
      <c r="H68" s="494">
        <f>'Pénze.átadás - 7. mell.'!H35</f>
        <v>27254545</v>
      </c>
      <c r="I68" s="495">
        <f>'Pénze.átadás - 7. mell.'!I35</f>
        <v>0</v>
      </c>
      <c r="J68" s="496" t="str">
        <f t="shared" si="0"/>
        <v/>
      </c>
      <c r="K68" s="1127"/>
      <c r="L68" s="459"/>
      <c r="M68" s="460"/>
      <c r="N68" s="460"/>
      <c r="O68" s="460"/>
      <c r="P68" s="460"/>
      <c r="Q68" s="461"/>
      <c r="R68" s="460"/>
      <c r="S68" s="460"/>
      <c r="T68" s="462"/>
      <c r="U68" s="460"/>
      <c r="V68" s="460"/>
      <c r="W68" s="460"/>
      <c r="X68" s="460"/>
      <c r="Y68" s="463"/>
      <c r="Z68" s="460"/>
      <c r="AA68" s="460"/>
      <c r="AB68" s="460"/>
      <c r="AC68" s="460"/>
      <c r="AD68" s="460"/>
      <c r="AE68" s="460"/>
      <c r="AF68" s="460"/>
      <c r="AG68" s="460"/>
      <c r="AH68" s="460"/>
      <c r="AI68" s="460"/>
      <c r="AJ68" s="460"/>
      <c r="AK68" s="460"/>
      <c r="AL68" s="460"/>
      <c r="AM68" s="460"/>
      <c r="AN68" s="460"/>
      <c r="AO68" s="460"/>
      <c r="AP68" s="460"/>
      <c r="AQ68" s="460"/>
      <c r="AR68" s="460"/>
      <c r="AS68" s="460"/>
      <c r="AT68" s="460"/>
      <c r="AU68" s="460"/>
      <c r="AV68" s="463"/>
      <c r="AW68" s="460"/>
      <c r="AX68" s="464"/>
      <c r="AY68" s="465">
        <f t="shared" si="2"/>
        <v>0</v>
      </c>
    </row>
    <row r="69" spans="1:51" s="558" customFormat="1" x14ac:dyDescent="0.25">
      <c r="A69" s="740" t="s">
        <v>212</v>
      </c>
      <c r="B69" s="741" t="s">
        <v>213</v>
      </c>
      <c r="C69" s="742">
        <f>'Pénze.átadás - 7. mell.'!C36</f>
        <v>106876855</v>
      </c>
      <c r="D69" s="743">
        <f>'Pénze.átadás - 7. mell.'!D36</f>
        <v>106737224</v>
      </c>
      <c r="E69" s="744">
        <f>'Pénze.átadás - 7. mell.'!E36</f>
        <v>24578074</v>
      </c>
      <c r="F69" s="745">
        <f>'Pénze.átadás - 7. mell.'!F36</f>
        <v>95008556</v>
      </c>
      <c r="G69" s="744">
        <f>'Pénze.átadás - 7. mell.'!G36</f>
        <v>36300718</v>
      </c>
      <c r="H69" s="745">
        <f>'Pénze.átadás - 7. mell.'!H36</f>
        <v>83704216</v>
      </c>
      <c r="I69" s="746">
        <f>'Pénze.átadás - 7. mell.'!I36</f>
        <v>52285556</v>
      </c>
      <c r="J69" s="747">
        <f t="shared" si="0"/>
        <v>0.62464662472915344</v>
      </c>
      <c r="K69" s="1128"/>
      <c r="L69" s="754">
        <f t="shared" ref="L69:AX69" si="95">SUM(L64:L68)</f>
        <v>2913193</v>
      </c>
      <c r="M69" s="755">
        <f t="shared" si="95"/>
        <v>0</v>
      </c>
      <c r="N69" s="755">
        <f t="shared" si="95"/>
        <v>0</v>
      </c>
      <c r="O69" s="755">
        <f t="shared" si="95"/>
        <v>0</v>
      </c>
      <c r="P69" s="755">
        <f t="shared" si="95"/>
        <v>154000</v>
      </c>
      <c r="Q69" s="756">
        <f t="shared" si="95"/>
        <v>18168533</v>
      </c>
      <c r="R69" s="755">
        <f t="shared" si="95"/>
        <v>18399882</v>
      </c>
      <c r="S69" s="755">
        <f t="shared" si="95"/>
        <v>3487475</v>
      </c>
      <c r="T69" s="751">
        <f t="shared" si="95"/>
        <v>0</v>
      </c>
      <c r="U69" s="755">
        <f t="shared" si="95"/>
        <v>0</v>
      </c>
      <c r="V69" s="755">
        <f t="shared" si="95"/>
        <v>0</v>
      </c>
      <c r="W69" s="755">
        <f t="shared" si="95"/>
        <v>0</v>
      </c>
      <c r="X69" s="755">
        <f t="shared" si="95"/>
        <v>0</v>
      </c>
      <c r="Y69" s="752">
        <f t="shared" si="95"/>
        <v>0</v>
      </c>
      <c r="Z69" s="755">
        <f t="shared" si="95"/>
        <v>0</v>
      </c>
      <c r="AA69" s="755">
        <f t="shared" si="95"/>
        <v>0</v>
      </c>
      <c r="AB69" s="755">
        <f t="shared" si="95"/>
        <v>0</v>
      </c>
      <c r="AC69" s="755">
        <f t="shared" si="95"/>
        <v>0</v>
      </c>
      <c r="AD69" s="755">
        <f t="shared" si="95"/>
        <v>0</v>
      </c>
      <c r="AE69" s="755">
        <f t="shared" si="95"/>
        <v>0</v>
      </c>
      <c r="AF69" s="755">
        <f t="shared" si="95"/>
        <v>0</v>
      </c>
      <c r="AG69" s="755">
        <f t="shared" si="95"/>
        <v>0</v>
      </c>
      <c r="AH69" s="755">
        <f t="shared" si="95"/>
        <v>3601925</v>
      </c>
      <c r="AI69" s="755">
        <f t="shared" si="95"/>
        <v>0</v>
      </c>
      <c r="AJ69" s="755">
        <f t="shared" si="95"/>
        <v>0</v>
      </c>
      <c r="AK69" s="755">
        <f t="shared" si="95"/>
        <v>0</v>
      </c>
      <c r="AL69" s="755">
        <f t="shared" si="95"/>
        <v>0</v>
      </c>
      <c r="AM69" s="755">
        <f t="shared" si="95"/>
        <v>5393798</v>
      </c>
      <c r="AN69" s="755">
        <f t="shared" si="95"/>
        <v>166750</v>
      </c>
      <c r="AO69" s="755">
        <f t="shared" si="95"/>
        <v>0</v>
      </c>
      <c r="AP69" s="755">
        <f t="shared" si="95"/>
        <v>0</v>
      </c>
      <c r="AQ69" s="755">
        <f t="shared" si="95"/>
        <v>0</v>
      </c>
      <c r="AR69" s="755">
        <f t="shared" si="95"/>
        <v>0</v>
      </c>
      <c r="AS69" s="755">
        <f t="shared" si="95"/>
        <v>0</v>
      </c>
      <c r="AT69" s="755">
        <f t="shared" si="95"/>
        <v>0</v>
      </c>
      <c r="AU69" s="755">
        <f t="shared" si="95"/>
        <v>0</v>
      </c>
      <c r="AV69" s="752">
        <f t="shared" si="95"/>
        <v>0</v>
      </c>
      <c r="AW69" s="755">
        <f t="shared" si="95"/>
        <v>0</v>
      </c>
      <c r="AX69" s="757">
        <f t="shared" si="95"/>
        <v>0</v>
      </c>
      <c r="AY69" s="753">
        <f t="shared" ref="AY69:AY132" si="96">SUM(L69:AX69)</f>
        <v>52285556</v>
      </c>
    </row>
    <row r="70" spans="1:51" s="558" customFormat="1" x14ac:dyDescent="0.25">
      <c r="A70" s="740" t="s">
        <v>194</v>
      </c>
      <c r="B70" s="741" t="s">
        <v>241</v>
      </c>
      <c r="C70" s="742">
        <f>'Ber.-felú. - 6. mell.'!C35</f>
        <v>98787800</v>
      </c>
      <c r="D70" s="743">
        <f>'Ber.-felú. - 6. mell.'!D35</f>
        <v>111533827</v>
      </c>
      <c r="E70" s="744">
        <f>'Ber.-felú. - 6. mell.'!E35</f>
        <v>30687451</v>
      </c>
      <c r="F70" s="745">
        <f>'Ber.-felú. - 6. mell.'!F35</f>
        <v>116802877</v>
      </c>
      <c r="G70" s="744">
        <f>'Ber.-felú. - 6. mell.'!G35</f>
        <v>43111763</v>
      </c>
      <c r="H70" s="745">
        <f>'Ber.-felú. - 6. mell.'!H35</f>
        <v>117057203</v>
      </c>
      <c r="I70" s="746">
        <f>'Ber.-felú. - 6. mell.'!I35</f>
        <v>47044109</v>
      </c>
      <c r="J70" s="747">
        <f t="shared" ref="J70:J134" si="97">IF(OR(I70="",I70=0),"",I70/H70)</f>
        <v>0.40188991189205159</v>
      </c>
      <c r="K70" s="1128"/>
      <c r="L70" s="754">
        <v>205401</v>
      </c>
      <c r="M70" s="755">
        <v>134121</v>
      </c>
      <c r="N70" s="755">
        <v>42124711</v>
      </c>
      <c r="O70" s="755"/>
      <c r="P70" s="755"/>
      <c r="Q70" s="756"/>
      <c r="R70" s="755"/>
      <c r="S70" s="755"/>
      <c r="T70" s="751"/>
      <c r="U70" s="755"/>
      <c r="V70" s="755">
        <v>1742440</v>
      </c>
      <c r="W70" s="755"/>
      <c r="X70" s="755"/>
      <c r="Y70" s="752"/>
      <c r="Z70" s="755"/>
      <c r="AA70" s="755">
        <v>83621</v>
      </c>
      <c r="AB70" s="755"/>
      <c r="AC70" s="755">
        <v>486570</v>
      </c>
      <c r="AD70" s="755"/>
      <c r="AE70" s="755">
        <v>47560</v>
      </c>
      <c r="AF70" s="755">
        <v>41400</v>
      </c>
      <c r="AG70" s="755"/>
      <c r="AH70" s="755"/>
      <c r="AI70" s="755"/>
      <c r="AJ70" s="755">
        <v>451085</v>
      </c>
      <c r="AK70" s="755"/>
      <c r="AL70" s="755"/>
      <c r="AM70" s="755"/>
      <c r="AN70" s="755"/>
      <c r="AO70" s="755"/>
      <c r="AP70" s="755"/>
      <c r="AQ70" s="755">
        <v>1727200</v>
      </c>
      <c r="AR70" s="755"/>
      <c r="AS70" s="755"/>
      <c r="AT70" s="755"/>
      <c r="AU70" s="755"/>
      <c r="AV70" s="752"/>
      <c r="AW70" s="755"/>
      <c r="AX70" s="757"/>
      <c r="AY70" s="753">
        <f t="shared" si="96"/>
        <v>47044109</v>
      </c>
    </row>
    <row r="71" spans="1:51" s="558" customFormat="1" x14ac:dyDescent="0.25">
      <c r="A71" s="740" t="s">
        <v>197</v>
      </c>
      <c r="B71" s="741" t="s">
        <v>242</v>
      </c>
      <c r="C71" s="742">
        <f>'Ber.-felú. - 6. mell.'!C53</f>
        <v>37310978</v>
      </c>
      <c r="D71" s="743">
        <f>'Ber.-felú. - 6. mell.'!D53</f>
        <v>44166427</v>
      </c>
      <c r="E71" s="744">
        <f>'Ber.-felú. - 6. mell.'!E53</f>
        <v>8193054</v>
      </c>
      <c r="F71" s="745">
        <f>'Ber.-felú. - 6. mell.'!F53</f>
        <v>47105913</v>
      </c>
      <c r="G71" s="744">
        <f>'Ber.-felú. - 6. mell.'!G53</f>
        <v>39775081</v>
      </c>
      <c r="H71" s="745">
        <f>'Ber.-felú. - 6. mell.'!H53</f>
        <v>64642405</v>
      </c>
      <c r="I71" s="746">
        <f>'Ber.-felú. - 6. mell.'!I53</f>
        <v>41500752</v>
      </c>
      <c r="J71" s="747">
        <f t="shared" si="97"/>
        <v>0.64200507391394246</v>
      </c>
      <c r="K71" s="1128"/>
      <c r="L71" s="754"/>
      <c r="M71" s="755"/>
      <c r="N71" s="755">
        <v>16335060</v>
      </c>
      <c r="O71" s="755"/>
      <c r="P71" s="755"/>
      <c r="Q71" s="756"/>
      <c r="R71" s="755"/>
      <c r="S71" s="755"/>
      <c r="T71" s="751"/>
      <c r="U71" s="755"/>
      <c r="V71" s="755">
        <v>24192491</v>
      </c>
      <c r="W71" s="755"/>
      <c r="X71" s="755"/>
      <c r="Y71" s="752"/>
      <c r="Z71" s="755"/>
      <c r="AA71" s="755"/>
      <c r="AB71" s="755"/>
      <c r="AC71" s="755"/>
      <c r="AD71" s="755"/>
      <c r="AE71" s="755"/>
      <c r="AF71" s="755"/>
      <c r="AG71" s="755"/>
      <c r="AH71" s="755"/>
      <c r="AI71" s="755"/>
      <c r="AJ71" s="755">
        <v>973201</v>
      </c>
      <c r="AK71" s="755"/>
      <c r="AL71" s="755"/>
      <c r="AM71" s="755"/>
      <c r="AN71" s="755"/>
      <c r="AO71" s="755"/>
      <c r="AP71" s="755"/>
      <c r="AQ71" s="755"/>
      <c r="AR71" s="755"/>
      <c r="AS71" s="755"/>
      <c r="AT71" s="755"/>
      <c r="AU71" s="755"/>
      <c r="AV71" s="752"/>
      <c r="AW71" s="755"/>
      <c r="AX71" s="757"/>
      <c r="AY71" s="753">
        <f t="shared" si="96"/>
        <v>41500752</v>
      </c>
    </row>
    <row r="72" spans="1:51" x14ac:dyDescent="0.25">
      <c r="A72" s="453" t="s">
        <v>198</v>
      </c>
      <c r="B72" s="540" t="s">
        <v>244</v>
      </c>
      <c r="C72" s="491">
        <v>0</v>
      </c>
      <c r="D72" s="492">
        <v>0</v>
      </c>
      <c r="E72" s="493">
        <v>0</v>
      </c>
      <c r="F72" s="494">
        <v>0</v>
      </c>
      <c r="G72" s="493">
        <v>0</v>
      </c>
      <c r="H72" s="494">
        <f>'Ber.-felú. - 6. mell.'!H55</f>
        <v>4702651</v>
      </c>
      <c r="I72" s="495">
        <f>'Ber.-felú. - 6. mell.'!I55</f>
        <v>4702651</v>
      </c>
      <c r="J72" s="496">
        <f t="shared" si="97"/>
        <v>1</v>
      </c>
      <c r="K72" s="1127"/>
      <c r="L72" s="459"/>
      <c r="M72" s="460"/>
      <c r="N72" s="460"/>
      <c r="O72" s="460"/>
      <c r="P72" s="460"/>
      <c r="Q72" s="461"/>
      <c r="R72" s="460"/>
      <c r="S72" s="460"/>
      <c r="T72" s="462"/>
      <c r="U72" s="460"/>
      <c r="V72" s="460"/>
      <c r="W72" s="460"/>
      <c r="X72" s="460"/>
      <c r="Y72" s="463"/>
      <c r="Z72" s="460"/>
      <c r="AA72" s="460"/>
      <c r="AB72" s="460"/>
      <c r="AC72" s="460"/>
      <c r="AD72" s="460"/>
      <c r="AE72" s="460"/>
      <c r="AF72" s="460"/>
      <c r="AG72" s="460"/>
      <c r="AH72" s="460">
        <v>4702651</v>
      </c>
      <c r="AI72" s="460"/>
      <c r="AJ72" s="460"/>
      <c r="AK72" s="460"/>
      <c r="AL72" s="460"/>
      <c r="AM72" s="460"/>
      <c r="AN72" s="460"/>
      <c r="AO72" s="460"/>
      <c r="AP72" s="460"/>
      <c r="AQ72" s="460"/>
      <c r="AR72" s="460"/>
      <c r="AS72" s="460"/>
      <c r="AT72" s="460"/>
      <c r="AU72" s="460"/>
      <c r="AV72" s="463"/>
      <c r="AW72" s="460"/>
      <c r="AX72" s="464"/>
      <c r="AY72" s="465">
        <f t="shared" si="96"/>
        <v>4702651</v>
      </c>
    </row>
    <row r="73" spans="1:51" hidden="1" x14ac:dyDescent="0.25">
      <c r="A73" s="453" t="s">
        <v>199</v>
      </c>
      <c r="B73" s="540" t="s">
        <v>245</v>
      </c>
      <c r="C73" s="491">
        <v>0</v>
      </c>
      <c r="D73" s="492">
        <f>C73</f>
        <v>0</v>
      </c>
      <c r="E73" s="493">
        <v>0</v>
      </c>
      <c r="F73" s="494">
        <v>0</v>
      </c>
      <c r="G73" s="493">
        <v>0</v>
      </c>
      <c r="H73" s="494">
        <v>0</v>
      </c>
      <c r="I73" s="495">
        <f t="shared" ref="I73" si="98">AY73</f>
        <v>0</v>
      </c>
      <c r="J73" s="496" t="str">
        <f t="shared" si="97"/>
        <v/>
      </c>
      <c r="K73" s="1127"/>
      <c r="L73" s="459"/>
      <c r="M73" s="460"/>
      <c r="N73" s="460"/>
      <c r="O73" s="460"/>
      <c r="P73" s="460"/>
      <c r="Q73" s="461"/>
      <c r="R73" s="460"/>
      <c r="S73" s="460"/>
      <c r="T73" s="462"/>
      <c r="U73" s="460"/>
      <c r="V73" s="460"/>
      <c r="W73" s="460"/>
      <c r="X73" s="460"/>
      <c r="Y73" s="463"/>
      <c r="Z73" s="460"/>
      <c r="AA73" s="460"/>
      <c r="AB73" s="460"/>
      <c r="AC73" s="460"/>
      <c r="AD73" s="460"/>
      <c r="AE73" s="460"/>
      <c r="AF73" s="460"/>
      <c r="AG73" s="460"/>
      <c r="AH73" s="460"/>
      <c r="AI73" s="460"/>
      <c r="AJ73" s="460"/>
      <c r="AK73" s="460"/>
      <c r="AL73" s="460"/>
      <c r="AM73" s="460"/>
      <c r="AN73" s="460"/>
      <c r="AO73" s="460"/>
      <c r="AP73" s="460"/>
      <c r="AQ73" s="460"/>
      <c r="AR73" s="460"/>
      <c r="AS73" s="460"/>
      <c r="AT73" s="460"/>
      <c r="AU73" s="460"/>
      <c r="AV73" s="463"/>
      <c r="AW73" s="460"/>
      <c r="AX73" s="464"/>
      <c r="AY73" s="465">
        <f t="shared" si="96"/>
        <v>0</v>
      </c>
    </row>
    <row r="74" spans="1:51" x14ac:dyDescent="0.25">
      <c r="A74" s="453" t="s">
        <v>674</v>
      </c>
      <c r="B74" s="540" t="s">
        <v>246</v>
      </c>
      <c r="C74" s="491">
        <f>'Ber.-felú. - 6. mell.'!C58</f>
        <v>0</v>
      </c>
      <c r="D74" s="492">
        <f>'Ber.-felú. - 6. mell.'!D58</f>
        <v>0</v>
      </c>
      <c r="E74" s="493">
        <f>'Ber.-felú. - 6. mell.'!E58</f>
        <v>0</v>
      </c>
      <c r="F74" s="494">
        <f>'Ber.-felú. - 6. mell.'!F58</f>
        <v>0</v>
      </c>
      <c r="G74" s="493">
        <f>'Ber.-felú. - 6. mell.'!G58</f>
        <v>0</v>
      </c>
      <c r="H74" s="494">
        <f>'Ber.-felú. - 6. mell.'!H58</f>
        <v>1692551</v>
      </c>
      <c r="I74" s="495">
        <f>'Ber.-felú. - 6. mell.'!I58</f>
        <v>1692551</v>
      </c>
      <c r="J74" s="496">
        <f t="shared" si="97"/>
        <v>1</v>
      </c>
      <c r="K74" s="1127"/>
      <c r="L74" s="459">
        <v>100000</v>
      </c>
      <c r="M74" s="460"/>
      <c r="N74" s="460"/>
      <c r="O74" s="460"/>
      <c r="P74" s="460"/>
      <c r="Q74" s="461"/>
      <c r="R74" s="460"/>
      <c r="S74" s="460"/>
      <c r="T74" s="462"/>
      <c r="U74" s="460"/>
      <c r="V74" s="460"/>
      <c r="W74" s="460"/>
      <c r="X74" s="460"/>
      <c r="Y74" s="463"/>
      <c r="Z74" s="460"/>
      <c r="AA74" s="460"/>
      <c r="AB74" s="460"/>
      <c r="AC74" s="460"/>
      <c r="AD74" s="460"/>
      <c r="AE74" s="460"/>
      <c r="AF74" s="460"/>
      <c r="AG74" s="460"/>
      <c r="AH74" s="460">
        <v>1592551</v>
      </c>
      <c r="AI74" s="460"/>
      <c r="AJ74" s="460"/>
      <c r="AK74" s="460"/>
      <c r="AL74" s="460"/>
      <c r="AM74" s="460"/>
      <c r="AN74" s="460"/>
      <c r="AO74" s="460"/>
      <c r="AP74" s="460"/>
      <c r="AQ74" s="460"/>
      <c r="AR74" s="460"/>
      <c r="AS74" s="460"/>
      <c r="AT74" s="460"/>
      <c r="AU74" s="460"/>
      <c r="AV74" s="463"/>
      <c r="AW74" s="460"/>
      <c r="AX74" s="464"/>
      <c r="AY74" s="465">
        <f t="shared" si="96"/>
        <v>1692551</v>
      </c>
    </row>
    <row r="75" spans="1:51" s="558" customFormat="1" ht="16.5" thickBot="1" x14ac:dyDescent="0.3">
      <c r="A75" s="758" t="s">
        <v>201</v>
      </c>
      <c r="B75" s="759" t="s">
        <v>243</v>
      </c>
      <c r="C75" s="760">
        <f t="shared" ref="C75" si="99">SUM(C72:C74)</f>
        <v>0</v>
      </c>
      <c r="D75" s="761">
        <f t="shared" ref="D75" si="100">SUM(D72:D74)</f>
        <v>0</v>
      </c>
      <c r="E75" s="762">
        <f t="shared" ref="E75" si="101">SUM(E72:E74)</f>
        <v>0</v>
      </c>
      <c r="F75" s="763">
        <f t="shared" ref="F75" si="102">SUM(F72:F74)</f>
        <v>0</v>
      </c>
      <c r="G75" s="762">
        <f t="shared" ref="G75" si="103">SUM(G72:G74)</f>
        <v>0</v>
      </c>
      <c r="H75" s="763">
        <f t="shared" ref="H75" si="104">SUM(H72:H74)</f>
        <v>6395202</v>
      </c>
      <c r="I75" s="764">
        <f t="shared" ref="I75" si="105">SUM(I72:I74)</f>
        <v>6395202</v>
      </c>
      <c r="J75" s="765">
        <f t="shared" si="97"/>
        <v>1</v>
      </c>
      <c r="K75" s="1128"/>
      <c r="L75" s="766">
        <f t="shared" ref="L75:AX75" si="106">SUM(L72:L74)</f>
        <v>100000</v>
      </c>
      <c r="M75" s="767">
        <f t="shared" si="106"/>
        <v>0</v>
      </c>
      <c r="N75" s="767">
        <f t="shared" si="106"/>
        <v>0</v>
      </c>
      <c r="O75" s="767">
        <f t="shared" si="106"/>
        <v>0</v>
      </c>
      <c r="P75" s="767">
        <f t="shared" si="106"/>
        <v>0</v>
      </c>
      <c r="Q75" s="768">
        <f t="shared" si="106"/>
        <v>0</v>
      </c>
      <c r="R75" s="767">
        <f t="shared" si="106"/>
        <v>0</v>
      </c>
      <c r="S75" s="767">
        <f t="shared" si="106"/>
        <v>0</v>
      </c>
      <c r="T75" s="769">
        <f t="shared" si="106"/>
        <v>0</v>
      </c>
      <c r="U75" s="767">
        <f t="shared" si="106"/>
        <v>0</v>
      </c>
      <c r="V75" s="767">
        <f t="shared" si="106"/>
        <v>0</v>
      </c>
      <c r="W75" s="767">
        <f t="shared" si="106"/>
        <v>0</v>
      </c>
      <c r="X75" s="767">
        <f t="shared" si="106"/>
        <v>0</v>
      </c>
      <c r="Y75" s="770">
        <f t="shared" si="106"/>
        <v>0</v>
      </c>
      <c r="Z75" s="767">
        <f t="shared" si="106"/>
        <v>0</v>
      </c>
      <c r="AA75" s="767">
        <f t="shared" si="106"/>
        <v>0</v>
      </c>
      <c r="AB75" s="767">
        <f t="shared" si="106"/>
        <v>0</v>
      </c>
      <c r="AC75" s="767">
        <f t="shared" si="106"/>
        <v>0</v>
      </c>
      <c r="AD75" s="767">
        <f t="shared" si="106"/>
        <v>0</v>
      </c>
      <c r="AE75" s="767">
        <f t="shared" si="106"/>
        <v>0</v>
      </c>
      <c r="AF75" s="767">
        <f t="shared" si="106"/>
        <v>0</v>
      </c>
      <c r="AG75" s="767">
        <f t="shared" si="106"/>
        <v>0</v>
      </c>
      <c r="AH75" s="767">
        <f t="shared" si="106"/>
        <v>6295202</v>
      </c>
      <c r="AI75" s="767">
        <f t="shared" si="106"/>
        <v>0</v>
      </c>
      <c r="AJ75" s="767">
        <f t="shared" si="106"/>
        <v>0</v>
      </c>
      <c r="AK75" s="767">
        <f t="shared" si="106"/>
        <v>0</v>
      </c>
      <c r="AL75" s="767">
        <f t="shared" si="106"/>
        <v>0</v>
      </c>
      <c r="AM75" s="767">
        <f t="shared" si="106"/>
        <v>0</v>
      </c>
      <c r="AN75" s="767">
        <f t="shared" si="106"/>
        <v>0</v>
      </c>
      <c r="AO75" s="767">
        <f t="shared" si="106"/>
        <v>0</v>
      </c>
      <c r="AP75" s="767">
        <f t="shared" si="106"/>
        <v>0</v>
      </c>
      <c r="AQ75" s="767">
        <f t="shared" si="106"/>
        <v>0</v>
      </c>
      <c r="AR75" s="767">
        <f t="shared" si="106"/>
        <v>0</v>
      </c>
      <c r="AS75" s="767">
        <f t="shared" si="106"/>
        <v>0</v>
      </c>
      <c r="AT75" s="767">
        <f t="shared" si="106"/>
        <v>0</v>
      </c>
      <c r="AU75" s="767">
        <f t="shared" si="106"/>
        <v>0</v>
      </c>
      <c r="AV75" s="770">
        <f t="shared" si="106"/>
        <v>0</v>
      </c>
      <c r="AW75" s="767">
        <f t="shared" si="106"/>
        <v>0</v>
      </c>
      <c r="AX75" s="771">
        <f t="shared" si="106"/>
        <v>0</v>
      </c>
      <c r="AY75" s="772">
        <f t="shared" si="96"/>
        <v>6395202</v>
      </c>
    </row>
    <row r="76" spans="1:51" ht="16.5" thickBot="1" x14ac:dyDescent="0.3">
      <c r="A76" s="1357" t="s">
        <v>570</v>
      </c>
      <c r="B76" s="1358"/>
      <c r="C76" s="498">
        <f t="shared" ref="C76" si="107">SUM(C22,C28,C62,C63,C69,C70,C71,C75)</f>
        <v>363752728</v>
      </c>
      <c r="D76" s="499">
        <f t="shared" ref="D76" si="108">SUM(D22,D28,D62,D63,D69,D70,D71,D75)</f>
        <v>389517413</v>
      </c>
      <c r="E76" s="500">
        <f t="shared" ref="E76" si="109">SUM(E22,E28,E62,E63,E69,E70,E71,E75)</f>
        <v>124630944</v>
      </c>
      <c r="F76" s="501">
        <f t="shared" ref="F76" si="110">SUM(F22,F28,F62,F63,F69,F70,F71,F75)</f>
        <v>392486899</v>
      </c>
      <c r="G76" s="500">
        <f t="shared" ref="G76" si="111">SUM(G22,G28,G62,G63,G69,G70,G71,G75)</f>
        <v>216203719</v>
      </c>
      <c r="H76" s="501">
        <f t="shared" ref="H76" si="112">SUM(H22,H28,H62,H63,H69,H70,H71,H75)</f>
        <v>418243790</v>
      </c>
      <c r="I76" s="502">
        <f t="shared" ref="I76" si="113">SUM(I22,I28,I62,I63,I69,I70,I71,I75)</f>
        <v>284139272</v>
      </c>
      <c r="J76" s="503">
        <f t="shared" si="97"/>
        <v>0.67936279938549715</v>
      </c>
      <c r="K76" s="1127"/>
      <c r="L76" s="504">
        <f t="shared" ref="L76:AX76" si="114">SUM(L22,L28,L62,L63,L69,L70,L71,L75)</f>
        <v>33964084</v>
      </c>
      <c r="M76" s="505">
        <f t="shared" si="114"/>
        <v>3605644</v>
      </c>
      <c r="N76" s="505">
        <f t="shared" si="114"/>
        <v>67838416</v>
      </c>
      <c r="O76" s="505">
        <f t="shared" si="114"/>
        <v>156940</v>
      </c>
      <c r="P76" s="505">
        <f t="shared" si="114"/>
        <v>5039239</v>
      </c>
      <c r="Q76" s="506">
        <f t="shared" si="114"/>
        <v>18168533</v>
      </c>
      <c r="R76" s="505">
        <f t="shared" si="114"/>
        <v>18399882</v>
      </c>
      <c r="S76" s="505">
        <f t="shared" si="114"/>
        <v>3810375</v>
      </c>
      <c r="T76" s="507">
        <f t="shared" si="114"/>
        <v>3347511</v>
      </c>
      <c r="U76" s="505">
        <f t="shared" si="114"/>
        <v>0</v>
      </c>
      <c r="V76" s="505">
        <f t="shared" si="114"/>
        <v>29171116</v>
      </c>
      <c r="W76" s="505">
        <f t="shared" si="114"/>
        <v>132080</v>
      </c>
      <c r="X76" s="505">
        <f t="shared" si="114"/>
        <v>1950770</v>
      </c>
      <c r="Y76" s="507">
        <f t="shared" si="114"/>
        <v>0</v>
      </c>
      <c r="Z76" s="505">
        <f t="shared" si="114"/>
        <v>5461798</v>
      </c>
      <c r="AA76" s="505">
        <f t="shared" si="114"/>
        <v>13097163</v>
      </c>
      <c r="AB76" s="505">
        <f t="shared" si="114"/>
        <v>654668</v>
      </c>
      <c r="AC76" s="505">
        <f t="shared" si="114"/>
        <v>17784602</v>
      </c>
      <c r="AD76" s="505">
        <f t="shared" si="114"/>
        <v>0</v>
      </c>
      <c r="AE76" s="505">
        <f t="shared" si="114"/>
        <v>850111</v>
      </c>
      <c r="AF76" s="505">
        <f t="shared" si="114"/>
        <v>1100581</v>
      </c>
      <c r="AG76" s="505">
        <f t="shared" si="114"/>
        <v>101878</v>
      </c>
      <c r="AH76" s="505">
        <f t="shared" si="114"/>
        <v>9897127</v>
      </c>
      <c r="AI76" s="505">
        <f t="shared" si="114"/>
        <v>1137285</v>
      </c>
      <c r="AJ76" s="505">
        <f t="shared" si="114"/>
        <v>16120920</v>
      </c>
      <c r="AK76" s="505">
        <f t="shared" si="114"/>
        <v>716203</v>
      </c>
      <c r="AL76" s="505">
        <f t="shared" si="114"/>
        <v>457200</v>
      </c>
      <c r="AM76" s="505">
        <f t="shared" si="114"/>
        <v>5393798</v>
      </c>
      <c r="AN76" s="505">
        <f t="shared" si="114"/>
        <v>166750</v>
      </c>
      <c r="AO76" s="505">
        <f t="shared" si="114"/>
        <v>0</v>
      </c>
      <c r="AP76" s="505">
        <f t="shared" si="114"/>
        <v>0</v>
      </c>
      <c r="AQ76" s="505">
        <f t="shared" si="114"/>
        <v>4085354</v>
      </c>
      <c r="AR76" s="505">
        <f t="shared" si="114"/>
        <v>1914469</v>
      </c>
      <c r="AS76" s="505">
        <f t="shared" si="114"/>
        <v>360000</v>
      </c>
      <c r="AT76" s="505">
        <f t="shared" si="114"/>
        <v>11486910</v>
      </c>
      <c r="AU76" s="505">
        <f t="shared" si="114"/>
        <v>7744871</v>
      </c>
      <c r="AV76" s="507">
        <f t="shared" si="114"/>
        <v>0</v>
      </c>
      <c r="AW76" s="505">
        <f t="shared" si="114"/>
        <v>22994</v>
      </c>
      <c r="AX76" s="508">
        <f t="shared" si="114"/>
        <v>0</v>
      </c>
      <c r="AY76" s="509">
        <f t="shared" si="96"/>
        <v>284139272</v>
      </c>
    </row>
    <row r="77" spans="1:51" x14ac:dyDescent="0.25">
      <c r="A77" s="446" t="s">
        <v>471</v>
      </c>
      <c r="B77" s="447" t="s">
        <v>472</v>
      </c>
      <c r="C77" s="510">
        <v>524833</v>
      </c>
      <c r="D77" s="511">
        <f>C77</f>
        <v>524833</v>
      </c>
      <c r="E77" s="512">
        <v>524833</v>
      </c>
      <c r="F77" s="513">
        <v>524833</v>
      </c>
      <c r="G77" s="512">
        <v>524833</v>
      </c>
      <c r="H77" s="513">
        <v>524833</v>
      </c>
      <c r="I77" s="514">
        <f t="shared" ref="I77:I79" si="115">AY77</f>
        <v>524833</v>
      </c>
      <c r="J77" s="515">
        <f t="shared" si="97"/>
        <v>1</v>
      </c>
      <c r="K77" s="1127"/>
      <c r="L77" s="910"/>
      <c r="M77" s="911"/>
      <c r="N77" s="911"/>
      <c r="O77" s="911"/>
      <c r="P77" s="911"/>
      <c r="Q77" s="912">
        <v>524833</v>
      </c>
      <c r="R77" s="911"/>
      <c r="S77" s="911"/>
      <c r="T77" s="931"/>
      <c r="U77" s="911"/>
      <c r="V77" s="911"/>
      <c r="W77" s="911"/>
      <c r="X77" s="911"/>
      <c r="Y77" s="932"/>
      <c r="Z77" s="911"/>
      <c r="AA77" s="911"/>
      <c r="AB77" s="911"/>
      <c r="AC77" s="911"/>
      <c r="AD77" s="911"/>
      <c r="AE77" s="911"/>
      <c r="AF77" s="911"/>
      <c r="AG77" s="911"/>
      <c r="AH77" s="911"/>
      <c r="AI77" s="911"/>
      <c r="AJ77" s="911"/>
      <c r="AK77" s="911"/>
      <c r="AL77" s="911"/>
      <c r="AM77" s="911"/>
      <c r="AN77" s="911"/>
      <c r="AO77" s="911"/>
      <c r="AP77" s="911"/>
      <c r="AQ77" s="911"/>
      <c r="AR77" s="911"/>
      <c r="AS77" s="911"/>
      <c r="AT77" s="911"/>
      <c r="AU77" s="911"/>
      <c r="AV77" s="932"/>
      <c r="AW77" s="911"/>
      <c r="AX77" s="916"/>
      <c r="AY77" s="516">
        <f t="shared" si="96"/>
        <v>524833</v>
      </c>
    </row>
    <row r="78" spans="1:51" x14ac:dyDescent="0.25">
      <c r="A78" s="453" t="s">
        <v>236</v>
      </c>
      <c r="B78" s="454" t="s">
        <v>61</v>
      </c>
      <c r="C78" s="491">
        <v>69183233</v>
      </c>
      <c r="D78" s="492">
        <v>69201874</v>
      </c>
      <c r="E78" s="493">
        <v>30592654</v>
      </c>
      <c r="F78" s="494">
        <v>69212153</v>
      </c>
      <c r="G78" s="493">
        <v>43604709</v>
      </c>
      <c r="H78" s="494">
        <v>69222376</v>
      </c>
      <c r="I78" s="495">
        <f t="shared" si="115"/>
        <v>63235426</v>
      </c>
      <c r="J78" s="496">
        <f t="shared" si="97"/>
        <v>0.91351134783353871</v>
      </c>
      <c r="K78" s="1127"/>
      <c r="L78" s="459"/>
      <c r="M78" s="460"/>
      <c r="N78" s="460"/>
      <c r="O78" s="460"/>
      <c r="P78" s="460"/>
      <c r="Q78" s="461"/>
      <c r="R78" s="460">
        <v>63235426</v>
      </c>
      <c r="S78" s="460"/>
      <c r="T78" s="462"/>
      <c r="U78" s="460"/>
      <c r="V78" s="460"/>
      <c r="W78" s="460"/>
      <c r="X78" s="460"/>
      <c r="Y78" s="463"/>
      <c r="Z78" s="460"/>
      <c r="AA78" s="460"/>
      <c r="AB78" s="460"/>
      <c r="AC78" s="460"/>
      <c r="AD78" s="460"/>
      <c r="AE78" s="460"/>
      <c r="AF78" s="460"/>
      <c r="AG78" s="460"/>
      <c r="AH78" s="460"/>
      <c r="AI78" s="460"/>
      <c r="AJ78" s="460"/>
      <c r="AK78" s="460"/>
      <c r="AL78" s="460"/>
      <c r="AM78" s="460"/>
      <c r="AN78" s="460"/>
      <c r="AO78" s="460"/>
      <c r="AP78" s="460"/>
      <c r="AQ78" s="460"/>
      <c r="AR78" s="460"/>
      <c r="AS78" s="460"/>
      <c r="AT78" s="460"/>
      <c r="AU78" s="460"/>
      <c r="AV78" s="463"/>
      <c r="AW78" s="460"/>
      <c r="AX78" s="464"/>
      <c r="AY78" s="465">
        <f t="shared" si="96"/>
        <v>63235426</v>
      </c>
    </row>
    <row r="79" spans="1:51" x14ac:dyDescent="0.25">
      <c r="A79" s="517" t="s">
        <v>469</v>
      </c>
      <c r="B79" s="518" t="s">
        <v>673</v>
      </c>
      <c r="C79" s="519">
        <v>332434</v>
      </c>
      <c r="D79" s="492">
        <v>332434</v>
      </c>
      <c r="E79" s="933">
        <v>85163</v>
      </c>
      <c r="F79" s="494">
        <v>85163</v>
      </c>
      <c r="G79" s="933">
        <v>85163</v>
      </c>
      <c r="H79" s="494">
        <v>85163</v>
      </c>
      <c r="I79" s="520">
        <f t="shared" si="115"/>
        <v>85163</v>
      </c>
      <c r="J79" s="521">
        <f t="shared" si="97"/>
        <v>1</v>
      </c>
      <c r="K79" s="1127"/>
      <c r="L79" s="459"/>
      <c r="M79" s="460"/>
      <c r="N79" s="460"/>
      <c r="O79" s="460"/>
      <c r="P79" s="460"/>
      <c r="Q79" s="461"/>
      <c r="R79" s="460"/>
      <c r="S79" s="460"/>
      <c r="T79" s="462"/>
      <c r="U79" s="460"/>
      <c r="V79" s="460"/>
      <c r="W79" s="460"/>
      <c r="X79" s="460"/>
      <c r="Y79" s="463"/>
      <c r="Z79" s="460"/>
      <c r="AA79" s="460"/>
      <c r="AB79" s="460"/>
      <c r="AC79" s="460"/>
      <c r="AD79" s="460"/>
      <c r="AE79" s="460"/>
      <c r="AF79" s="460"/>
      <c r="AG79" s="460"/>
      <c r="AH79" s="460"/>
      <c r="AI79" s="460"/>
      <c r="AJ79" s="460"/>
      <c r="AK79" s="460"/>
      <c r="AL79" s="460"/>
      <c r="AM79" s="460"/>
      <c r="AN79" s="460"/>
      <c r="AO79" s="460"/>
      <c r="AP79" s="460"/>
      <c r="AQ79" s="460"/>
      <c r="AR79" s="460"/>
      <c r="AS79" s="460"/>
      <c r="AT79" s="460"/>
      <c r="AU79" s="460"/>
      <c r="AV79" s="463"/>
      <c r="AW79" s="460">
        <v>85163</v>
      </c>
      <c r="AX79" s="464"/>
      <c r="AY79" s="465">
        <f t="shared" si="96"/>
        <v>85163</v>
      </c>
    </row>
    <row r="80" spans="1:51" s="558" customFormat="1" ht="16.5" thickBot="1" x14ac:dyDescent="0.3">
      <c r="A80" s="758" t="s">
        <v>345</v>
      </c>
      <c r="B80" s="759" t="s">
        <v>572</v>
      </c>
      <c r="C80" s="760">
        <f t="shared" ref="C80" si="116">SUM(C77:C79)</f>
        <v>70040500</v>
      </c>
      <c r="D80" s="761">
        <f t="shared" ref="D80" si="117">SUM(D77:D79)</f>
        <v>70059141</v>
      </c>
      <c r="E80" s="762">
        <f t="shared" ref="E80" si="118">SUM(E77:E79)</f>
        <v>31202650</v>
      </c>
      <c r="F80" s="763">
        <f t="shared" ref="F80" si="119">SUM(F77:F79)</f>
        <v>69822149</v>
      </c>
      <c r="G80" s="762">
        <f t="shared" ref="G80" si="120">SUM(G77:G79)</f>
        <v>44214705</v>
      </c>
      <c r="H80" s="763">
        <f t="shared" ref="H80" si="121">SUM(H77:H79)</f>
        <v>69832372</v>
      </c>
      <c r="I80" s="764">
        <f t="shared" ref="I80" si="122">SUM(I77:I79)</f>
        <v>63845422</v>
      </c>
      <c r="J80" s="765">
        <f t="shared" si="97"/>
        <v>0.9142668388809706</v>
      </c>
      <c r="K80" s="1128"/>
      <c r="L80" s="766">
        <f t="shared" ref="L80:AX80" si="123">SUM(L77:L79)</f>
        <v>0</v>
      </c>
      <c r="M80" s="767">
        <f t="shared" si="123"/>
        <v>0</v>
      </c>
      <c r="N80" s="767">
        <f t="shared" si="123"/>
        <v>0</v>
      </c>
      <c r="O80" s="767">
        <f t="shared" si="123"/>
        <v>0</v>
      </c>
      <c r="P80" s="767">
        <f t="shared" si="123"/>
        <v>0</v>
      </c>
      <c r="Q80" s="768">
        <f t="shared" si="123"/>
        <v>524833</v>
      </c>
      <c r="R80" s="767">
        <f t="shared" si="123"/>
        <v>63235426</v>
      </c>
      <c r="S80" s="767">
        <f t="shared" si="123"/>
        <v>0</v>
      </c>
      <c r="T80" s="769">
        <f t="shared" si="123"/>
        <v>0</v>
      </c>
      <c r="U80" s="767">
        <f t="shared" si="123"/>
        <v>0</v>
      </c>
      <c r="V80" s="767">
        <f t="shared" si="123"/>
        <v>0</v>
      </c>
      <c r="W80" s="767">
        <f t="shared" si="123"/>
        <v>0</v>
      </c>
      <c r="X80" s="767">
        <f t="shared" si="123"/>
        <v>0</v>
      </c>
      <c r="Y80" s="770">
        <f t="shared" si="123"/>
        <v>0</v>
      </c>
      <c r="Z80" s="767">
        <f t="shared" si="123"/>
        <v>0</v>
      </c>
      <c r="AA80" s="767">
        <f t="shared" si="123"/>
        <v>0</v>
      </c>
      <c r="AB80" s="767">
        <f t="shared" si="123"/>
        <v>0</v>
      </c>
      <c r="AC80" s="767">
        <f t="shared" si="123"/>
        <v>0</v>
      </c>
      <c r="AD80" s="767">
        <f t="shared" si="123"/>
        <v>0</v>
      </c>
      <c r="AE80" s="767">
        <f t="shared" si="123"/>
        <v>0</v>
      </c>
      <c r="AF80" s="767">
        <f t="shared" si="123"/>
        <v>0</v>
      </c>
      <c r="AG80" s="767">
        <f t="shared" si="123"/>
        <v>0</v>
      </c>
      <c r="AH80" s="767">
        <f t="shared" si="123"/>
        <v>0</v>
      </c>
      <c r="AI80" s="767">
        <f t="shared" si="123"/>
        <v>0</v>
      </c>
      <c r="AJ80" s="767">
        <f t="shared" si="123"/>
        <v>0</v>
      </c>
      <c r="AK80" s="767">
        <f t="shared" si="123"/>
        <v>0</v>
      </c>
      <c r="AL80" s="767">
        <f t="shared" si="123"/>
        <v>0</v>
      </c>
      <c r="AM80" s="767">
        <f t="shared" si="123"/>
        <v>0</v>
      </c>
      <c r="AN80" s="767">
        <f t="shared" si="123"/>
        <v>0</v>
      </c>
      <c r="AO80" s="767">
        <f t="shared" si="123"/>
        <v>0</v>
      </c>
      <c r="AP80" s="767">
        <f t="shared" si="123"/>
        <v>0</v>
      </c>
      <c r="AQ80" s="767">
        <f t="shared" si="123"/>
        <v>0</v>
      </c>
      <c r="AR80" s="767">
        <f t="shared" si="123"/>
        <v>0</v>
      </c>
      <c r="AS80" s="767">
        <f t="shared" si="123"/>
        <v>0</v>
      </c>
      <c r="AT80" s="767">
        <f t="shared" si="123"/>
        <v>0</v>
      </c>
      <c r="AU80" s="767">
        <f t="shared" si="123"/>
        <v>0</v>
      </c>
      <c r="AV80" s="770">
        <f t="shared" si="123"/>
        <v>0</v>
      </c>
      <c r="AW80" s="767">
        <f t="shared" si="123"/>
        <v>85163</v>
      </c>
      <c r="AX80" s="771">
        <f t="shared" si="123"/>
        <v>0</v>
      </c>
      <c r="AY80" s="772">
        <f t="shared" si="96"/>
        <v>63845422</v>
      </c>
    </row>
    <row r="81" spans="1:51" s="534" customFormat="1" ht="17.25" thickBot="1" x14ac:dyDescent="0.3">
      <c r="A81" s="1355" t="s">
        <v>571</v>
      </c>
      <c r="B81" s="1356"/>
      <c r="C81" s="522">
        <f t="shared" ref="C81" si="124">C76+C80</f>
        <v>433793228</v>
      </c>
      <c r="D81" s="523">
        <f t="shared" ref="D81" si="125">D76+D80</f>
        <v>459576554</v>
      </c>
      <c r="E81" s="524">
        <f t="shared" ref="E81" si="126">E76+E80</f>
        <v>155833594</v>
      </c>
      <c r="F81" s="525">
        <f t="shared" ref="F81" si="127">F76+F80</f>
        <v>462309048</v>
      </c>
      <c r="G81" s="526">
        <f t="shared" ref="G81" si="128">G76+G80</f>
        <v>260418424</v>
      </c>
      <c r="H81" s="525">
        <f t="shared" ref="H81" si="129">H76+H80</f>
        <v>488076162</v>
      </c>
      <c r="I81" s="527">
        <f t="shared" ref="I81" si="130">I76+I80</f>
        <v>347984694</v>
      </c>
      <c r="J81" s="528">
        <f t="shared" si="97"/>
        <v>0.71297211601987642</v>
      </c>
      <c r="K81" s="1129"/>
      <c r="L81" s="529">
        <f t="shared" ref="L81:AX81" si="131">L76+L80</f>
        <v>33964084</v>
      </c>
      <c r="M81" s="530">
        <f t="shared" si="131"/>
        <v>3605644</v>
      </c>
      <c r="N81" s="530">
        <f t="shared" si="131"/>
        <v>67838416</v>
      </c>
      <c r="O81" s="530">
        <f t="shared" si="131"/>
        <v>156940</v>
      </c>
      <c r="P81" s="530">
        <f t="shared" si="131"/>
        <v>5039239</v>
      </c>
      <c r="Q81" s="531">
        <f t="shared" si="131"/>
        <v>18693366</v>
      </c>
      <c r="R81" s="530">
        <f t="shared" si="131"/>
        <v>81635308</v>
      </c>
      <c r="S81" s="530">
        <f t="shared" si="131"/>
        <v>3810375</v>
      </c>
      <c r="T81" s="532">
        <f t="shared" si="131"/>
        <v>3347511</v>
      </c>
      <c r="U81" s="530">
        <f t="shared" si="131"/>
        <v>0</v>
      </c>
      <c r="V81" s="530">
        <f t="shared" si="131"/>
        <v>29171116</v>
      </c>
      <c r="W81" s="530">
        <f t="shared" si="131"/>
        <v>132080</v>
      </c>
      <c r="X81" s="530">
        <f t="shared" si="131"/>
        <v>1950770</v>
      </c>
      <c r="Y81" s="532">
        <f t="shared" si="131"/>
        <v>0</v>
      </c>
      <c r="Z81" s="530">
        <f t="shared" si="131"/>
        <v>5461798</v>
      </c>
      <c r="AA81" s="530">
        <f t="shared" si="131"/>
        <v>13097163</v>
      </c>
      <c r="AB81" s="530">
        <f t="shared" si="131"/>
        <v>654668</v>
      </c>
      <c r="AC81" s="530">
        <f t="shared" si="131"/>
        <v>17784602</v>
      </c>
      <c r="AD81" s="530">
        <f t="shared" si="131"/>
        <v>0</v>
      </c>
      <c r="AE81" s="530">
        <f t="shared" si="131"/>
        <v>850111</v>
      </c>
      <c r="AF81" s="530">
        <f t="shared" si="131"/>
        <v>1100581</v>
      </c>
      <c r="AG81" s="530">
        <f t="shared" si="131"/>
        <v>101878</v>
      </c>
      <c r="AH81" s="530">
        <f t="shared" si="131"/>
        <v>9897127</v>
      </c>
      <c r="AI81" s="530">
        <f t="shared" si="131"/>
        <v>1137285</v>
      </c>
      <c r="AJ81" s="530">
        <f t="shared" si="131"/>
        <v>16120920</v>
      </c>
      <c r="AK81" s="530">
        <f t="shared" si="131"/>
        <v>716203</v>
      </c>
      <c r="AL81" s="530">
        <f t="shared" si="131"/>
        <v>457200</v>
      </c>
      <c r="AM81" s="530">
        <f t="shared" si="131"/>
        <v>5393798</v>
      </c>
      <c r="AN81" s="530">
        <f t="shared" si="131"/>
        <v>166750</v>
      </c>
      <c r="AO81" s="530">
        <f t="shared" si="131"/>
        <v>0</v>
      </c>
      <c r="AP81" s="530">
        <f t="shared" si="131"/>
        <v>0</v>
      </c>
      <c r="AQ81" s="530">
        <f t="shared" si="131"/>
        <v>4085354</v>
      </c>
      <c r="AR81" s="530">
        <f t="shared" si="131"/>
        <v>1914469</v>
      </c>
      <c r="AS81" s="530">
        <f t="shared" si="131"/>
        <v>360000</v>
      </c>
      <c r="AT81" s="530">
        <f t="shared" si="131"/>
        <v>11486910</v>
      </c>
      <c r="AU81" s="530">
        <f t="shared" si="131"/>
        <v>7744871</v>
      </c>
      <c r="AV81" s="532">
        <f t="shared" si="131"/>
        <v>0</v>
      </c>
      <c r="AW81" s="530">
        <f t="shared" si="131"/>
        <v>108157</v>
      </c>
      <c r="AX81" s="527">
        <f t="shared" si="131"/>
        <v>0</v>
      </c>
      <c r="AY81" s="533">
        <f t="shared" si="96"/>
        <v>347984694</v>
      </c>
    </row>
    <row r="82" spans="1:51" s="789" customFormat="1" ht="16.5" thickBot="1" x14ac:dyDescent="0.3">
      <c r="A82" s="783"/>
      <c r="B82" s="783"/>
      <c r="C82" s="784"/>
      <c r="D82" s="784"/>
      <c r="E82" s="784"/>
      <c r="F82" s="784"/>
      <c r="G82" s="784"/>
      <c r="H82" s="784"/>
      <c r="I82" s="784"/>
      <c r="J82" s="785"/>
      <c r="K82" s="1130"/>
      <c r="L82" s="786"/>
      <c r="M82" s="786"/>
      <c r="N82" s="786"/>
      <c r="O82" s="786"/>
      <c r="P82" s="786"/>
      <c r="Q82" s="787"/>
      <c r="R82" s="786"/>
      <c r="S82" s="786"/>
      <c r="T82" s="788"/>
      <c r="U82" s="786"/>
      <c r="V82" s="786"/>
      <c r="W82" s="786"/>
      <c r="X82" s="786"/>
      <c r="Y82" s="788"/>
      <c r="Z82" s="786"/>
      <c r="AA82" s="786"/>
      <c r="AB82" s="786"/>
      <c r="AC82" s="786"/>
      <c r="AD82" s="786"/>
      <c r="AE82" s="786"/>
      <c r="AF82" s="786"/>
      <c r="AG82" s="786"/>
      <c r="AH82" s="786"/>
      <c r="AI82" s="786"/>
      <c r="AJ82" s="786"/>
      <c r="AK82" s="786"/>
      <c r="AL82" s="786"/>
      <c r="AM82" s="786"/>
      <c r="AN82" s="786"/>
      <c r="AO82" s="786"/>
      <c r="AP82" s="786"/>
      <c r="AQ82" s="786"/>
      <c r="AR82" s="786"/>
      <c r="AS82" s="786"/>
      <c r="AT82" s="786"/>
      <c r="AU82" s="786"/>
      <c r="AV82" s="788"/>
      <c r="AW82" s="786"/>
      <c r="AX82" s="786"/>
      <c r="AY82" s="788"/>
    </row>
    <row r="83" spans="1:51" x14ac:dyDescent="0.25">
      <c r="A83" s="701" t="s">
        <v>312</v>
      </c>
      <c r="B83" s="702" t="s">
        <v>318</v>
      </c>
      <c r="C83" s="703">
        <f>'Állami - 5. mell.'!C13</f>
        <v>0</v>
      </c>
      <c r="D83" s="704">
        <f>'Állami - 5. mell.'!D13</f>
        <v>138619</v>
      </c>
      <c r="E83" s="705">
        <f>'Állami - 5. mell.'!E13</f>
        <v>138619</v>
      </c>
      <c r="F83" s="706">
        <f>'Állami - 5. mell.'!F13</f>
        <v>207745</v>
      </c>
      <c r="G83" s="705">
        <f>'Állami - 5. mell.'!G13</f>
        <v>207745</v>
      </c>
      <c r="H83" s="706">
        <f>'Állami - 5. mell.'!H13</f>
        <v>276483</v>
      </c>
      <c r="I83" s="707">
        <f>'Állami - 5. mell.'!I13</f>
        <v>276483</v>
      </c>
      <c r="J83" s="708">
        <f t="shared" si="97"/>
        <v>1</v>
      </c>
      <c r="K83" s="1127"/>
      <c r="L83" s="709"/>
      <c r="M83" s="710"/>
      <c r="N83" s="710"/>
      <c r="O83" s="710"/>
      <c r="P83" s="710"/>
      <c r="Q83" s="711">
        <v>276483</v>
      </c>
      <c r="R83" s="710"/>
      <c r="S83" s="710"/>
      <c r="T83" s="712"/>
      <c r="U83" s="710"/>
      <c r="V83" s="710"/>
      <c r="W83" s="710"/>
      <c r="X83" s="710"/>
      <c r="Y83" s="713"/>
      <c r="Z83" s="710"/>
      <c r="AA83" s="710"/>
      <c r="AB83" s="710"/>
      <c r="AC83" s="710"/>
      <c r="AD83" s="710"/>
      <c r="AE83" s="710"/>
      <c r="AF83" s="710"/>
      <c r="AG83" s="710"/>
      <c r="AH83" s="710"/>
      <c r="AI83" s="710"/>
      <c r="AJ83" s="713"/>
      <c r="AK83" s="710"/>
      <c r="AL83" s="710"/>
      <c r="AM83" s="710"/>
      <c r="AN83" s="710"/>
      <c r="AO83" s="710"/>
      <c r="AP83" s="710"/>
      <c r="AQ83" s="710"/>
      <c r="AR83" s="710"/>
      <c r="AS83" s="713"/>
      <c r="AT83" s="710"/>
      <c r="AU83" s="710"/>
      <c r="AV83" s="713"/>
      <c r="AW83" s="710"/>
      <c r="AX83" s="714"/>
      <c r="AY83" s="715">
        <f t="shared" si="96"/>
        <v>276483</v>
      </c>
    </row>
    <row r="84" spans="1:51" x14ac:dyDescent="0.25">
      <c r="A84" s="446" t="s">
        <v>313</v>
      </c>
      <c r="B84" s="447" t="s">
        <v>319</v>
      </c>
      <c r="C84" s="510">
        <f>'Állami - 5. mell.'!C22</f>
        <v>43679600</v>
      </c>
      <c r="D84" s="511">
        <f>'Állami - 5. mell.'!D22</f>
        <v>43679600</v>
      </c>
      <c r="E84" s="512">
        <f>'Állami - 5. mell.'!E22</f>
        <v>22685041</v>
      </c>
      <c r="F84" s="513">
        <f>'Állami - 5. mell.'!F22</f>
        <v>43679600</v>
      </c>
      <c r="G84" s="512">
        <f>'Állami - 5. mell.'!G22</f>
        <v>34623695</v>
      </c>
      <c r="H84" s="513">
        <f>'Állami - 5. mell.'!H22</f>
        <v>44142975</v>
      </c>
      <c r="I84" s="514">
        <f>'Állami - 5. mell.'!I22</f>
        <v>44142975</v>
      </c>
      <c r="J84" s="515">
        <f t="shared" si="97"/>
        <v>1</v>
      </c>
      <c r="K84" s="1127"/>
      <c r="L84" s="535"/>
      <c r="M84" s="536"/>
      <c r="N84" s="536"/>
      <c r="O84" s="536"/>
      <c r="P84" s="536"/>
      <c r="Q84" s="461">
        <v>44142975</v>
      </c>
      <c r="R84" s="536"/>
      <c r="S84" s="536"/>
      <c r="T84" s="462"/>
      <c r="U84" s="536"/>
      <c r="V84" s="536"/>
      <c r="W84" s="536"/>
      <c r="X84" s="536"/>
      <c r="Y84" s="463"/>
      <c r="Z84" s="536"/>
      <c r="AA84" s="536"/>
      <c r="AB84" s="536"/>
      <c r="AC84" s="536"/>
      <c r="AD84" s="536"/>
      <c r="AE84" s="536"/>
      <c r="AF84" s="536"/>
      <c r="AG84" s="536"/>
      <c r="AH84" s="536"/>
      <c r="AI84" s="536"/>
      <c r="AJ84" s="536"/>
      <c r="AK84" s="536"/>
      <c r="AL84" s="536"/>
      <c r="AM84" s="536"/>
      <c r="AN84" s="536"/>
      <c r="AO84" s="536"/>
      <c r="AP84" s="536"/>
      <c r="AQ84" s="536"/>
      <c r="AR84" s="536"/>
      <c r="AS84" s="463"/>
      <c r="AT84" s="536"/>
      <c r="AU84" s="536"/>
      <c r="AV84" s="461"/>
      <c r="AW84" s="536"/>
      <c r="AX84" s="537"/>
      <c r="AY84" s="465">
        <f t="shared" si="96"/>
        <v>44142975</v>
      </c>
    </row>
    <row r="85" spans="1:51" x14ac:dyDescent="0.25">
      <c r="A85" s="453" t="s">
        <v>314</v>
      </c>
      <c r="B85" s="454" t="s">
        <v>320</v>
      </c>
      <c r="C85" s="510">
        <f>'Állami - 5. mell.'!C25</f>
        <v>10447209</v>
      </c>
      <c r="D85" s="511">
        <f>'Állami - 5. mell.'!D25</f>
        <v>10447209</v>
      </c>
      <c r="E85" s="512">
        <f>'Állami - 5. mell.'!E25</f>
        <v>5432550</v>
      </c>
      <c r="F85" s="513">
        <f>'Állami - 5. mell.'!F25</f>
        <v>10447209</v>
      </c>
      <c r="G85" s="512">
        <f>'Állami - 5. mell.'!G25</f>
        <v>8762025</v>
      </c>
      <c r="H85" s="513">
        <f>'Állami - 5. mell.'!H25</f>
        <v>11659375</v>
      </c>
      <c r="I85" s="514">
        <f>'Állami - 5. mell.'!I25</f>
        <v>11659375</v>
      </c>
      <c r="J85" s="496">
        <f t="shared" si="97"/>
        <v>1</v>
      </c>
      <c r="K85" s="1127"/>
      <c r="L85" s="535"/>
      <c r="M85" s="536"/>
      <c r="N85" s="536"/>
      <c r="O85" s="536"/>
      <c r="P85" s="536"/>
      <c r="Q85" s="461">
        <v>11659375</v>
      </c>
      <c r="R85" s="536"/>
      <c r="S85" s="536"/>
      <c r="T85" s="462"/>
      <c r="U85" s="536"/>
      <c r="V85" s="536"/>
      <c r="W85" s="536"/>
      <c r="X85" s="536"/>
      <c r="Y85" s="463"/>
      <c r="Z85" s="536"/>
      <c r="AA85" s="536"/>
      <c r="AB85" s="536"/>
      <c r="AC85" s="536"/>
      <c r="AD85" s="536"/>
      <c r="AE85" s="536"/>
      <c r="AF85" s="536"/>
      <c r="AG85" s="536"/>
      <c r="AH85" s="536"/>
      <c r="AI85" s="536"/>
      <c r="AJ85" s="536"/>
      <c r="AK85" s="536"/>
      <c r="AL85" s="536"/>
      <c r="AM85" s="536"/>
      <c r="AN85" s="536"/>
      <c r="AO85" s="536"/>
      <c r="AP85" s="536"/>
      <c r="AQ85" s="536"/>
      <c r="AR85" s="536"/>
      <c r="AS85" s="463"/>
      <c r="AT85" s="536"/>
      <c r="AU85" s="536"/>
      <c r="AV85" s="461"/>
      <c r="AW85" s="536"/>
      <c r="AX85" s="537"/>
      <c r="AY85" s="465">
        <f t="shared" si="96"/>
        <v>11659375</v>
      </c>
    </row>
    <row r="86" spans="1:51" x14ac:dyDescent="0.25">
      <c r="A86" s="453" t="s">
        <v>315</v>
      </c>
      <c r="B86" s="454" t="s">
        <v>321</v>
      </c>
      <c r="C86" s="510">
        <f>'Állami - 5. mell.'!C29</f>
        <v>2386120</v>
      </c>
      <c r="D86" s="511">
        <f>'Állami - 5. mell.'!D29</f>
        <v>2579950</v>
      </c>
      <c r="E86" s="512">
        <f>'Állami - 5. mell.'!E29</f>
        <v>1434614</v>
      </c>
      <c r="F86" s="513">
        <f>'Állami - 5. mell.'!F29</f>
        <v>2676375</v>
      </c>
      <c r="G86" s="512">
        <f>'Állami - 5. mell.'!G29</f>
        <v>2184709</v>
      </c>
      <c r="H86" s="513">
        <f>'Állami - 5. mell.'!H29</f>
        <v>2853253</v>
      </c>
      <c r="I86" s="514">
        <f>'Állami - 5. mell.'!I29</f>
        <v>2853253</v>
      </c>
      <c r="J86" s="496">
        <f t="shared" si="97"/>
        <v>1</v>
      </c>
      <c r="K86" s="1127"/>
      <c r="L86" s="535"/>
      <c r="M86" s="536"/>
      <c r="N86" s="536"/>
      <c r="O86" s="536"/>
      <c r="P86" s="536"/>
      <c r="Q86" s="461">
        <v>2853253</v>
      </c>
      <c r="R86" s="536"/>
      <c r="S86" s="536"/>
      <c r="T86" s="462"/>
      <c r="U86" s="536"/>
      <c r="V86" s="536"/>
      <c r="W86" s="536"/>
      <c r="X86" s="536"/>
      <c r="Y86" s="463"/>
      <c r="Z86" s="536"/>
      <c r="AA86" s="536"/>
      <c r="AB86" s="536"/>
      <c r="AC86" s="536"/>
      <c r="AD86" s="536"/>
      <c r="AE86" s="536"/>
      <c r="AF86" s="536"/>
      <c r="AG86" s="536"/>
      <c r="AH86" s="536"/>
      <c r="AI86" s="536"/>
      <c r="AJ86" s="536"/>
      <c r="AK86" s="536"/>
      <c r="AL86" s="536"/>
      <c r="AM86" s="536"/>
      <c r="AN86" s="536"/>
      <c r="AO86" s="536"/>
      <c r="AP86" s="536"/>
      <c r="AQ86" s="536"/>
      <c r="AR86" s="536"/>
      <c r="AS86" s="463"/>
      <c r="AT86" s="536"/>
      <c r="AU86" s="536"/>
      <c r="AV86" s="461"/>
      <c r="AW86" s="536"/>
      <c r="AX86" s="537"/>
      <c r="AY86" s="465">
        <f t="shared" si="96"/>
        <v>2853253</v>
      </c>
    </row>
    <row r="87" spans="1:51" x14ac:dyDescent="0.25">
      <c r="A87" s="453" t="s">
        <v>316</v>
      </c>
      <c r="B87" s="454" t="s">
        <v>373</v>
      </c>
      <c r="C87" s="491">
        <f>'Állami - 5. mell.'!C32</f>
        <v>0</v>
      </c>
      <c r="D87" s="492">
        <f>'Állami - 5. mell.'!D32</f>
        <v>0</v>
      </c>
      <c r="E87" s="493">
        <f>'Állami - 5. mell.'!E32</f>
        <v>0</v>
      </c>
      <c r="F87" s="494">
        <f>'Állami - 5. mell.'!F32</f>
        <v>457200</v>
      </c>
      <c r="G87" s="493">
        <f>'Állami - 5. mell.'!G32</f>
        <v>457200</v>
      </c>
      <c r="H87" s="494">
        <f>'Állami - 5. mell.'!H32</f>
        <v>457200</v>
      </c>
      <c r="I87" s="495">
        <f>'Állami - 5. mell.'!I32</f>
        <v>457200</v>
      </c>
      <c r="J87" s="496">
        <f t="shared" si="97"/>
        <v>1</v>
      </c>
      <c r="K87" s="1127"/>
      <c r="L87" s="538"/>
      <c r="M87" s="463"/>
      <c r="N87" s="463"/>
      <c r="O87" s="463"/>
      <c r="P87" s="463"/>
      <c r="Q87" s="539">
        <v>457200</v>
      </c>
      <c r="R87" s="463"/>
      <c r="S87" s="463"/>
      <c r="T87" s="462"/>
      <c r="U87" s="463"/>
      <c r="V87" s="463"/>
      <c r="W87" s="463"/>
      <c r="X87" s="463"/>
      <c r="Y87" s="463"/>
      <c r="Z87" s="463"/>
      <c r="AA87" s="463"/>
      <c r="AB87" s="463"/>
      <c r="AC87" s="463"/>
      <c r="AD87" s="463"/>
      <c r="AE87" s="463"/>
      <c r="AF87" s="463"/>
      <c r="AG87" s="463"/>
      <c r="AH87" s="463"/>
      <c r="AI87" s="463"/>
      <c r="AJ87" s="463"/>
      <c r="AK87" s="463"/>
      <c r="AL87" s="463"/>
      <c r="AM87" s="463"/>
      <c r="AN87" s="463"/>
      <c r="AO87" s="463"/>
      <c r="AP87" s="463"/>
      <c r="AQ87" s="463"/>
      <c r="AR87" s="463"/>
      <c r="AS87" s="463"/>
      <c r="AT87" s="463"/>
      <c r="AU87" s="463"/>
      <c r="AV87" s="460"/>
      <c r="AW87" s="463"/>
      <c r="AX87" s="462"/>
      <c r="AY87" s="465">
        <f t="shared" si="96"/>
        <v>457200</v>
      </c>
    </row>
    <row r="88" spans="1:51" x14ac:dyDescent="0.25">
      <c r="A88" s="453" t="s">
        <v>317</v>
      </c>
      <c r="B88" s="454" t="s">
        <v>374</v>
      </c>
      <c r="C88" s="491">
        <f>'Állami - 5. mell.'!C33</f>
        <v>0</v>
      </c>
      <c r="D88" s="492">
        <f>'Állami - 5. mell.'!D33</f>
        <v>0</v>
      </c>
      <c r="E88" s="493">
        <f>'Állami - 5. mell.'!E33</f>
        <v>0</v>
      </c>
      <c r="F88" s="494">
        <f>'Állami - 5. mell.'!F33</f>
        <v>834667</v>
      </c>
      <c r="G88" s="493">
        <f>'Állami - 5. mell.'!G33</f>
        <v>834667</v>
      </c>
      <c r="H88" s="494">
        <f>'Állami - 5. mell.'!H33</f>
        <v>834667</v>
      </c>
      <c r="I88" s="495">
        <f>'Állami - 5. mell.'!I33</f>
        <v>834667</v>
      </c>
      <c r="J88" s="496">
        <f t="shared" si="97"/>
        <v>1</v>
      </c>
      <c r="K88" s="1127"/>
      <c r="L88" s="538"/>
      <c r="M88" s="463"/>
      <c r="N88" s="463"/>
      <c r="O88" s="463"/>
      <c r="P88" s="463"/>
      <c r="Q88" s="539">
        <v>834667</v>
      </c>
      <c r="R88" s="463"/>
      <c r="S88" s="463"/>
      <c r="T88" s="462"/>
      <c r="U88" s="463"/>
      <c r="V88" s="463"/>
      <c r="W88" s="463"/>
      <c r="X88" s="463"/>
      <c r="Y88" s="463"/>
      <c r="Z88" s="463"/>
      <c r="AA88" s="463"/>
      <c r="AB88" s="463"/>
      <c r="AC88" s="463"/>
      <c r="AD88" s="463"/>
      <c r="AE88" s="463"/>
      <c r="AF88" s="463"/>
      <c r="AG88" s="463"/>
      <c r="AH88" s="463"/>
      <c r="AI88" s="463"/>
      <c r="AJ88" s="463"/>
      <c r="AK88" s="463"/>
      <c r="AL88" s="463"/>
      <c r="AM88" s="463"/>
      <c r="AN88" s="463"/>
      <c r="AO88" s="463"/>
      <c r="AP88" s="463"/>
      <c r="AQ88" s="463"/>
      <c r="AR88" s="463"/>
      <c r="AS88" s="463"/>
      <c r="AT88" s="463"/>
      <c r="AU88" s="463"/>
      <c r="AV88" s="460"/>
      <c r="AW88" s="463"/>
      <c r="AX88" s="462"/>
      <c r="AY88" s="465">
        <f t="shared" si="96"/>
        <v>834667</v>
      </c>
    </row>
    <row r="89" spans="1:51" s="731" customFormat="1" x14ac:dyDescent="0.25">
      <c r="A89" s="717" t="s">
        <v>256</v>
      </c>
      <c r="B89" s="718" t="s">
        <v>250</v>
      </c>
      <c r="C89" s="719">
        <f t="shared" ref="C89" si="132">SUM(C83:C88)</f>
        <v>56512929</v>
      </c>
      <c r="D89" s="720">
        <f t="shared" ref="D89" si="133">SUM(D83:D88)</f>
        <v>56845378</v>
      </c>
      <c r="E89" s="721">
        <f t="shared" ref="E89" si="134">SUM(E83:E88)</f>
        <v>29690824</v>
      </c>
      <c r="F89" s="722">
        <f t="shared" ref="F89" si="135">SUM(F83:F88)</f>
        <v>58302796</v>
      </c>
      <c r="G89" s="721">
        <f t="shared" ref="G89" si="136">SUM(G83:G88)</f>
        <v>47070041</v>
      </c>
      <c r="H89" s="722">
        <f t="shared" ref="H89" si="137">SUM(H83:H88)</f>
        <v>60223953</v>
      </c>
      <c r="I89" s="723">
        <f t="shared" ref="I89" si="138">SUM(I83:I88)</f>
        <v>60223953</v>
      </c>
      <c r="J89" s="724">
        <f t="shared" si="97"/>
        <v>1</v>
      </c>
      <c r="K89" s="1127"/>
      <c r="L89" s="732">
        <f t="shared" ref="L89:AX89" si="139">SUM(L83:L88)</f>
        <v>0</v>
      </c>
      <c r="M89" s="733">
        <f t="shared" si="139"/>
        <v>0</v>
      </c>
      <c r="N89" s="733">
        <f t="shared" si="139"/>
        <v>0</v>
      </c>
      <c r="O89" s="733">
        <f t="shared" si="139"/>
        <v>0</v>
      </c>
      <c r="P89" s="733">
        <f t="shared" si="139"/>
        <v>0</v>
      </c>
      <c r="Q89" s="734">
        <f t="shared" si="139"/>
        <v>60223953</v>
      </c>
      <c r="R89" s="733">
        <f t="shared" si="139"/>
        <v>0</v>
      </c>
      <c r="S89" s="733">
        <f t="shared" si="139"/>
        <v>0</v>
      </c>
      <c r="T89" s="728">
        <f t="shared" si="139"/>
        <v>0</v>
      </c>
      <c r="U89" s="733">
        <f t="shared" si="139"/>
        <v>0</v>
      </c>
      <c r="V89" s="733">
        <f t="shared" si="139"/>
        <v>0</v>
      </c>
      <c r="W89" s="733">
        <f t="shared" si="139"/>
        <v>0</v>
      </c>
      <c r="X89" s="733">
        <f t="shared" si="139"/>
        <v>0</v>
      </c>
      <c r="Y89" s="729">
        <f t="shared" si="139"/>
        <v>0</v>
      </c>
      <c r="Z89" s="733">
        <f t="shared" si="139"/>
        <v>0</v>
      </c>
      <c r="AA89" s="733">
        <f t="shared" si="139"/>
        <v>0</v>
      </c>
      <c r="AB89" s="733">
        <f t="shared" si="139"/>
        <v>0</v>
      </c>
      <c r="AC89" s="733">
        <f t="shared" si="139"/>
        <v>0</v>
      </c>
      <c r="AD89" s="733">
        <f t="shared" si="139"/>
        <v>0</v>
      </c>
      <c r="AE89" s="733">
        <f t="shared" si="139"/>
        <v>0</v>
      </c>
      <c r="AF89" s="733">
        <f t="shared" si="139"/>
        <v>0</v>
      </c>
      <c r="AG89" s="733">
        <f t="shared" si="139"/>
        <v>0</v>
      </c>
      <c r="AH89" s="733">
        <f t="shared" si="139"/>
        <v>0</v>
      </c>
      <c r="AI89" s="733">
        <f t="shared" si="139"/>
        <v>0</v>
      </c>
      <c r="AJ89" s="733">
        <f t="shared" si="139"/>
        <v>0</v>
      </c>
      <c r="AK89" s="733">
        <f t="shared" si="139"/>
        <v>0</v>
      </c>
      <c r="AL89" s="733">
        <f t="shared" si="139"/>
        <v>0</v>
      </c>
      <c r="AM89" s="733">
        <f t="shared" si="139"/>
        <v>0</v>
      </c>
      <c r="AN89" s="733">
        <f t="shared" si="139"/>
        <v>0</v>
      </c>
      <c r="AO89" s="733">
        <f t="shared" si="139"/>
        <v>0</v>
      </c>
      <c r="AP89" s="733">
        <f t="shared" si="139"/>
        <v>0</v>
      </c>
      <c r="AQ89" s="733">
        <f t="shared" si="139"/>
        <v>0</v>
      </c>
      <c r="AR89" s="733">
        <f t="shared" si="139"/>
        <v>0</v>
      </c>
      <c r="AS89" s="733">
        <f t="shared" si="139"/>
        <v>0</v>
      </c>
      <c r="AT89" s="733">
        <f t="shared" si="139"/>
        <v>0</v>
      </c>
      <c r="AU89" s="733">
        <f t="shared" si="139"/>
        <v>0</v>
      </c>
      <c r="AV89" s="733">
        <f t="shared" si="139"/>
        <v>0</v>
      </c>
      <c r="AW89" s="733">
        <f t="shared" si="139"/>
        <v>0</v>
      </c>
      <c r="AX89" s="735">
        <f t="shared" si="139"/>
        <v>0</v>
      </c>
      <c r="AY89" s="730">
        <f t="shared" si="96"/>
        <v>60223953</v>
      </c>
    </row>
    <row r="90" spans="1:51" hidden="1" x14ac:dyDescent="0.25">
      <c r="A90" s="453"/>
      <c r="B90" s="454" t="s">
        <v>375</v>
      </c>
      <c r="C90" s="491">
        <v>0</v>
      </c>
      <c r="D90" s="492">
        <f>C90</f>
        <v>0</v>
      </c>
      <c r="E90" s="493"/>
      <c r="F90" s="494">
        <v>0</v>
      </c>
      <c r="G90" s="493">
        <v>0</v>
      </c>
      <c r="H90" s="494">
        <v>0</v>
      </c>
      <c r="I90" s="495">
        <f t="shared" ref="I90:I94" si="140">AY90</f>
        <v>0</v>
      </c>
      <c r="J90" s="496" t="str">
        <f t="shared" si="97"/>
        <v/>
      </c>
      <c r="K90" s="1127"/>
      <c r="L90" s="538"/>
      <c r="M90" s="463"/>
      <c r="N90" s="463"/>
      <c r="O90" s="463"/>
      <c r="P90" s="463"/>
      <c r="Q90" s="539"/>
      <c r="R90" s="463"/>
      <c r="S90" s="463"/>
      <c r="T90" s="462"/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63"/>
      <c r="AH90" s="463"/>
      <c r="AI90" s="463"/>
      <c r="AJ90" s="463"/>
      <c r="AK90" s="463"/>
      <c r="AL90" s="463"/>
      <c r="AM90" s="463"/>
      <c r="AN90" s="463"/>
      <c r="AO90" s="463"/>
      <c r="AP90" s="463"/>
      <c r="AQ90" s="463"/>
      <c r="AR90" s="463"/>
      <c r="AS90" s="463"/>
      <c r="AT90" s="463"/>
      <c r="AU90" s="463"/>
      <c r="AV90" s="460"/>
      <c r="AW90" s="463"/>
      <c r="AX90" s="462"/>
      <c r="AY90" s="465">
        <f t="shared" si="96"/>
        <v>0</v>
      </c>
    </row>
    <row r="91" spans="1:51" x14ac:dyDescent="0.25">
      <c r="A91" s="453"/>
      <c r="B91" s="454" t="s">
        <v>372</v>
      </c>
      <c r="C91" s="491">
        <v>0</v>
      </c>
      <c r="D91" s="492">
        <v>0</v>
      </c>
      <c r="E91" s="493">
        <v>832152</v>
      </c>
      <c r="F91" s="494">
        <v>0</v>
      </c>
      <c r="G91" s="493">
        <v>1679841</v>
      </c>
      <c r="H91" s="494">
        <v>2129017</v>
      </c>
      <c r="I91" s="495">
        <f t="shared" si="140"/>
        <v>2129017</v>
      </c>
      <c r="J91" s="496">
        <f t="shared" si="97"/>
        <v>1</v>
      </c>
      <c r="K91" s="1127"/>
      <c r="L91" s="538"/>
      <c r="M91" s="463"/>
      <c r="N91" s="463"/>
      <c r="O91" s="463"/>
      <c r="P91" s="463"/>
      <c r="Q91" s="539"/>
      <c r="R91" s="463"/>
      <c r="S91" s="463"/>
      <c r="T91" s="462">
        <v>2129017</v>
      </c>
      <c r="U91" s="463"/>
      <c r="V91" s="463"/>
      <c r="W91" s="463"/>
      <c r="X91" s="463"/>
      <c r="Y91" s="463"/>
      <c r="Z91" s="463"/>
      <c r="AA91" s="463"/>
      <c r="AB91" s="463"/>
      <c r="AC91" s="463"/>
      <c r="AD91" s="463"/>
      <c r="AE91" s="463"/>
      <c r="AF91" s="463"/>
      <c r="AG91" s="463"/>
      <c r="AH91" s="463"/>
      <c r="AI91" s="463"/>
      <c r="AJ91" s="463"/>
      <c r="AK91" s="463"/>
      <c r="AL91" s="463"/>
      <c r="AM91" s="463"/>
      <c r="AN91" s="463"/>
      <c r="AO91" s="463"/>
      <c r="AP91" s="463"/>
      <c r="AQ91" s="463"/>
      <c r="AR91" s="463"/>
      <c r="AS91" s="463"/>
      <c r="AT91" s="463"/>
      <c r="AU91" s="463"/>
      <c r="AV91" s="460"/>
      <c r="AW91" s="463"/>
      <c r="AX91" s="462"/>
      <c r="AY91" s="465">
        <f t="shared" si="96"/>
        <v>2129017</v>
      </c>
    </row>
    <row r="92" spans="1:51" x14ac:dyDescent="0.25">
      <c r="A92" s="453"/>
      <c r="B92" s="454" t="s">
        <v>574</v>
      </c>
      <c r="C92" s="491">
        <v>0</v>
      </c>
      <c r="D92" s="492">
        <f>C92</f>
        <v>0</v>
      </c>
      <c r="E92" s="493">
        <v>40000</v>
      </c>
      <c r="F92" s="494">
        <v>0</v>
      </c>
      <c r="G92" s="493">
        <v>60000</v>
      </c>
      <c r="H92" s="494">
        <v>0</v>
      </c>
      <c r="I92" s="495">
        <f t="shared" si="140"/>
        <v>60000</v>
      </c>
      <c r="J92" s="496" t="str">
        <f>IF(OR(H92="",H92=0),"",I92/H92)</f>
        <v/>
      </c>
      <c r="K92" s="1127"/>
      <c r="L92" s="459"/>
      <c r="M92" s="460"/>
      <c r="N92" s="460"/>
      <c r="O92" s="460"/>
      <c r="P92" s="460"/>
      <c r="Q92" s="461"/>
      <c r="R92" s="460"/>
      <c r="S92" s="460"/>
      <c r="T92" s="462"/>
      <c r="U92" s="460"/>
      <c r="V92" s="460"/>
      <c r="W92" s="460"/>
      <c r="X92" s="460"/>
      <c r="Y92" s="463"/>
      <c r="Z92" s="460"/>
      <c r="AA92" s="460"/>
      <c r="AB92" s="460"/>
      <c r="AC92" s="460"/>
      <c r="AD92" s="460"/>
      <c r="AE92" s="460"/>
      <c r="AF92" s="460"/>
      <c r="AG92" s="460"/>
      <c r="AH92" s="460"/>
      <c r="AI92" s="460"/>
      <c r="AJ92" s="460"/>
      <c r="AK92" s="460"/>
      <c r="AL92" s="460"/>
      <c r="AM92" s="460"/>
      <c r="AN92" s="460"/>
      <c r="AO92" s="460"/>
      <c r="AP92" s="460"/>
      <c r="AQ92" s="460"/>
      <c r="AR92" s="460"/>
      <c r="AS92" s="463"/>
      <c r="AT92" s="460"/>
      <c r="AU92" s="460">
        <v>60000</v>
      </c>
      <c r="AV92" s="460"/>
      <c r="AW92" s="460"/>
      <c r="AX92" s="464"/>
      <c r="AY92" s="465">
        <f t="shared" si="96"/>
        <v>60000</v>
      </c>
    </row>
    <row r="93" spans="1:51" x14ac:dyDescent="0.25">
      <c r="A93" s="453"/>
      <c r="B93" s="454" t="s">
        <v>780</v>
      </c>
      <c r="C93" s="491">
        <v>112800</v>
      </c>
      <c r="D93" s="492">
        <f>C93</f>
        <v>112800</v>
      </c>
      <c r="E93" s="493">
        <v>56400</v>
      </c>
      <c r="F93" s="494">
        <v>112800</v>
      </c>
      <c r="G93" s="493">
        <v>84600</v>
      </c>
      <c r="H93" s="494">
        <v>112800</v>
      </c>
      <c r="I93" s="495">
        <f t="shared" si="140"/>
        <v>127900</v>
      </c>
      <c r="J93" s="496">
        <f t="shared" si="97"/>
        <v>1.1338652482269505</v>
      </c>
      <c r="K93" s="1127"/>
      <c r="L93" s="538"/>
      <c r="M93" s="463"/>
      <c r="N93" s="463"/>
      <c r="O93" s="463"/>
      <c r="P93" s="463"/>
      <c r="Q93" s="539"/>
      <c r="R93" s="463"/>
      <c r="S93" s="463"/>
      <c r="T93" s="462"/>
      <c r="U93" s="463"/>
      <c r="V93" s="463"/>
      <c r="W93" s="463"/>
      <c r="X93" s="463"/>
      <c r="Y93" s="463"/>
      <c r="Z93" s="463"/>
      <c r="AA93" s="463"/>
      <c r="AB93" s="463"/>
      <c r="AC93" s="463"/>
      <c r="AD93" s="463"/>
      <c r="AE93" s="463"/>
      <c r="AF93" s="463"/>
      <c r="AG93" s="463">
        <v>127900</v>
      </c>
      <c r="AH93" s="463"/>
      <c r="AI93" s="463"/>
      <c r="AJ93" s="536"/>
      <c r="AK93" s="463"/>
      <c r="AL93" s="463"/>
      <c r="AM93" s="463"/>
      <c r="AN93" s="463"/>
      <c r="AO93" s="463"/>
      <c r="AP93" s="463"/>
      <c r="AQ93" s="463"/>
      <c r="AR93" s="463"/>
      <c r="AS93" s="463"/>
      <c r="AT93" s="463"/>
      <c r="AU93" s="463"/>
      <c r="AV93" s="460"/>
      <c r="AW93" s="463"/>
      <c r="AX93" s="462"/>
      <c r="AY93" s="465">
        <f t="shared" si="96"/>
        <v>127900</v>
      </c>
    </row>
    <row r="94" spans="1:51" x14ac:dyDescent="0.25">
      <c r="A94" s="453"/>
      <c r="B94" s="790" t="s">
        <v>781</v>
      </c>
      <c r="C94" s="491">
        <v>21000000</v>
      </c>
      <c r="D94" s="492">
        <f>C94</f>
        <v>21000000</v>
      </c>
      <c r="E94" s="493">
        <v>11131600</v>
      </c>
      <c r="F94" s="494">
        <v>21000000</v>
      </c>
      <c r="G94" s="493">
        <v>16732000</v>
      </c>
      <c r="H94" s="494">
        <v>21000000</v>
      </c>
      <c r="I94" s="495">
        <f t="shared" si="140"/>
        <v>22309400</v>
      </c>
      <c r="J94" s="496">
        <f t="shared" si="97"/>
        <v>1.0623523809523809</v>
      </c>
      <c r="K94" s="1127"/>
      <c r="L94" s="459"/>
      <c r="M94" s="460"/>
      <c r="N94" s="460"/>
      <c r="O94" s="460"/>
      <c r="P94" s="460"/>
      <c r="Q94" s="461"/>
      <c r="R94" s="460"/>
      <c r="S94" s="460"/>
      <c r="T94" s="462"/>
      <c r="U94" s="460"/>
      <c r="V94" s="460"/>
      <c r="W94" s="460"/>
      <c r="X94" s="460"/>
      <c r="Y94" s="463"/>
      <c r="Z94" s="460"/>
      <c r="AA94" s="460"/>
      <c r="AB94" s="460"/>
      <c r="AC94" s="460">
        <v>22309400</v>
      </c>
      <c r="AD94" s="460"/>
      <c r="AE94" s="460"/>
      <c r="AF94" s="460"/>
      <c r="AG94" s="460"/>
      <c r="AH94" s="460"/>
      <c r="AI94" s="460"/>
      <c r="AJ94" s="460"/>
      <c r="AK94" s="460"/>
      <c r="AL94" s="460"/>
      <c r="AM94" s="460"/>
      <c r="AN94" s="460"/>
      <c r="AO94" s="460"/>
      <c r="AP94" s="460"/>
      <c r="AQ94" s="460"/>
      <c r="AR94" s="460"/>
      <c r="AS94" s="463"/>
      <c r="AT94" s="460"/>
      <c r="AU94" s="460"/>
      <c r="AV94" s="460"/>
      <c r="AW94" s="460"/>
      <c r="AX94" s="464"/>
      <c r="AY94" s="465">
        <f t="shared" si="96"/>
        <v>22309400</v>
      </c>
    </row>
    <row r="95" spans="1:51" s="731" customFormat="1" x14ac:dyDescent="0.25">
      <c r="A95" s="717" t="s">
        <v>257</v>
      </c>
      <c r="B95" s="718" t="s">
        <v>251</v>
      </c>
      <c r="C95" s="719">
        <f t="shared" ref="C95" si="141">SUM(C90:C94)</f>
        <v>21112800</v>
      </c>
      <c r="D95" s="720">
        <f t="shared" ref="D95" si="142">SUM(D90:D94)</f>
        <v>21112800</v>
      </c>
      <c r="E95" s="721">
        <f t="shared" ref="E95" si="143">SUM(E90:E94)</f>
        <v>12060152</v>
      </c>
      <c r="F95" s="722">
        <f t="shared" ref="F95" si="144">SUM(F90:F94)</f>
        <v>21112800</v>
      </c>
      <c r="G95" s="721">
        <f t="shared" ref="G95" si="145">SUM(G90:G94)</f>
        <v>18556441</v>
      </c>
      <c r="H95" s="722">
        <f t="shared" ref="H95" si="146">SUM(H90:H94)</f>
        <v>23241817</v>
      </c>
      <c r="I95" s="723">
        <f t="shared" ref="I95" si="147">SUM(I90:I94)</f>
        <v>24626317</v>
      </c>
      <c r="J95" s="736">
        <f t="shared" si="97"/>
        <v>1.0595693529468888</v>
      </c>
      <c r="K95" s="1127"/>
      <c r="L95" s="738">
        <f t="shared" ref="L95:AX95" si="148">SUM(L90:L94)</f>
        <v>0</v>
      </c>
      <c r="M95" s="729">
        <f t="shared" si="148"/>
        <v>0</v>
      </c>
      <c r="N95" s="729">
        <f t="shared" si="148"/>
        <v>0</v>
      </c>
      <c r="O95" s="729">
        <f t="shared" si="148"/>
        <v>0</v>
      </c>
      <c r="P95" s="729">
        <f t="shared" si="148"/>
        <v>0</v>
      </c>
      <c r="Q95" s="739">
        <f t="shared" si="148"/>
        <v>0</v>
      </c>
      <c r="R95" s="729">
        <f t="shared" si="148"/>
        <v>0</v>
      </c>
      <c r="S95" s="729">
        <f t="shared" si="148"/>
        <v>0</v>
      </c>
      <c r="T95" s="728">
        <f t="shared" si="148"/>
        <v>2129017</v>
      </c>
      <c r="U95" s="729">
        <f t="shared" si="148"/>
        <v>0</v>
      </c>
      <c r="V95" s="729">
        <f t="shared" si="148"/>
        <v>0</v>
      </c>
      <c r="W95" s="729">
        <f t="shared" si="148"/>
        <v>0</v>
      </c>
      <c r="X95" s="729">
        <f t="shared" si="148"/>
        <v>0</v>
      </c>
      <c r="Y95" s="729">
        <f t="shared" si="148"/>
        <v>0</v>
      </c>
      <c r="Z95" s="729">
        <f t="shared" si="148"/>
        <v>0</v>
      </c>
      <c r="AA95" s="729">
        <f t="shared" si="148"/>
        <v>0</v>
      </c>
      <c r="AB95" s="729">
        <f t="shared" si="148"/>
        <v>0</v>
      </c>
      <c r="AC95" s="729">
        <f t="shared" si="148"/>
        <v>22309400</v>
      </c>
      <c r="AD95" s="729">
        <f t="shared" si="148"/>
        <v>0</v>
      </c>
      <c r="AE95" s="729">
        <f t="shared" si="148"/>
        <v>0</v>
      </c>
      <c r="AF95" s="729">
        <f t="shared" si="148"/>
        <v>0</v>
      </c>
      <c r="AG95" s="729">
        <f t="shared" si="148"/>
        <v>127900</v>
      </c>
      <c r="AH95" s="729">
        <f t="shared" si="148"/>
        <v>0</v>
      </c>
      <c r="AI95" s="729">
        <f t="shared" si="148"/>
        <v>0</v>
      </c>
      <c r="AJ95" s="729">
        <f t="shared" si="148"/>
        <v>0</v>
      </c>
      <c r="AK95" s="729">
        <f t="shared" si="148"/>
        <v>0</v>
      </c>
      <c r="AL95" s="729">
        <f t="shared" si="148"/>
        <v>0</v>
      </c>
      <c r="AM95" s="729">
        <f t="shared" si="148"/>
        <v>0</v>
      </c>
      <c r="AN95" s="729">
        <f t="shared" si="148"/>
        <v>0</v>
      </c>
      <c r="AO95" s="729">
        <f t="shared" si="148"/>
        <v>0</v>
      </c>
      <c r="AP95" s="729">
        <f t="shared" si="148"/>
        <v>0</v>
      </c>
      <c r="AQ95" s="729">
        <f t="shared" si="148"/>
        <v>0</v>
      </c>
      <c r="AR95" s="729">
        <f t="shared" si="148"/>
        <v>0</v>
      </c>
      <c r="AS95" s="729">
        <f t="shared" si="148"/>
        <v>0</v>
      </c>
      <c r="AT95" s="729">
        <f t="shared" si="148"/>
        <v>0</v>
      </c>
      <c r="AU95" s="729">
        <f t="shared" si="148"/>
        <v>60000</v>
      </c>
      <c r="AV95" s="733">
        <f t="shared" si="148"/>
        <v>0</v>
      </c>
      <c r="AW95" s="729">
        <f t="shared" si="148"/>
        <v>0</v>
      </c>
      <c r="AX95" s="728">
        <f t="shared" si="148"/>
        <v>0</v>
      </c>
      <c r="AY95" s="730">
        <f t="shared" si="96"/>
        <v>24626317</v>
      </c>
    </row>
    <row r="96" spans="1:51" s="558" customFormat="1" x14ac:dyDescent="0.25">
      <c r="A96" s="740" t="s">
        <v>249</v>
      </c>
      <c r="B96" s="741" t="s">
        <v>254</v>
      </c>
      <c r="C96" s="742">
        <f>SUM(C89,C95)</f>
        <v>77625729</v>
      </c>
      <c r="D96" s="743">
        <f t="shared" ref="D96:I96" si="149">SUM(D89,D95)</f>
        <v>77958178</v>
      </c>
      <c r="E96" s="744">
        <f t="shared" si="149"/>
        <v>41750976</v>
      </c>
      <c r="F96" s="745">
        <f t="shared" si="149"/>
        <v>79415596</v>
      </c>
      <c r="G96" s="744">
        <f t="shared" si="149"/>
        <v>65626482</v>
      </c>
      <c r="H96" s="745">
        <f t="shared" si="149"/>
        <v>83465770</v>
      </c>
      <c r="I96" s="746">
        <f t="shared" si="149"/>
        <v>84850270</v>
      </c>
      <c r="J96" s="773">
        <f t="shared" si="97"/>
        <v>1.0165876382617689</v>
      </c>
      <c r="K96" s="1127"/>
      <c r="L96" s="774">
        <f t="shared" ref="L96:AX96" si="150">SUM(L89+L95)</f>
        <v>0</v>
      </c>
      <c r="M96" s="752">
        <f t="shared" si="150"/>
        <v>0</v>
      </c>
      <c r="N96" s="752">
        <f t="shared" si="150"/>
        <v>0</v>
      </c>
      <c r="O96" s="752">
        <f t="shared" si="150"/>
        <v>0</v>
      </c>
      <c r="P96" s="752">
        <f t="shared" si="150"/>
        <v>0</v>
      </c>
      <c r="Q96" s="775">
        <f t="shared" si="150"/>
        <v>60223953</v>
      </c>
      <c r="R96" s="752">
        <f t="shared" si="150"/>
        <v>0</v>
      </c>
      <c r="S96" s="752">
        <f t="shared" si="150"/>
        <v>0</v>
      </c>
      <c r="T96" s="751">
        <f t="shared" si="150"/>
        <v>2129017</v>
      </c>
      <c r="U96" s="752">
        <f t="shared" si="150"/>
        <v>0</v>
      </c>
      <c r="V96" s="752">
        <f t="shared" si="150"/>
        <v>0</v>
      </c>
      <c r="W96" s="752">
        <f t="shared" si="150"/>
        <v>0</v>
      </c>
      <c r="X96" s="752">
        <f t="shared" si="150"/>
        <v>0</v>
      </c>
      <c r="Y96" s="752">
        <f t="shared" si="150"/>
        <v>0</v>
      </c>
      <c r="Z96" s="752">
        <f t="shared" si="150"/>
        <v>0</v>
      </c>
      <c r="AA96" s="752">
        <f t="shared" si="150"/>
        <v>0</v>
      </c>
      <c r="AB96" s="752">
        <f t="shared" si="150"/>
        <v>0</v>
      </c>
      <c r="AC96" s="752">
        <f t="shared" si="150"/>
        <v>22309400</v>
      </c>
      <c r="AD96" s="752">
        <f t="shared" si="150"/>
        <v>0</v>
      </c>
      <c r="AE96" s="752">
        <f t="shared" si="150"/>
        <v>0</v>
      </c>
      <c r="AF96" s="752">
        <f t="shared" si="150"/>
        <v>0</v>
      </c>
      <c r="AG96" s="752">
        <f t="shared" si="150"/>
        <v>127900</v>
      </c>
      <c r="AH96" s="752">
        <f t="shared" si="150"/>
        <v>0</v>
      </c>
      <c r="AI96" s="752">
        <f t="shared" si="150"/>
        <v>0</v>
      </c>
      <c r="AJ96" s="752">
        <f t="shared" si="150"/>
        <v>0</v>
      </c>
      <c r="AK96" s="752">
        <f t="shared" si="150"/>
        <v>0</v>
      </c>
      <c r="AL96" s="752">
        <f t="shared" si="150"/>
        <v>0</v>
      </c>
      <c r="AM96" s="752">
        <f t="shared" si="150"/>
        <v>0</v>
      </c>
      <c r="AN96" s="752">
        <f t="shared" si="150"/>
        <v>0</v>
      </c>
      <c r="AO96" s="752">
        <f t="shared" si="150"/>
        <v>0</v>
      </c>
      <c r="AP96" s="752">
        <f t="shared" si="150"/>
        <v>0</v>
      </c>
      <c r="AQ96" s="752">
        <f t="shared" si="150"/>
        <v>0</v>
      </c>
      <c r="AR96" s="752">
        <f t="shared" si="150"/>
        <v>0</v>
      </c>
      <c r="AS96" s="752">
        <f t="shared" si="150"/>
        <v>0</v>
      </c>
      <c r="AT96" s="752">
        <f t="shared" si="150"/>
        <v>0</v>
      </c>
      <c r="AU96" s="752">
        <f t="shared" si="150"/>
        <v>60000</v>
      </c>
      <c r="AV96" s="755">
        <f t="shared" si="150"/>
        <v>0</v>
      </c>
      <c r="AW96" s="752">
        <f t="shared" si="150"/>
        <v>0</v>
      </c>
      <c r="AX96" s="751">
        <f t="shared" si="150"/>
        <v>0</v>
      </c>
      <c r="AY96" s="753">
        <f t="shared" si="96"/>
        <v>84850270</v>
      </c>
    </row>
    <row r="97" spans="1:51" hidden="1" x14ac:dyDescent="0.25">
      <c r="A97" s="453" t="s">
        <v>261</v>
      </c>
      <c r="B97" s="540" t="s">
        <v>255</v>
      </c>
      <c r="C97" s="491">
        <v>0</v>
      </c>
      <c r="D97" s="492">
        <f>C97</f>
        <v>0</v>
      </c>
      <c r="E97" s="493"/>
      <c r="F97" s="494">
        <v>0</v>
      </c>
      <c r="G97" s="493">
        <v>0</v>
      </c>
      <c r="H97" s="494">
        <v>0</v>
      </c>
      <c r="I97" s="495">
        <f t="shared" ref="I97:I98" si="151">AY97</f>
        <v>0</v>
      </c>
      <c r="J97" s="496" t="str">
        <f t="shared" si="97"/>
        <v/>
      </c>
      <c r="K97" s="1127"/>
      <c r="L97" s="538"/>
      <c r="M97" s="463"/>
      <c r="N97" s="463"/>
      <c r="O97" s="463"/>
      <c r="P97" s="463"/>
      <c r="Q97" s="539"/>
      <c r="R97" s="463"/>
      <c r="S97" s="463"/>
      <c r="T97" s="462"/>
      <c r="U97" s="463"/>
      <c r="V97" s="463"/>
      <c r="W97" s="463"/>
      <c r="X97" s="463"/>
      <c r="Y97" s="463"/>
      <c r="Z97" s="463"/>
      <c r="AA97" s="463"/>
      <c r="AB97" s="463"/>
      <c r="AC97" s="463"/>
      <c r="AD97" s="463"/>
      <c r="AE97" s="463"/>
      <c r="AF97" s="463"/>
      <c r="AG97" s="463"/>
      <c r="AH97" s="463"/>
      <c r="AI97" s="463"/>
      <c r="AJ97" s="463"/>
      <c r="AK97" s="463"/>
      <c r="AL97" s="463"/>
      <c r="AM97" s="463"/>
      <c r="AN97" s="463"/>
      <c r="AO97" s="463"/>
      <c r="AP97" s="463"/>
      <c r="AQ97" s="463"/>
      <c r="AR97" s="463"/>
      <c r="AS97" s="463"/>
      <c r="AT97" s="463"/>
      <c r="AU97" s="463"/>
      <c r="AV97" s="460"/>
      <c r="AW97" s="463"/>
      <c r="AX97" s="462"/>
      <c r="AY97" s="465">
        <f t="shared" si="96"/>
        <v>0</v>
      </c>
    </row>
    <row r="98" spans="1:51" x14ac:dyDescent="0.25">
      <c r="A98" s="453" t="s">
        <v>259</v>
      </c>
      <c r="B98" s="540" t="s">
        <v>258</v>
      </c>
      <c r="C98" s="491">
        <v>0</v>
      </c>
      <c r="D98" s="492">
        <v>0</v>
      </c>
      <c r="E98" s="493">
        <v>1027702</v>
      </c>
      <c r="F98" s="494">
        <v>175076</v>
      </c>
      <c r="G98" s="493">
        <v>1202778</v>
      </c>
      <c r="H98" s="494">
        <v>21554936</v>
      </c>
      <c r="I98" s="495">
        <f t="shared" si="151"/>
        <v>22582638</v>
      </c>
      <c r="J98" s="496">
        <f t="shared" si="97"/>
        <v>1.0476782672887546</v>
      </c>
      <c r="K98" s="1127"/>
      <c r="L98" s="538">
        <v>4780089</v>
      </c>
      <c r="M98" s="463"/>
      <c r="N98" s="463"/>
      <c r="O98" s="463"/>
      <c r="P98" s="463"/>
      <c r="Q98" s="539"/>
      <c r="R98" s="463"/>
      <c r="S98" s="463"/>
      <c r="T98" s="462"/>
      <c r="U98" s="463"/>
      <c r="V98" s="463"/>
      <c r="W98" s="463"/>
      <c r="X98" s="463"/>
      <c r="Y98" s="463">
        <v>16599771</v>
      </c>
      <c r="Z98" s="463"/>
      <c r="AA98" s="463"/>
      <c r="AB98" s="463"/>
      <c r="AC98" s="463"/>
      <c r="AD98" s="463"/>
      <c r="AE98" s="463"/>
      <c r="AF98" s="463"/>
      <c r="AG98" s="463"/>
      <c r="AH98" s="463"/>
      <c r="AI98" s="463"/>
      <c r="AJ98" s="463">
        <v>1202778</v>
      </c>
      <c r="AK98" s="463"/>
      <c r="AL98" s="463"/>
      <c r="AM98" s="463"/>
      <c r="AN98" s="463"/>
      <c r="AO98" s="463"/>
      <c r="AP98" s="463"/>
      <c r="AQ98" s="463"/>
      <c r="AR98" s="463"/>
      <c r="AS98" s="463"/>
      <c r="AT98" s="463"/>
      <c r="AU98" s="463"/>
      <c r="AV98" s="460"/>
      <c r="AW98" s="463"/>
      <c r="AX98" s="462"/>
      <c r="AY98" s="465">
        <f t="shared" si="96"/>
        <v>22582638</v>
      </c>
    </row>
    <row r="99" spans="1:51" s="558" customFormat="1" x14ac:dyDescent="0.25">
      <c r="A99" s="740" t="s">
        <v>260</v>
      </c>
      <c r="B99" s="741" t="s">
        <v>262</v>
      </c>
      <c r="C99" s="742">
        <f t="shared" ref="C99" si="152">SUM(C97:C98)</f>
        <v>0</v>
      </c>
      <c r="D99" s="743">
        <f t="shared" ref="D99" si="153">SUM(D97:D98)</f>
        <v>0</v>
      </c>
      <c r="E99" s="744">
        <f t="shared" ref="E99" si="154">SUM(E97:E98)</f>
        <v>1027702</v>
      </c>
      <c r="F99" s="745">
        <f t="shared" ref="F99" si="155">SUM(F97:F98)</f>
        <v>175076</v>
      </c>
      <c r="G99" s="744">
        <f t="shared" ref="G99" si="156">SUM(G97:G98)</f>
        <v>1202778</v>
      </c>
      <c r="H99" s="745">
        <f t="shared" ref="H99" si="157">SUM(H97:H98)</f>
        <v>21554936</v>
      </c>
      <c r="I99" s="746">
        <f t="shared" ref="I99" si="158">SUM(I97:I98)</f>
        <v>22582638</v>
      </c>
      <c r="J99" s="773">
        <f t="shared" si="97"/>
        <v>1.0476782672887546</v>
      </c>
      <c r="K99" s="1127"/>
      <c r="L99" s="774">
        <f t="shared" ref="L99:AX99" si="159">SUM(L97:L98)</f>
        <v>4780089</v>
      </c>
      <c r="M99" s="752">
        <f t="shared" si="159"/>
        <v>0</v>
      </c>
      <c r="N99" s="752">
        <f t="shared" si="159"/>
        <v>0</v>
      </c>
      <c r="O99" s="752">
        <f t="shared" si="159"/>
        <v>0</v>
      </c>
      <c r="P99" s="752">
        <f t="shared" si="159"/>
        <v>0</v>
      </c>
      <c r="Q99" s="775">
        <f t="shared" si="159"/>
        <v>0</v>
      </c>
      <c r="R99" s="752">
        <f t="shared" si="159"/>
        <v>0</v>
      </c>
      <c r="S99" s="752">
        <f t="shared" si="159"/>
        <v>0</v>
      </c>
      <c r="T99" s="751">
        <f t="shared" si="159"/>
        <v>0</v>
      </c>
      <c r="U99" s="752">
        <f t="shared" si="159"/>
        <v>0</v>
      </c>
      <c r="V99" s="752">
        <f t="shared" si="159"/>
        <v>0</v>
      </c>
      <c r="W99" s="752">
        <f t="shared" si="159"/>
        <v>0</v>
      </c>
      <c r="X99" s="752">
        <f t="shared" si="159"/>
        <v>0</v>
      </c>
      <c r="Y99" s="752">
        <f t="shared" si="159"/>
        <v>16599771</v>
      </c>
      <c r="Z99" s="752">
        <f t="shared" si="159"/>
        <v>0</v>
      </c>
      <c r="AA99" s="752">
        <f t="shared" si="159"/>
        <v>0</v>
      </c>
      <c r="AB99" s="752">
        <f t="shared" si="159"/>
        <v>0</v>
      </c>
      <c r="AC99" s="752">
        <f t="shared" si="159"/>
        <v>0</v>
      </c>
      <c r="AD99" s="752">
        <f t="shared" si="159"/>
        <v>0</v>
      </c>
      <c r="AE99" s="752">
        <f t="shared" si="159"/>
        <v>0</v>
      </c>
      <c r="AF99" s="752">
        <f t="shared" si="159"/>
        <v>0</v>
      </c>
      <c r="AG99" s="752">
        <f t="shared" si="159"/>
        <v>0</v>
      </c>
      <c r="AH99" s="752">
        <f t="shared" si="159"/>
        <v>0</v>
      </c>
      <c r="AI99" s="752">
        <f t="shared" si="159"/>
        <v>0</v>
      </c>
      <c r="AJ99" s="752">
        <f t="shared" si="159"/>
        <v>1202778</v>
      </c>
      <c r="AK99" s="752">
        <f t="shared" si="159"/>
        <v>0</v>
      </c>
      <c r="AL99" s="752">
        <f t="shared" si="159"/>
        <v>0</v>
      </c>
      <c r="AM99" s="752">
        <f t="shared" si="159"/>
        <v>0</v>
      </c>
      <c r="AN99" s="752">
        <f t="shared" si="159"/>
        <v>0</v>
      </c>
      <c r="AO99" s="752">
        <f t="shared" si="159"/>
        <v>0</v>
      </c>
      <c r="AP99" s="752">
        <f t="shared" si="159"/>
        <v>0</v>
      </c>
      <c r="AQ99" s="752">
        <f t="shared" si="159"/>
        <v>0</v>
      </c>
      <c r="AR99" s="752">
        <f t="shared" si="159"/>
        <v>0</v>
      </c>
      <c r="AS99" s="752">
        <f t="shared" si="159"/>
        <v>0</v>
      </c>
      <c r="AT99" s="752">
        <f t="shared" si="159"/>
        <v>0</v>
      </c>
      <c r="AU99" s="752">
        <f t="shared" si="159"/>
        <v>0</v>
      </c>
      <c r="AV99" s="755">
        <f t="shared" si="159"/>
        <v>0</v>
      </c>
      <c r="AW99" s="752">
        <f t="shared" si="159"/>
        <v>0</v>
      </c>
      <c r="AX99" s="751">
        <f t="shared" si="159"/>
        <v>0</v>
      </c>
      <c r="AY99" s="753">
        <f t="shared" si="96"/>
        <v>22582638</v>
      </c>
    </row>
    <row r="100" spans="1:51" s="731" customFormat="1" x14ac:dyDescent="0.25">
      <c r="A100" s="717" t="s">
        <v>263</v>
      </c>
      <c r="B100" s="718" t="s">
        <v>575</v>
      </c>
      <c r="C100" s="719">
        <v>2500000</v>
      </c>
      <c r="D100" s="720">
        <f>C100</f>
        <v>2500000</v>
      </c>
      <c r="E100" s="721">
        <v>1170962</v>
      </c>
      <c r="F100" s="722">
        <v>2500000</v>
      </c>
      <c r="G100" s="721">
        <v>2649827</v>
      </c>
      <c r="H100" s="722">
        <v>2500000</v>
      </c>
      <c r="I100" s="723">
        <f t="shared" ref="I100:I102" si="160">AY100</f>
        <v>2649831</v>
      </c>
      <c r="J100" s="736">
        <f t="shared" si="97"/>
        <v>1.0599324000000001</v>
      </c>
      <c r="K100" s="1127"/>
      <c r="L100" s="738"/>
      <c r="M100" s="729"/>
      <c r="N100" s="729"/>
      <c r="O100" s="729"/>
      <c r="P100" s="729"/>
      <c r="Q100" s="739"/>
      <c r="R100" s="729"/>
      <c r="S100" s="729"/>
      <c r="T100" s="728"/>
      <c r="U100" s="729"/>
      <c r="V100" s="729"/>
      <c r="W100" s="729"/>
      <c r="X100" s="729"/>
      <c r="Y100" s="729"/>
      <c r="Z100" s="729"/>
      <c r="AA100" s="729"/>
      <c r="AB100" s="729"/>
      <c r="AC100" s="729"/>
      <c r="AD100" s="729"/>
      <c r="AE100" s="729"/>
      <c r="AF100" s="729"/>
      <c r="AG100" s="729"/>
      <c r="AH100" s="729"/>
      <c r="AI100" s="729"/>
      <c r="AJ100" s="729"/>
      <c r="AK100" s="729"/>
      <c r="AL100" s="729"/>
      <c r="AM100" s="729"/>
      <c r="AN100" s="729"/>
      <c r="AO100" s="729"/>
      <c r="AP100" s="729"/>
      <c r="AQ100" s="729"/>
      <c r="AR100" s="729"/>
      <c r="AS100" s="729"/>
      <c r="AT100" s="729"/>
      <c r="AU100" s="729"/>
      <c r="AV100" s="733">
        <v>2649831</v>
      </c>
      <c r="AW100" s="729"/>
      <c r="AX100" s="728"/>
      <c r="AY100" s="730">
        <f t="shared" si="96"/>
        <v>2649831</v>
      </c>
    </row>
    <row r="101" spans="1:51" x14ac:dyDescent="0.25">
      <c r="A101" s="453" t="s">
        <v>783</v>
      </c>
      <c r="B101" s="454" t="s">
        <v>576</v>
      </c>
      <c r="C101" s="491">
        <v>6500000</v>
      </c>
      <c r="D101" s="492">
        <f>C101</f>
        <v>6500000</v>
      </c>
      <c r="E101" s="493">
        <v>2792901</v>
      </c>
      <c r="F101" s="494">
        <v>6500000</v>
      </c>
      <c r="G101" s="493">
        <v>5041092</v>
      </c>
      <c r="H101" s="494">
        <v>6500000</v>
      </c>
      <c r="I101" s="495">
        <f>AY101</f>
        <v>6292019</v>
      </c>
      <c r="J101" s="496">
        <f>IF(OR(I101="",I101=0),"",I101/H101)</f>
        <v>0.96800292307692304</v>
      </c>
      <c r="K101" s="1127"/>
      <c r="L101" s="538"/>
      <c r="M101" s="463"/>
      <c r="N101" s="463"/>
      <c r="O101" s="463"/>
      <c r="P101" s="463"/>
      <c r="Q101" s="539"/>
      <c r="R101" s="463"/>
      <c r="S101" s="463"/>
      <c r="T101" s="462"/>
      <c r="U101" s="463"/>
      <c r="V101" s="463"/>
      <c r="W101" s="463"/>
      <c r="X101" s="463"/>
      <c r="Y101" s="463"/>
      <c r="Z101" s="463"/>
      <c r="AA101" s="463"/>
      <c r="AB101" s="463"/>
      <c r="AC101" s="463"/>
      <c r="AD101" s="463"/>
      <c r="AE101" s="463"/>
      <c r="AF101" s="463"/>
      <c r="AG101" s="463"/>
      <c r="AH101" s="463"/>
      <c r="AI101" s="463"/>
      <c r="AJ101" s="463"/>
      <c r="AK101" s="463"/>
      <c r="AL101" s="463"/>
      <c r="AM101" s="463"/>
      <c r="AN101" s="463"/>
      <c r="AO101" s="463"/>
      <c r="AP101" s="463"/>
      <c r="AQ101" s="463"/>
      <c r="AR101" s="463"/>
      <c r="AS101" s="463"/>
      <c r="AT101" s="463"/>
      <c r="AU101" s="463"/>
      <c r="AV101" s="460">
        <v>6292019</v>
      </c>
      <c r="AW101" s="463"/>
      <c r="AX101" s="462"/>
      <c r="AY101" s="465">
        <f>SUM(L101:AX101)</f>
        <v>6292019</v>
      </c>
    </row>
    <row r="102" spans="1:51" x14ac:dyDescent="0.25">
      <c r="A102" s="453" t="s">
        <v>782</v>
      </c>
      <c r="B102" s="454" t="s">
        <v>426</v>
      </c>
      <c r="C102" s="491">
        <v>4200000</v>
      </c>
      <c r="D102" s="492">
        <f>C102</f>
        <v>4200000</v>
      </c>
      <c r="E102" s="493">
        <v>2947286</v>
      </c>
      <c r="F102" s="494">
        <v>4200000</v>
      </c>
      <c r="G102" s="493">
        <v>4140970</v>
      </c>
      <c r="H102" s="494">
        <v>4200000</v>
      </c>
      <c r="I102" s="495">
        <f t="shared" si="160"/>
        <v>4366685</v>
      </c>
      <c r="J102" s="496">
        <f t="shared" si="97"/>
        <v>1.0396869047619048</v>
      </c>
      <c r="K102" s="1127"/>
      <c r="L102" s="459"/>
      <c r="M102" s="460"/>
      <c r="N102" s="460"/>
      <c r="O102" s="460"/>
      <c r="P102" s="460"/>
      <c r="Q102" s="461"/>
      <c r="R102" s="460"/>
      <c r="S102" s="460"/>
      <c r="T102" s="462"/>
      <c r="U102" s="460"/>
      <c r="V102" s="460"/>
      <c r="W102" s="460"/>
      <c r="X102" s="460"/>
      <c r="Y102" s="463"/>
      <c r="Z102" s="460"/>
      <c r="AA102" s="460"/>
      <c r="AB102" s="460"/>
      <c r="AC102" s="460"/>
      <c r="AD102" s="460"/>
      <c r="AE102" s="460"/>
      <c r="AF102" s="460"/>
      <c r="AG102" s="460"/>
      <c r="AH102" s="460"/>
      <c r="AI102" s="460"/>
      <c r="AJ102" s="460"/>
      <c r="AK102" s="460"/>
      <c r="AL102" s="460"/>
      <c r="AM102" s="460"/>
      <c r="AN102" s="460"/>
      <c r="AO102" s="460"/>
      <c r="AP102" s="460"/>
      <c r="AQ102" s="460"/>
      <c r="AR102" s="460"/>
      <c r="AS102" s="463"/>
      <c r="AT102" s="460"/>
      <c r="AU102" s="460"/>
      <c r="AV102" s="460">
        <v>4366685</v>
      </c>
      <c r="AW102" s="460"/>
      <c r="AX102" s="464"/>
      <c r="AY102" s="465">
        <f t="shared" si="96"/>
        <v>4366685</v>
      </c>
    </row>
    <row r="103" spans="1:51" s="731" customFormat="1" x14ac:dyDescent="0.25">
      <c r="A103" s="717" t="s">
        <v>264</v>
      </c>
      <c r="B103" s="718" t="s">
        <v>586</v>
      </c>
      <c r="C103" s="719">
        <f>SUM(C101:C102)</f>
        <v>10700000</v>
      </c>
      <c r="D103" s="720">
        <f t="shared" ref="D103:I103" si="161">SUM(D101:D102)</f>
        <v>10700000</v>
      </c>
      <c r="E103" s="721">
        <f t="shared" si="161"/>
        <v>5740187</v>
      </c>
      <c r="F103" s="722">
        <f t="shared" si="161"/>
        <v>10700000</v>
      </c>
      <c r="G103" s="721">
        <f t="shared" si="161"/>
        <v>9182062</v>
      </c>
      <c r="H103" s="722">
        <f t="shared" si="161"/>
        <v>10700000</v>
      </c>
      <c r="I103" s="723">
        <f t="shared" si="161"/>
        <v>10658704</v>
      </c>
      <c r="J103" s="736">
        <f t="shared" si="97"/>
        <v>0.99614056074766355</v>
      </c>
      <c r="K103" s="1127"/>
      <c r="L103" s="738">
        <f t="shared" ref="L103:AX103" si="162">SUM(L101:L102)</f>
        <v>0</v>
      </c>
      <c r="M103" s="729">
        <f t="shared" si="162"/>
        <v>0</v>
      </c>
      <c r="N103" s="729">
        <f t="shared" si="162"/>
        <v>0</v>
      </c>
      <c r="O103" s="729">
        <f t="shared" si="162"/>
        <v>0</v>
      </c>
      <c r="P103" s="729">
        <f t="shared" si="162"/>
        <v>0</v>
      </c>
      <c r="Q103" s="739">
        <f t="shared" si="162"/>
        <v>0</v>
      </c>
      <c r="R103" s="729">
        <f t="shared" si="162"/>
        <v>0</v>
      </c>
      <c r="S103" s="729">
        <f t="shared" si="162"/>
        <v>0</v>
      </c>
      <c r="T103" s="728">
        <f t="shared" si="162"/>
        <v>0</v>
      </c>
      <c r="U103" s="729">
        <f t="shared" si="162"/>
        <v>0</v>
      </c>
      <c r="V103" s="729">
        <f t="shared" si="162"/>
        <v>0</v>
      </c>
      <c r="W103" s="729">
        <f t="shared" si="162"/>
        <v>0</v>
      </c>
      <c r="X103" s="729">
        <f t="shared" si="162"/>
        <v>0</v>
      </c>
      <c r="Y103" s="729">
        <f t="shared" si="162"/>
        <v>0</v>
      </c>
      <c r="Z103" s="729">
        <f t="shared" si="162"/>
        <v>0</v>
      </c>
      <c r="AA103" s="729">
        <f t="shared" si="162"/>
        <v>0</v>
      </c>
      <c r="AB103" s="729">
        <f t="shared" si="162"/>
        <v>0</v>
      </c>
      <c r="AC103" s="729">
        <f t="shared" si="162"/>
        <v>0</v>
      </c>
      <c r="AD103" s="729">
        <f t="shared" si="162"/>
        <v>0</v>
      </c>
      <c r="AE103" s="729">
        <f t="shared" si="162"/>
        <v>0</v>
      </c>
      <c r="AF103" s="729">
        <f t="shared" si="162"/>
        <v>0</v>
      </c>
      <c r="AG103" s="729">
        <f t="shared" si="162"/>
        <v>0</v>
      </c>
      <c r="AH103" s="729">
        <f t="shared" si="162"/>
        <v>0</v>
      </c>
      <c r="AI103" s="729">
        <f t="shared" si="162"/>
        <v>0</v>
      </c>
      <c r="AJ103" s="729">
        <f t="shared" si="162"/>
        <v>0</v>
      </c>
      <c r="AK103" s="729">
        <f t="shared" si="162"/>
        <v>0</v>
      </c>
      <c r="AL103" s="729">
        <f t="shared" si="162"/>
        <v>0</v>
      </c>
      <c r="AM103" s="729">
        <f t="shared" si="162"/>
        <v>0</v>
      </c>
      <c r="AN103" s="729">
        <f t="shared" si="162"/>
        <v>0</v>
      </c>
      <c r="AO103" s="729">
        <f t="shared" si="162"/>
        <v>0</v>
      </c>
      <c r="AP103" s="729">
        <f t="shared" si="162"/>
        <v>0</v>
      </c>
      <c r="AQ103" s="729">
        <f t="shared" si="162"/>
        <v>0</v>
      </c>
      <c r="AR103" s="729">
        <f t="shared" si="162"/>
        <v>0</v>
      </c>
      <c r="AS103" s="729">
        <f t="shared" si="162"/>
        <v>0</v>
      </c>
      <c r="AT103" s="729">
        <f t="shared" si="162"/>
        <v>0</v>
      </c>
      <c r="AU103" s="729">
        <f t="shared" si="162"/>
        <v>0</v>
      </c>
      <c r="AV103" s="733">
        <f t="shared" si="162"/>
        <v>10658704</v>
      </c>
      <c r="AW103" s="729">
        <f t="shared" si="162"/>
        <v>0</v>
      </c>
      <c r="AX103" s="728">
        <f t="shared" si="162"/>
        <v>0</v>
      </c>
      <c r="AY103" s="730">
        <f t="shared" si="96"/>
        <v>10658704</v>
      </c>
    </row>
    <row r="104" spans="1:51" x14ac:dyDescent="0.25">
      <c r="A104" s="453" t="s">
        <v>265</v>
      </c>
      <c r="B104" s="454" t="s">
        <v>429</v>
      </c>
      <c r="C104" s="491">
        <v>150000000</v>
      </c>
      <c r="D104" s="492">
        <f>C104</f>
        <v>150000000</v>
      </c>
      <c r="E104" s="493">
        <v>77239005</v>
      </c>
      <c r="F104" s="494">
        <v>150000000</v>
      </c>
      <c r="G104" s="493">
        <v>134379138</v>
      </c>
      <c r="H104" s="494">
        <v>150000000</v>
      </c>
      <c r="I104" s="495">
        <f t="shared" ref="I104:I106" si="163">AY104</f>
        <v>171871757</v>
      </c>
      <c r="J104" s="496">
        <f t="shared" si="97"/>
        <v>1.1458117133333334</v>
      </c>
      <c r="K104" s="1127"/>
      <c r="L104" s="459"/>
      <c r="M104" s="460"/>
      <c r="N104" s="460"/>
      <c r="O104" s="460"/>
      <c r="P104" s="460"/>
      <c r="Q104" s="461"/>
      <c r="R104" s="460"/>
      <c r="S104" s="460"/>
      <c r="T104" s="462"/>
      <c r="U104" s="460"/>
      <c r="V104" s="460"/>
      <c r="W104" s="460"/>
      <c r="X104" s="460"/>
      <c r="Y104" s="463"/>
      <c r="Z104" s="460"/>
      <c r="AA104" s="460"/>
      <c r="AB104" s="460"/>
      <c r="AC104" s="460"/>
      <c r="AD104" s="460"/>
      <c r="AE104" s="460"/>
      <c r="AF104" s="460"/>
      <c r="AG104" s="460"/>
      <c r="AH104" s="460"/>
      <c r="AI104" s="460"/>
      <c r="AJ104" s="460"/>
      <c r="AK104" s="460"/>
      <c r="AL104" s="460"/>
      <c r="AM104" s="460"/>
      <c r="AN104" s="460"/>
      <c r="AO104" s="460"/>
      <c r="AP104" s="460"/>
      <c r="AQ104" s="460"/>
      <c r="AR104" s="460"/>
      <c r="AS104" s="463"/>
      <c r="AT104" s="460"/>
      <c r="AU104" s="934"/>
      <c r="AV104" s="460">
        <v>171871757</v>
      </c>
      <c r="AW104" s="460"/>
      <c r="AX104" s="464"/>
      <c r="AY104" s="465">
        <f t="shared" si="96"/>
        <v>171871757</v>
      </c>
    </row>
    <row r="105" spans="1:51" x14ac:dyDescent="0.25">
      <c r="A105" s="453" t="s">
        <v>266</v>
      </c>
      <c r="B105" s="454" t="s">
        <v>268</v>
      </c>
      <c r="C105" s="491">
        <v>6000000</v>
      </c>
      <c r="D105" s="492">
        <f>C105</f>
        <v>6000000</v>
      </c>
      <c r="E105" s="493">
        <v>4151699</v>
      </c>
      <c r="F105" s="494">
        <v>6000000</v>
      </c>
      <c r="G105" s="493">
        <v>4493377</v>
      </c>
      <c r="H105" s="494">
        <v>6000000</v>
      </c>
      <c r="I105" s="495">
        <f t="shared" si="163"/>
        <v>7136693</v>
      </c>
      <c r="J105" s="496">
        <f t="shared" si="97"/>
        <v>1.1894488333333333</v>
      </c>
      <c r="K105" s="1127"/>
      <c r="L105" s="538"/>
      <c r="M105" s="463"/>
      <c r="N105" s="463"/>
      <c r="O105" s="463"/>
      <c r="P105" s="463"/>
      <c r="Q105" s="539"/>
      <c r="R105" s="463"/>
      <c r="S105" s="463"/>
      <c r="T105" s="462"/>
      <c r="U105" s="463"/>
      <c r="V105" s="463"/>
      <c r="W105" s="463"/>
      <c r="X105" s="463"/>
      <c r="Y105" s="463"/>
      <c r="Z105" s="463"/>
      <c r="AA105" s="463"/>
      <c r="AB105" s="463"/>
      <c r="AC105" s="463"/>
      <c r="AD105" s="463"/>
      <c r="AE105" s="463"/>
      <c r="AF105" s="463"/>
      <c r="AG105" s="463"/>
      <c r="AH105" s="463"/>
      <c r="AI105" s="463"/>
      <c r="AJ105" s="463"/>
      <c r="AK105" s="463"/>
      <c r="AL105" s="463"/>
      <c r="AM105" s="463"/>
      <c r="AN105" s="463"/>
      <c r="AO105" s="463"/>
      <c r="AP105" s="463"/>
      <c r="AQ105" s="463"/>
      <c r="AR105" s="463"/>
      <c r="AS105" s="463"/>
      <c r="AT105" s="463"/>
      <c r="AU105" s="463"/>
      <c r="AV105" s="460">
        <v>7136693</v>
      </c>
      <c r="AW105" s="463"/>
      <c r="AX105" s="462"/>
      <c r="AY105" s="465">
        <f t="shared" si="96"/>
        <v>7136693</v>
      </c>
    </row>
    <row r="106" spans="1:51" x14ac:dyDescent="0.25">
      <c r="A106" s="453" t="s">
        <v>267</v>
      </c>
      <c r="B106" s="454" t="s">
        <v>425</v>
      </c>
      <c r="C106" s="491">
        <v>2000000</v>
      </c>
      <c r="D106" s="492">
        <f>C106</f>
        <v>2000000</v>
      </c>
      <c r="E106" s="493">
        <v>801600</v>
      </c>
      <c r="F106" s="494">
        <v>2000000</v>
      </c>
      <c r="G106" s="493">
        <v>1687500</v>
      </c>
      <c r="H106" s="494">
        <v>2000000</v>
      </c>
      <c r="I106" s="495">
        <f t="shared" si="163"/>
        <v>2170500</v>
      </c>
      <c r="J106" s="496">
        <f t="shared" si="97"/>
        <v>1.08525</v>
      </c>
      <c r="K106" s="1127"/>
      <c r="L106" s="459"/>
      <c r="M106" s="460"/>
      <c r="N106" s="460"/>
      <c r="O106" s="460"/>
      <c r="P106" s="460"/>
      <c r="Q106" s="461"/>
      <c r="R106" s="460"/>
      <c r="S106" s="460"/>
      <c r="T106" s="462"/>
      <c r="U106" s="460"/>
      <c r="V106" s="460"/>
      <c r="W106" s="460"/>
      <c r="X106" s="460"/>
      <c r="Y106" s="463"/>
      <c r="Z106" s="460"/>
      <c r="AA106" s="460"/>
      <c r="AB106" s="460"/>
      <c r="AC106" s="460"/>
      <c r="AD106" s="460"/>
      <c r="AE106" s="460"/>
      <c r="AF106" s="460"/>
      <c r="AG106" s="460"/>
      <c r="AH106" s="460"/>
      <c r="AI106" s="460"/>
      <c r="AJ106" s="460"/>
      <c r="AK106" s="460"/>
      <c r="AL106" s="460"/>
      <c r="AM106" s="460"/>
      <c r="AN106" s="460"/>
      <c r="AO106" s="460"/>
      <c r="AP106" s="460"/>
      <c r="AQ106" s="460"/>
      <c r="AR106" s="460"/>
      <c r="AS106" s="463"/>
      <c r="AT106" s="460"/>
      <c r="AU106" s="460"/>
      <c r="AV106" s="460">
        <v>2170500</v>
      </c>
      <c r="AW106" s="460"/>
      <c r="AX106" s="464"/>
      <c r="AY106" s="465">
        <f t="shared" si="96"/>
        <v>2170500</v>
      </c>
    </row>
    <row r="107" spans="1:51" s="731" customFormat="1" x14ac:dyDescent="0.25">
      <c r="A107" s="717" t="s">
        <v>579</v>
      </c>
      <c r="B107" s="718" t="s">
        <v>580</v>
      </c>
      <c r="C107" s="719">
        <f t="shared" ref="C107" si="164">SUM(C104:C106)</f>
        <v>158000000</v>
      </c>
      <c r="D107" s="720">
        <f t="shared" ref="D107" si="165">SUM(D104:D106)</f>
        <v>158000000</v>
      </c>
      <c r="E107" s="721">
        <f t="shared" ref="E107" si="166">SUM(E104:E106)</f>
        <v>82192304</v>
      </c>
      <c r="F107" s="722">
        <f t="shared" ref="F107" si="167">SUM(F104:F106)</f>
        <v>158000000</v>
      </c>
      <c r="G107" s="721">
        <f t="shared" ref="G107" si="168">SUM(G104:G106)</f>
        <v>140560015</v>
      </c>
      <c r="H107" s="722">
        <f t="shared" ref="H107" si="169">SUM(H104:H106)</f>
        <v>158000000</v>
      </c>
      <c r="I107" s="723">
        <f t="shared" ref="I107" si="170">SUM(I104:I106)</f>
        <v>181178950</v>
      </c>
      <c r="J107" s="736">
        <f t="shared" si="97"/>
        <v>1.1467022151898734</v>
      </c>
      <c r="K107" s="1127"/>
      <c r="L107" s="732">
        <f t="shared" ref="L107:AX107" si="171">SUM(L104:L106)</f>
        <v>0</v>
      </c>
      <c r="M107" s="733">
        <f t="shared" si="171"/>
        <v>0</v>
      </c>
      <c r="N107" s="733">
        <f t="shared" si="171"/>
        <v>0</v>
      </c>
      <c r="O107" s="733">
        <f t="shared" si="171"/>
        <v>0</v>
      </c>
      <c r="P107" s="733">
        <f t="shared" si="171"/>
        <v>0</v>
      </c>
      <c r="Q107" s="734">
        <f t="shared" si="171"/>
        <v>0</v>
      </c>
      <c r="R107" s="733">
        <f t="shared" si="171"/>
        <v>0</v>
      </c>
      <c r="S107" s="733">
        <f t="shared" si="171"/>
        <v>0</v>
      </c>
      <c r="T107" s="728">
        <f t="shared" si="171"/>
        <v>0</v>
      </c>
      <c r="U107" s="733">
        <f t="shared" si="171"/>
        <v>0</v>
      </c>
      <c r="V107" s="733">
        <f t="shared" si="171"/>
        <v>0</v>
      </c>
      <c r="W107" s="733">
        <f t="shared" si="171"/>
        <v>0</v>
      </c>
      <c r="X107" s="733">
        <f t="shared" si="171"/>
        <v>0</v>
      </c>
      <c r="Y107" s="729">
        <f t="shared" si="171"/>
        <v>0</v>
      </c>
      <c r="Z107" s="733">
        <f t="shared" si="171"/>
        <v>0</v>
      </c>
      <c r="AA107" s="733">
        <f t="shared" si="171"/>
        <v>0</v>
      </c>
      <c r="AB107" s="733">
        <f t="shared" si="171"/>
        <v>0</v>
      </c>
      <c r="AC107" s="733">
        <f t="shared" si="171"/>
        <v>0</v>
      </c>
      <c r="AD107" s="733">
        <f t="shared" si="171"/>
        <v>0</v>
      </c>
      <c r="AE107" s="733">
        <f t="shared" si="171"/>
        <v>0</v>
      </c>
      <c r="AF107" s="733">
        <f t="shared" si="171"/>
        <v>0</v>
      </c>
      <c r="AG107" s="733">
        <f t="shared" si="171"/>
        <v>0</v>
      </c>
      <c r="AH107" s="733">
        <f t="shared" si="171"/>
        <v>0</v>
      </c>
      <c r="AI107" s="733">
        <f t="shared" si="171"/>
        <v>0</v>
      </c>
      <c r="AJ107" s="733">
        <f t="shared" si="171"/>
        <v>0</v>
      </c>
      <c r="AK107" s="733">
        <f t="shared" si="171"/>
        <v>0</v>
      </c>
      <c r="AL107" s="733">
        <f t="shared" si="171"/>
        <v>0</v>
      </c>
      <c r="AM107" s="733">
        <f t="shared" si="171"/>
        <v>0</v>
      </c>
      <c r="AN107" s="733">
        <f t="shared" si="171"/>
        <v>0</v>
      </c>
      <c r="AO107" s="733">
        <f t="shared" si="171"/>
        <v>0</v>
      </c>
      <c r="AP107" s="733">
        <f t="shared" si="171"/>
        <v>0</v>
      </c>
      <c r="AQ107" s="733">
        <f t="shared" si="171"/>
        <v>0</v>
      </c>
      <c r="AR107" s="733">
        <f t="shared" si="171"/>
        <v>0</v>
      </c>
      <c r="AS107" s="729">
        <f t="shared" si="171"/>
        <v>0</v>
      </c>
      <c r="AT107" s="733">
        <f t="shared" si="171"/>
        <v>0</v>
      </c>
      <c r="AU107" s="733">
        <f t="shared" si="171"/>
        <v>0</v>
      </c>
      <c r="AV107" s="733">
        <f t="shared" si="171"/>
        <v>181178950</v>
      </c>
      <c r="AW107" s="733">
        <f t="shared" si="171"/>
        <v>0</v>
      </c>
      <c r="AX107" s="735">
        <f t="shared" si="171"/>
        <v>0</v>
      </c>
      <c r="AY107" s="730">
        <f t="shared" si="96"/>
        <v>181178950</v>
      </c>
    </row>
    <row r="108" spans="1:51" x14ac:dyDescent="0.25">
      <c r="A108" s="453" t="s">
        <v>584</v>
      </c>
      <c r="B108" s="454" t="s">
        <v>577</v>
      </c>
      <c r="C108" s="491">
        <v>50000</v>
      </c>
      <c r="D108" s="492">
        <f>C108</f>
        <v>50000</v>
      </c>
      <c r="E108" s="493">
        <v>63000</v>
      </c>
      <c r="F108" s="494">
        <v>50000</v>
      </c>
      <c r="G108" s="493">
        <v>417600</v>
      </c>
      <c r="H108" s="494">
        <v>129947</v>
      </c>
      <c r="I108" s="495">
        <f t="shared" ref="I108:I110" si="172">AY108</f>
        <v>627340</v>
      </c>
      <c r="J108" s="496">
        <f t="shared" si="97"/>
        <v>4.8276605077454651</v>
      </c>
      <c r="K108" s="1127"/>
      <c r="L108" s="538"/>
      <c r="M108" s="463"/>
      <c r="N108" s="463"/>
      <c r="O108" s="463"/>
      <c r="P108" s="463"/>
      <c r="Q108" s="539"/>
      <c r="R108" s="463"/>
      <c r="S108" s="463"/>
      <c r="T108" s="462"/>
      <c r="U108" s="463"/>
      <c r="V108" s="463"/>
      <c r="W108" s="463"/>
      <c r="X108" s="463"/>
      <c r="Y108" s="463"/>
      <c r="Z108" s="463"/>
      <c r="AA108" s="463"/>
      <c r="AB108" s="463"/>
      <c r="AC108" s="463"/>
      <c r="AD108" s="463"/>
      <c r="AE108" s="463"/>
      <c r="AF108" s="463"/>
      <c r="AG108" s="463"/>
      <c r="AH108" s="463"/>
      <c r="AI108" s="463"/>
      <c r="AJ108" s="463"/>
      <c r="AK108" s="463"/>
      <c r="AL108" s="463"/>
      <c r="AM108" s="463"/>
      <c r="AN108" s="463"/>
      <c r="AO108" s="463"/>
      <c r="AP108" s="463"/>
      <c r="AQ108" s="463"/>
      <c r="AR108" s="463"/>
      <c r="AS108" s="463"/>
      <c r="AT108" s="463"/>
      <c r="AU108" s="463"/>
      <c r="AV108" s="460">
        <v>627340</v>
      </c>
      <c r="AW108" s="463"/>
      <c r="AX108" s="462"/>
      <c r="AY108" s="465">
        <f t="shared" si="96"/>
        <v>627340</v>
      </c>
    </row>
    <row r="109" spans="1:51" x14ac:dyDescent="0.25">
      <c r="A109" s="453" t="s">
        <v>585</v>
      </c>
      <c r="B109" s="454" t="s">
        <v>482</v>
      </c>
      <c r="C109" s="491">
        <v>15000</v>
      </c>
      <c r="D109" s="492">
        <v>15000</v>
      </c>
      <c r="E109" s="493">
        <v>10341</v>
      </c>
      <c r="F109" s="494">
        <v>15000</v>
      </c>
      <c r="G109" s="493">
        <v>60053</v>
      </c>
      <c r="H109" s="494">
        <v>60053</v>
      </c>
      <c r="I109" s="495">
        <f t="shared" si="172"/>
        <v>220054</v>
      </c>
      <c r="J109" s="496">
        <f t="shared" si="97"/>
        <v>3.6643298419729238</v>
      </c>
      <c r="K109" s="1127"/>
      <c r="L109" s="538">
        <v>130000</v>
      </c>
      <c r="M109" s="463"/>
      <c r="N109" s="463"/>
      <c r="O109" s="463"/>
      <c r="P109" s="463"/>
      <c r="Q109" s="539"/>
      <c r="R109" s="463"/>
      <c r="S109" s="463"/>
      <c r="T109" s="462"/>
      <c r="U109" s="463"/>
      <c r="V109" s="463"/>
      <c r="W109" s="463"/>
      <c r="X109" s="463"/>
      <c r="Y109" s="463"/>
      <c r="Z109" s="463"/>
      <c r="AA109" s="463"/>
      <c r="AB109" s="463"/>
      <c r="AC109" s="463"/>
      <c r="AD109" s="463"/>
      <c r="AE109" s="463"/>
      <c r="AF109" s="463"/>
      <c r="AG109" s="463"/>
      <c r="AH109" s="463"/>
      <c r="AI109" s="463"/>
      <c r="AJ109" s="463"/>
      <c r="AK109" s="463"/>
      <c r="AL109" s="463"/>
      <c r="AM109" s="463"/>
      <c r="AN109" s="463"/>
      <c r="AO109" s="463"/>
      <c r="AP109" s="463"/>
      <c r="AQ109" s="463"/>
      <c r="AR109" s="463"/>
      <c r="AS109" s="463"/>
      <c r="AT109" s="463"/>
      <c r="AU109" s="463"/>
      <c r="AV109" s="460">
        <v>90054</v>
      </c>
      <c r="AW109" s="463"/>
      <c r="AX109" s="462"/>
      <c r="AY109" s="465">
        <f t="shared" si="96"/>
        <v>220054</v>
      </c>
    </row>
    <row r="110" spans="1:51" x14ac:dyDescent="0.25">
      <c r="A110" s="453" t="s">
        <v>583</v>
      </c>
      <c r="B110" s="454" t="s">
        <v>582</v>
      </c>
      <c r="C110" s="491">
        <v>0</v>
      </c>
      <c r="D110" s="492">
        <v>0</v>
      </c>
      <c r="E110" s="493">
        <v>5000</v>
      </c>
      <c r="F110" s="494">
        <v>0</v>
      </c>
      <c r="G110" s="493">
        <v>5000</v>
      </c>
      <c r="H110" s="494">
        <v>5000</v>
      </c>
      <c r="I110" s="495">
        <f t="shared" si="172"/>
        <v>5000</v>
      </c>
      <c r="J110" s="496">
        <f t="shared" si="97"/>
        <v>1</v>
      </c>
      <c r="K110" s="1127"/>
      <c r="L110" s="538"/>
      <c r="M110" s="463"/>
      <c r="N110" s="463"/>
      <c r="O110" s="463"/>
      <c r="P110" s="463"/>
      <c r="Q110" s="539"/>
      <c r="R110" s="463"/>
      <c r="S110" s="463"/>
      <c r="T110" s="462"/>
      <c r="U110" s="463"/>
      <c r="V110" s="463"/>
      <c r="W110" s="463"/>
      <c r="X110" s="463"/>
      <c r="Y110" s="463"/>
      <c r="Z110" s="463"/>
      <c r="AA110" s="463"/>
      <c r="AB110" s="463"/>
      <c r="AC110" s="463"/>
      <c r="AD110" s="463"/>
      <c r="AE110" s="463"/>
      <c r="AF110" s="463"/>
      <c r="AG110" s="463"/>
      <c r="AH110" s="463"/>
      <c r="AI110" s="463"/>
      <c r="AJ110" s="463"/>
      <c r="AK110" s="463"/>
      <c r="AL110" s="463"/>
      <c r="AM110" s="463"/>
      <c r="AN110" s="463"/>
      <c r="AO110" s="463"/>
      <c r="AP110" s="463"/>
      <c r="AQ110" s="463"/>
      <c r="AR110" s="463"/>
      <c r="AS110" s="463"/>
      <c r="AT110" s="463"/>
      <c r="AU110" s="463"/>
      <c r="AV110" s="460">
        <v>5000</v>
      </c>
      <c r="AW110" s="463"/>
      <c r="AX110" s="462"/>
      <c r="AY110" s="465">
        <f t="shared" si="96"/>
        <v>5000</v>
      </c>
    </row>
    <row r="111" spans="1:51" s="731" customFormat="1" x14ac:dyDescent="0.25">
      <c r="A111" s="717" t="s">
        <v>578</v>
      </c>
      <c r="B111" s="718" t="s">
        <v>581</v>
      </c>
      <c r="C111" s="719">
        <f t="shared" ref="C111" si="173">SUM(C108:C110)</f>
        <v>65000</v>
      </c>
      <c r="D111" s="720">
        <f t="shared" ref="D111" si="174">SUM(D108:D110)</f>
        <v>65000</v>
      </c>
      <c r="E111" s="721">
        <f t="shared" ref="E111" si="175">SUM(E108:E110)</f>
        <v>78341</v>
      </c>
      <c r="F111" s="722">
        <f t="shared" ref="F111" si="176">SUM(F108:F110)</f>
        <v>65000</v>
      </c>
      <c r="G111" s="721">
        <f t="shared" ref="G111" si="177">SUM(G108:G110)</f>
        <v>482653</v>
      </c>
      <c r="H111" s="722">
        <f t="shared" ref="H111" si="178">SUM(H108:H110)</f>
        <v>195000</v>
      </c>
      <c r="I111" s="723">
        <f t="shared" ref="I111" si="179">SUM(I108:I110)</f>
        <v>852394</v>
      </c>
      <c r="J111" s="736">
        <f t="shared" si="97"/>
        <v>4.3712512820512819</v>
      </c>
      <c r="K111" s="1127"/>
      <c r="L111" s="732">
        <f t="shared" ref="L111:AX111" si="180">SUM(L108:L110)</f>
        <v>130000</v>
      </c>
      <c r="M111" s="733">
        <f t="shared" si="180"/>
        <v>0</v>
      </c>
      <c r="N111" s="733">
        <f t="shared" si="180"/>
        <v>0</v>
      </c>
      <c r="O111" s="733">
        <f t="shared" si="180"/>
        <v>0</v>
      </c>
      <c r="P111" s="733">
        <f t="shared" si="180"/>
        <v>0</v>
      </c>
      <c r="Q111" s="734">
        <f t="shared" si="180"/>
        <v>0</v>
      </c>
      <c r="R111" s="733">
        <f t="shared" si="180"/>
        <v>0</v>
      </c>
      <c r="S111" s="733">
        <f t="shared" si="180"/>
        <v>0</v>
      </c>
      <c r="T111" s="728">
        <f t="shared" si="180"/>
        <v>0</v>
      </c>
      <c r="U111" s="733">
        <f t="shared" si="180"/>
        <v>0</v>
      </c>
      <c r="V111" s="733">
        <f t="shared" si="180"/>
        <v>0</v>
      </c>
      <c r="W111" s="733">
        <f t="shared" si="180"/>
        <v>0</v>
      </c>
      <c r="X111" s="733">
        <f t="shared" si="180"/>
        <v>0</v>
      </c>
      <c r="Y111" s="729">
        <f t="shared" si="180"/>
        <v>0</v>
      </c>
      <c r="Z111" s="733">
        <f t="shared" si="180"/>
        <v>0</v>
      </c>
      <c r="AA111" s="733">
        <f t="shared" si="180"/>
        <v>0</v>
      </c>
      <c r="AB111" s="733">
        <f t="shared" si="180"/>
        <v>0</v>
      </c>
      <c r="AC111" s="733">
        <f t="shared" si="180"/>
        <v>0</v>
      </c>
      <c r="AD111" s="733">
        <f t="shared" si="180"/>
        <v>0</v>
      </c>
      <c r="AE111" s="733">
        <f t="shared" si="180"/>
        <v>0</v>
      </c>
      <c r="AF111" s="733">
        <f t="shared" si="180"/>
        <v>0</v>
      </c>
      <c r="AG111" s="733">
        <f t="shared" si="180"/>
        <v>0</v>
      </c>
      <c r="AH111" s="733">
        <f t="shared" si="180"/>
        <v>0</v>
      </c>
      <c r="AI111" s="733">
        <f t="shared" si="180"/>
        <v>0</v>
      </c>
      <c r="AJ111" s="733">
        <f t="shared" si="180"/>
        <v>0</v>
      </c>
      <c r="AK111" s="733">
        <f t="shared" si="180"/>
        <v>0</v>
      </c>
      <c r="AL111" s="733">
        <f t="shared" si="180"/>
        <v>0</v>
      </c>
      <c r="AM111" s="733">
        <f t="shared" si="180"/>
        <v>0</v>
      </c>
      <c r="AN111" s="733">
        <f t="shared" si="180"/>
        <v>0</v>
      </c>
      <c r="AO111" s="733">
        <f t="shared" si="180"/>
        <v>0</v>
      </c>
      <c r="AP111" s="733">
        <f t="shared" si="180"/>
        <v>0</v>
      </c>
      <c r="AQ111" s="733">
        <f t="shared" si="180"/>
        <v>0</v>
      </c>
      <c r="AR111" s="733">
        <f t="shared" si="180"/>
        <v>0</v>
      </c>
      <c r="AS111" s="729">
        <f t="shared" si="180"/>
        <v>0</v>
      </c>
      <c r="AT111" s="733">
        <f t="shared" si="180"/>
        <v>0</v>
      </c>
      <c r="AU111" s="733">
        <f t="shared" si="180"/>
        <v>0</v>
      </c>
      <c r="AV111" s="733">
        <f t="shared" si="180"/>
        <v>722394</v>
      </c>
      <c r="AW111" s="733">
        <f t="shared" si="180"/>
        <v>0</v>
      </c>
      <c r="AX111" s="735">
        <f t="shared" si="180"/>
        <v>0</v>
      </c>
      <c r="AY111" s="730">
        <f t="shared" si="96"/>
        <v>852394</v>
      </c>
    </row>
    <row r="112" spans="1:51" s="558" customFormat="1" x14ac:dyDescent="0.25">
      <c r="A112" s="740" t="s">
        <v>269</v>
      </c>
      <c r="B112" s="741" t="s">
        <v>270</v>
      </c>
      <c r="C112" s="742">
        <f t="shared" ref="C112:I112" si="181">SUM(C111,C107,C103,C100)</f>
        <v>171265000</v>
      </c>
      <c r="D112" s="743">
        <f t="shared" si="181"/>
        <v>171265000</v>
      </c>
      <c r="E112" s="744">
        <f t="shared" si="181"/>
        <v>89181794</v>
      </c>
      <c r="F112" s="745">
        <f t="shared" si="181"/>
        <v>171265000</v>
      </c>
      <c r="G112" s="744">
        <f t="shared" si="181"/>
        <v>152874557</v>
      </c>
      <c r="H112" s="745">
        <f t="shared" si="181"/>
        <v>171395000</v>
      </c>
      <c r="I112" s="746">
        <f t="shared" si="181"/>
        <v>195339879</v>
      </c>
      <c r="J112" s="773">
        <f t="shared" si="97"/>
        <v>1.1397058198897283</v>
      </c>
      <c r="K112" s="1127"/>
      <c r="L112" s="754">
        <f t="shared" ref="L112:AX112" si="182">SUM(L111,L107,L103,L100)</f>
        <v>130000</v>
      </c>
      <c r="M112" s="755">
        <f t="shared" si="182"/>
        <v>0</v>
      </c>
      <c r="N112" s="755">
        <f t="shared" si="182"/>
        <v>0</v>
      </c>
      <c r="O112" s="755">
        <f t="shared" si="182"/>
        <v>0</v>
      </c>
      <c r="P112" s="755">
        <f t="shared" si="182"/>
        <v>0</v>
      </c>
      <c r="Q112" s="756">
        <f t="shared" si="182"/>
        <v>0</v>
      </c>
      <c r="R112" s="755">
        <f t="shared" si="182"/>
        <v>0</v>
      </c>
      <c r="S112" s="755">
        <f t="shared" si="182"/>
        <v>0</v>
      </c>
      <c r="T112" s="751">
        <f t="shared" si="182"/>
        <v>0</v>
      </c>
      <c r="U112" s="755">
        <f t="shared" si="182"/>
        <v>0</v>
      </c>
      <c r="V112" s="755">
        <f t="shared" si="182"/>
        <v>0</v>
      </c>
      <c r="W112" s="755">
        <f t="shared" si="182"/>
        <v>0</v>
      </c>
      <c r="X112" s="755">
        <f t="shared" si="182"/>
        <v>0</v>
      </c>
      <c r="Y112" s="752">
        <f t="shared" si="182"/>
        <v>0</v>
      </c>
      <c r="Z112" s="755">
        <f t="shared" si="182"/>
        <v>0</v>
      </c>
      <c r="AA112" s="755">
        <f t="shared" si="182"/>
        <v>0</v>
      </c>
      <c r="AB112" s="755">
        <f t="shared" si="182"/>
        <v>0</v>
      </c>
      <c r="AC112" s="755">
        <f t="shared" si="182"/>
        <v>0</v>
      </c>
      <c r="AD112" s="755">
        <f t="shared" si="182"/>
        <v>0</v>
      </c>
      <c r="AE112" s="755">
        <f t="shared" si="182"/>
        <v>0</v>
      </c>
      <c r="AF112" s="755">
        <f t="shared" si="182"/>
        <v>0</v>
      </c>
      <c r="AG112" s="755">
        <f t="shared" si="182"/>
        <v>0</v>
      </c>
      <c r="AH112" s="755">
        <f t="shared" si="182"/>
        <v>0</v>
      </c>
      <c r="AI112" s="755">
        <f t="shared" si="182"/>
        <v>0</v>
      </c>
      <c r="AJ112" s="755">
        <f t="shared" si="182"/>
        <v>0</v>
      </c>
      <c r="AK112" s="755">
        <f t="shared" si="182"/>
        <v>0</v>
      </c>
      <c r="AL112" s="755">
        <f t="shared" si="182"/>
        <v>0</v>
      </c>
      <c r="AM112" s="755">
        <f t="shared" si="182"/>
        <v>0</v>
      </c>
      <c r="AN112" s="755">
        <f t="shared" si="182"/>
        <v>0</v>
      </c>
      <c r="AO112" s="755">
        <f t="shared" si="182"/>
        <v>0</v>
      </c>
      <c r="AP112" s="755">
        <f t="shared" si="182"/>
        <v>0</v>
      </c>
      <c r="AQ112" s="755">
        <f t="shared" si="182"/>
        <v>0</v>
      </c>
      <c r="AR112" s="755">
        <f t="shared" si="182"/>
        <v>0</v>
      </c>
      <c r="AS112" s="755">
        <f t="shared" si="182"/>
        <v>0</v>
      </c>
      <c r="AT112" s="755">
        <f t="shared" si="182"/>
        <v>0</v>
      </c>
      <c r="AU112" s="755">
        <f t="shared" si="182"/>
        <v>0</v>
      </c>
      <c r="AV112" s="755">
        <f t="shared" si="182"/>
        <v>195209879</v>
      </c>
      <c r="AW112" s="755">
        <f t="shared" si="182"/>
        <v>0</v>
      </c>
      <c r="AX112" s="757">
        <f t="shared" si="182"/>
        <v>0</v>
      </c>
      <c r="AY112" s="753">
        <f t="shared" si="96"/>
        <v>195339879</v>
      </c>
    </row>
    <row r="113" spans="1:51" x14ac:dyDescent="0.25">
      <c r="A113" s="453" t="s">
        <v>273</v>
      </c>
      <c r="B113" s="454" t="s">
        <v>279</v>
      </c>
      <c r="C113" s="491">
        <v>0</v>
      </c>
      <c r="D113" s="492">
        <v>0</v>
      </c>
      <c r="E113" s="493">
        <v>0</v>
      </c>
      <c r="F113" s="494">
        <v>0</v>
      </c>
      <c r="G113" s="493">
        <v>207080</v>
      </c>
      <c r="H113" s="494">
        <v>207080</v>
      </c>
      <c r="I113" s="495">
        <f t="shared" ref="I113:I121" si="183">AY113</f>
        <v>207080</v>
      </c>
      <c r="J113" s="496">
        <f t="shared" si="97"/>
        <v>1</v>
      </c>
      <c r="K113" s="1127"/>
      <c r="L113" s="538">
        <v>207080</v>
      </c>
      <c r="M113" s="463"/>
      <c r="N113" s="463"/>
      <c r="O113" s="463"/>
      <c r="P113" s="463"/>
      <c r="Q113" s="539"/>
      <c r="R113" s="463"/>
      <c r="S113" s="463"/>
      <c r="T113" s="462"/>
      <c r="U113" s="463"/>
      <c r="V113" s="463"/>
      <c r="W113" s="463"/>
      <c r="X113" s="463"/>
      <c r="Y113" s="463"/>
      <c r="Z113" s="463"/>
      <c r="AA113" s="463"/>
      <c r="AB113" s="463"/>
      <c r="AC113" s="463"/>
      <c r="AD113" s="463"/>
      <c r="AE113" s="463"/>
      <c r="AF113" s="463"/>
      <c r="AG113" s="463"/>
      <c r="AH113" s="463"/>
      <c r="AI113" s="463"/>
      <c r="AJ113" s="463"/>
      <c r="AK113" s="463"/>
      <c r="AL113" s="463"/>
      <c r="AM113" s="463"/>
      <c r="AN113" s="463"/>
      <c r="AO113" s="463"/>
      <c r="AP113" s="463"/>
      <c r="AQ113" s="463"/>
      <c r="AR113" s="463"/>
      <c r="AS113" s="463"/>
      <c r="AT113" s="463"/>
      <c r="AU113" s="463"/>
      <c r="AV113" s="460"/>
      <c r="AW113" s="463"/>
      <c r="AX113" s="462"/>
      <c r="AY113" s="465">
        <f t="shared" si="96"/>
        <v>207080</v>
      </c>
    </row>
    <row r="114" spans="1:51" x14ac:dyDescent="0.25">
      <c r="A114" s="453" t="s">
        <v>274</v>
      </c>
      <c r="B114" s="454" t="s">
        <v>428</v>
      </c>
      <c r="C114" s="491">
        <v>4208581</v>
      </c>
      <c r="D114" s="492">
        <v>4208581</v>
      </c>
      <c r="E114" s="493">
        <v>2288881</v>
      </c>
      <c r="F114" s="494">
        <v>4287321</v>
      </c>
      <c r="G114" s="493">
        <v>3400526</v>
      </c>
      <c r="H114" s="494">
        <v>4287321</v>
      </c>
      <c r="I114" s="495">
        <f t="shared" si="183"/>
        <v>4733174</v>
      </c>
      <c r="J114" s="496">
        <f t="shared" si="97"/>
        <v>1.1039933795486738</v>
      </c>
      <c r="K114" s="1127"/>
      <c r="L114" s="538">
        <v>5000</v>
      </c>
      <c r="M114" s="463">
        <v>376883</v>
      </c>
      <c r="N114" s="463">
        <v>3263941</v>
      </c>
      <c r="O114" s="463">
        <v>55000</v>
      </c>
      <c r="P114" s="463">
        <v>118110</v>
      </c>
      <c r="Q114" s="539"/>
      <c r="R114" s="463"/>
      <c r="S114" s="463"/>
      <c r="T114" s="462"/>
      <c r="U114" s="463"/>
      <c r="V114" s="463"/>
      <c r="W114" s="463"/>
      <c r="X114" s="463"/>
      <c r="Y114" s="463"/>
      <c r="Z114" s="463"/>
      <c r="AA114" s="463"/>
      <c r="AB114" s="463">
        <v>398040</v>
      </c>
      <c r="AC114" s="463"/>
      <c r="AD114" s="463"/>
      <c r="AE114" s="463"/>
      <c r="AF114" s="463"/>
      <c r="AG114" s="463"/>
      <c r="AH114" s="463"/>
      <c r="AI114" s="463"/>
      <c r="AJ114" s="463">
        <v>516200</v>
      </c>
      <c r="AK114" s="463"/>
      <c r="AL114" s="463"/>
      <c r="AM114" s="463"/>
      <c r="AN114" s="463"/>
      <c r="AO114" s="463"/>
      <c r="AP114" s="463"/>
      <c r="AQ114" s="463"/>
      <c r="AR114" s="463"/>
      <c r="AS114" s="463"/>
      <c r="AT114" s="463"/>
      <c r="AU114" s="463"/>
      <c r="AV114" s="460"/>
      <c r="AW114" s="463"/>
      <c r="AX114" s="462"/>
      <c r="AY114" s="465">
        <f t="shared" si="96"/>
        <v>4733174</v>
      </c>
    </row>
    <row r="115" spans="1:51" x14ac:dyDescent="0.25">
      <c r="A115" s="453" t="s">
        <v>275</v>
      </c>
      <c r="B115" s="454" t="s">
        <v>166</v>
      </c>
      <c r="C115" s="491">
        <v>3635000</v>
      </c>
      <c r="D115" s="492">
        <v>3635000</v>
      </c>
      <c r="E115" s="493">
        <v>655607</v>
      </c>
      <c r="F115" s="494">
        <v>3635000</v>
      </c>
      <c r="G115" s="493">
        <v>685607</v>
      </c>
      <c r="H115" s="494">
        <v>3635000</v>
      </c>
      <c r="I115" s="495">
        <f t="shared" si="183"/>
        <v>685607</v>
      </c>
      <c r="J115" s="496">
        <f t="shared" si="97"/>
        <v>0.18861265474552957</v>
      </c>
      <c r="K115" s="1127"/>
      <c r="L115" s="538">
        <v>30000</v>
      </c>
      <c r="M115" s="463"/>
      <c r="N115" s="463"/>
      <c r="O115" s="463"/>
      <c r="P115" s="463"/>
      <c r="Q115" s="539"/>
      <c r="R115" s="463"/>
      <c r="S115" s="463"/>
      <c r="T115" s="462"/>
      <c r="U115" s="463"/>
      <c r="V115" s="463"/>
      <c r="W115" s="463"/>
      <c r="X115" s="463"/>
      <c r="Y115" s="463"/>
      <c r="Z115" s="463"/>
      <c r="AA115" s="463"/>
      <c r="AB115" s="463"/>
      <c r="AC115" s="463"/>
      <c r="AD115" s="463"/>
      <c r="AE115" s="463"/>
      <c r="AF115" s="463"/>
      <c r="AG115" s="463"/>
      <c r="AH115" s="463"/>
      <c r="AI115" s="463"/>
      <c r="AJ115" s="463"/>
      <c r="AK115" s="463"/>
      <c r="AL115" s="463"/>
      <c r="AM115" s="463"/>
      <c r="AN115" s="463"/>
      <c r="AO115" s="463"/>
      <c r="AP115" s="463"/>
      <c r="AQ115" s="463">
        <v>327957</v>
      </c>
      <c r="AR115" s="463">
        <v>327650</v>
      </c>
      <c r="AS115" s="463"/>
      <c r="AT115" s="463"/>
      <c r="AU115" s="463"/>
      <c r="AV115" s="460"/>
      <c r="AW115" s="463"/>
      <c r="AX115" s="462"/>
      <c r="AY115" s="465">
        <f t="shared" si="96"/>
        <v>685607</v>
      </c>
    </row>
    <row r="116" spans="1:51" hidden="1" x14ac:dyDescent="0.25">
      <c r="A116" s="453" t="s">
        <v>276</v>
      </c>
      <c r="B116" s="454" t="s">
        <v>280</v>
      </c>
      <c r="C116" s="491">
        <v>0</v>
      </c>
      <c r="D116" s="492">
        <f>C116</f>
        <v>0</v>
      </c>
      <c r="E116" s="493">
        <v>0</v>
      </c>
      <c r="F116" s="494">
        <v>0</v>
      </c>
      <c r="G116" s="493">
        <v>0</v>
      </c>
      <c r="H116" s="494">
        <v>0</v>
      </c>
      <c r="I116" s="495">
        <f t="shared" si="183"/>
        <v>0</v>
      </c>
      <c r="J116" s="496" t="str">
        <f t="shared" si="97"/>
        <v/>
      </c>
      <c r="K116" s="1127"/>
      <c r="L116" s="538"/>
      <c r="M116" s="463"/>
      <c r="N116" s="463"/>
      <c r="O116" s="463"/>
      <c r="P116" s="463"/>
      <c r="Q116" s="539"/>
      <c r="R116" s="463"/>
      <c r="S116" s="463"/>
      <c r="T116" s="462"/>
      <c r="U116" s="463"/>
      <c r="V116" s="463"/>
      <c r="W116" s="463"/>
      <c r="X116" s="463"/>
      <c r="Y116" s="463"/>
      <c r="Z116" s="463"/>
      <c r="AA116" s="463"/>
      <c r="AB116" s="463"/>
      <c r="AC116" s="463"/>
      <c r="AD116" s="463"/>
      <c r="AE116" s="463"/>
      <c r="AF116" s="463"/>
      <c r="AG116" s="463"/>
      <c r="AH116" s="463"/>
      <c r="AI116" s="463"/>
      <c r="AJ116" s="463"/>
      <c r="AK116" s="463"/>
      <c r="AL116" s="463"/>
      <c r="AM116" s="463"/>
      <c r="AN116" s="463"/>
      <c r="AO116" s="463"/>
      <c r="AP116" s="463"/>
      <c r="AQ116" s="463"/>
      <c r="AR116" s="463"/>
      <c r="AS116" s="463"/>
      <c r="AT116" s="463"/>
      <c r="AU116" s="463"/>
      <c r="AV116" s="460"/>
      <c r="AW116" s="463"/>
      <c r="AX116" s="462"/>
      <c r="AY116" s="465">
        <f t="shared" si="96"/>
        <v>0</v>
      </c>
    </row>
    <row r="117" spans="1:51" x14ac:dyDescent="0.25">
      <c r="A117" s="453" t="s">
        <v>277</v>
      </c>
      <c r="B117" s="454" t="s">
        <v>281</v>
      </c>
      <c r="C117" s="491">
        <v>2789430</v>
      </c>
      <c r="D117" s="492">
        <f>C117</f>
        <v>2789430</v>
      </c>
      <c r="E117" s="493">
        <v>1898615</v>
      </c>
      <c r="F117" s="494">
        <v>2789430</v>
      </c>
      <c r="G117" s="493">
        <v>2439192</v>
      </c>
      <c r="H117" s="494">
        <v>2789430</v>
      </c>
      <c r="I117" s="495">
        <f t="shared" si="183"/>
        <v>3533959</v>
      </c>
      <c r="J117" s="496">
        <f t="shared" si="97"/>
        <v>1.2669108025653986</v>
      </c>
      <c r="K117" s="1127"/>
      <c r="L117" s="538"/>
      <c r="M117" s="463"/>
      <c r="N117" s="463"/>
      <c r="O117" s="463"/>
      <c r="P117" s="463"/>
      <c r="Q117" s="539"/>
      <c r="R117" s="463"/>
      <c r="S117" s="463"/>
      <c r="T117" s="462"/>
      <c r="U117" s="463"/>
      <c r="V117" s="463"/>
      <c r="W117" s="463"/>
      <c r="X117" s="463"/>
      <c r="Y117" s="463"/>
      <c r="Z117" s="463"/>
      <c r="AA117" s="463"/>
      <c r="AB117" s="463"/>
      <c r="AC117" s="463"/>
      <c r="AD117" s="463"/>
      <c r="AE117" s="463"/>
      <c r="AF117" s="463"/>
      <c r="AG117" s="463"/>
      <c r="AH117" s="463"/>
      <c r="AI117" s="463"/>
      <c r="AJ117" s="463"/>
      <c r="AK117" s="463"/>
      <c r="AL117" s="463"/>
      <c r="AM117" s="463"/>
      <c r="AN117" s="463"/>
      <c r="AO117" s="463"/>
      <c r="AP117" s="463"/>
      <c r="AQ117" s="463"/>
      <c r="AR117" s="463"/>
      <c r="AS117" s="463"/>
      <c r="AT117" s="463">
        <v>3533959</v>
      </c>
      <c r="AU117" s="463"/>
      <c r="AV117" s="460"/>
      <c r="AW117" s="463"/>
      <c r="AX117" s="462"/>
      <c r="AY117" s="465">
        <f t="shared" si="96"/>
        <v>3533959</v>
      </c>
    </row>
    <row r="118" spans="1:51" x14ac:dyDescent="0.25">
      <c r="A118" s="453" t="s">
        <v>278</v>
      </c>
      <c r="B118" s="454" t="s">
        <v>324</v>
      </c>
      <c r="C118" s="491">
        <v>1764596</v>
      </c>
      <c r="D118" s="492">
        <v>1764596</v>
      </c>
      <c r="E118" s="493">
        <v>718779</v>
      </c>
      <c r="F118" s="494">
        <v>1785856</v>
      </c>
      <c r="G118" s="493">
        <v>921203</v>
      </c>
      <c r="H118" s="494">
        <v>1785856</v>
      </c>
      <c r="I118" s="495">
        <f t="shared" si="183"/>
        <v>1257619</v>
      </c>
      <c r="J118" s="496">
        <f t="shared" si="97"/>
        <v>0.70421075383457565</v>
      </c>
      <c r="K118" s="1127"/>
      <c r="L118" s="538">
        <v>41962</v>
      </c>
      <c r="M118" s="463">
        <v>39117</v>
      </c>
      <c r="N118" s="463">
        <v>13500</v>
      </c>
      <c r="O118" s="463"/>
      <c r="P118" s="463">
        <v>31890</v>
      </c>
      <c r="Q118" s="539"/>
      <c r="R118" s="463"/>
      <c r="S118" s="463"/>
      <c r="T118" s="462"/>
      <c r="U118" s="463"/>
      <c r="V118" s="460"/>
      <c r="W118" s="463"/>
      <c r="X118" s="460"/>
      <c r="Y118" s="463"/>
      <c r="Z118" s="463"/>
      <c r="AA118" s="463"/>
      <c r="AB118" s="463"/>
      <c r="AC118" s="463"/>
      <c r="AD118" s="463"/>
      <c r="AE118" s="463"/>
      <c r="AF118" s="463"/>
      <c r="AG118" s="463"/>
      <c r="AH118" s="463"/>
      <c r="AI118" s="463"/>
      <c r="AJ118" s="463"/>
      <c r="AK118" s="463"/>
      <c r="AL118" s="460"/>
      <c r="AM118" s="463"/>
      <c r="AN118" s="463"/>
      <c r="AO118" s="463"/>
      <c r="AP118" s="463"/>
      <c r="AQ118" s="463">
        <v>88547</v>
      </c>
      <c r="AR118" s="463">
        <v>88465</v>
      </c>
      <c r="AS118" s="463"/>
      <c r="AT118" s="463">
        <v>954138</v>
      </c>
      <c r="AU118" s="463"/>
      <c r="AV118" s="460"/>
      <c r="AW118" s="463"/>
      <c r="AX118" s="462"/>
      <c r="AY118" s="465">
        <f t="shared" si="96"/>
        <v>1257619</v>
      </c>
    </row>
    <row r="119" spans="1:51" x14ac:dyDescent="0.25">
      <c r="A119" s="453" t="s">
        <v>282</v>
      </c>
      <c r="B119" s="454" t="s">
        <v>587</v>
      </c>
      <c r="C119" s="491">
        <v>0</v>
      </c>
      <c r="D119" s="492">
        <f>C119</f>
        <v>0</v>
      </c>
      <c r="E119" s="493">
        <v>794000</v>
      </c>
      <c r="F119" s="494">
        <v>0</v>
      </c>
      <c r="G119" s="493">
        <v>794000</v>
      </c>
      <c r="H119" s="494">
        <v>0</v>
      </c>
      <c r="I119" s="495">
        <f t="shared" si="183"/>
        <v>503000</v>
      </c>
      <c r="J119" s="496"/>
      <c r="K119" s="1127"/>
      <c r="L119" s="459">
        <v>503000</v>
      </c>
      <c r="M119" s="460"/>
      <c r="N119" s="460"/>
      <c r="O119" s="460"/>
      <c r="P119" s="460"/>
      <c r="Q119" s="461"/>
      <c r="R119" s="460"/>
      <c r="S119" s="460"/>
      <c r="T119" s="462"/>
      <c r="U119" s="460"/>
      <c r="V119" s="460"/>
      <c r="W119" s="460"/>
      <c r="X119" s="460"/>
      <c r="Y119" s="463"/>
      <c r="Z119" s="460"/>
      <c r="AA119" s="460"/>
      <c r="AB119" s="460"/>
      <c r="AC119" s="460"/>
      <c r="AD119" s="460"/>
      <c r="AE119" s="460"/>
      <c r="AF119" s="460"/>
      <c r="AG119" s="460"/>
      <c r="AH119" s="460"/>
      <c r="AI119" s="460"/>
      <c r="AJ119" s="460"/>
      <c r="AK119" s="460"/>
      <c r="AL119" s="460"/>
      <c r="AM119" s="460"/>
      <c r="AN119" s="460"/>
      <c r="AO119" s="460"/>
      <c r="AP119" s="460"/>
      <c r="AQ119" s="460"/>
      <c r="AR119" s="460"/>
      <c r="AS119" s="463"/>
      <c r="AT119" s="460"/>
      <c r="AU119" s="460"/>
      <c r="AV119" s="460"/>
      <c r="AW119" s="460"/>
      <c r="AX119" s="464"/>
      <c r="AY119" s="465">
        <f t="shared" si="96"/>
        <v>503000</v>
      </c>
    </row>
    <row r="120" spans="1:51" x14ac:dyDescent="0.25">
      <c r="A120" s="453" t="s">
        <v>284</v>
      </c>
      <c r="B120" s="454" t="s">
        <v>285</v>
      </c>
      <c r="C120" s="491">
        <v>0</v>
      </c>
      <c r="D120" s="492">
        <f>C120</f>
        <v>0</v>
      </c>
      <c r="E120" s="493">
        <v>80</v>
      </c>
      <c r="F120" s="494">
        <v>0</v>
      </c>
      <c r="G120" s="493">
        <v>112</v>
      </c>
      <c r="H120" s="494">
        <v>0</v>
      </c>
      <c r="I120" s="495">
        <f t="shared" si="183"/>
        <v>144</v>
      </c>
      <c r="J120" s="496"/>
      <c r="K120" s="1127"/>
      <c r="L120" s="538">
        <v>136</v>
      </c>
      <c r="M120" s="463"/>
      <c r="N120" s="463"/>
      <c r="O120" s="463"/>
      <c r="P120" s="463"/>
      <c r="Q120" s="539"/>
      <c r="R120" s="463"/>
      <c r="S120" s="463"/>
      <c r="T120" s="462"/>
      <c r="U120" s="463"/>
      <c r="V120" s="463"/>
      <c r="W120" s="463"/>
      <c r="X120" s="463"/>
      <c r="Y120" s="463"/>
      <c r="Z120" s="463"/>
      <c r="AA120" s="463"/>
      <c r="AB120" s="463"/>
      <c r="AC120" s="463">
        <v>7</v>
      </c>
      <c r="AD120" s="463"/>
      <c r="AE120" s="463"/>
      <c r="AF120" s="463"/>
      <c r="AG120" s="463"/>
      <c r="AH120" s="463"/>
      <c r="AI120" s="463"/>
      <c r="AJ120" s="463"/>
      <c r="AK120" s="463"/>
      <c r="AL120" s="463"/>
      <c r="AM120" s="463"/>
      <c r="AN120" s="463"/>
      <c r="AO120" s="463"/>
      <c r="AP120" s="463"/>
      <c r="AQ120" s="463"/>
      <c r="AR120" s="463"/>
      <c r="AS120" s="463"/>
      <c r="AT120" s="463"/>
      <c r="AU120" s="463"/>
      <c r="AV120" s="463">
        <v>1</v>
      </c>
      <c r="AW120" s="463"/>
      <c r="AX120" s="462"/>
      <c r="AY120" s="465">
        <f t="shared" si="96"/>
        <v>144</v>
      </c>
    </row>
    <row r="121" spans="1:51" x14ac:dyDescent="0.25">
      <c r="A121" s="453" t="s">
        <v>588</v>
      </c>
      <c r="B121" s="454" t="s">
        <v>286</v>
      </c>
      <c r="C121" s="491">
        <v>11000</v>
      </c>
      <c r="D121" s="492">
        <v>11000</v>
      </c>
      <c r="E121" s="493">
        <v>111334</v>
      </c>
      <c r="F121" s="494">
        <v>1011000</v>
      </c>
      <c r="G121" s="493">
        <v>1658930</v>
      </c>
      <c r="H121" s="494">
        <v>1011000</v>
      </c>
      <c r="I121" s="495">
        <f t="shared" si="183"/>
        <v>1717749</v>
      </c>
      <c r="J121" s="496">
        <f t="shared" si="97"/>
        <v>1.6990593471810089</v>
      </c>
      <c r="K121" s="1127"/>
      <c r="L121" s="538">
        <v>215122</v>
      </c>
      <c r="M121" s="463"/>
      <c r="N121" s="463">
        <v>1502502</v>
      </c>
      <c r="O121" s="463"/>
      <c r="P121" s="463">
        <v>5</v>
      </c>
      <c r="Q121" s="539"/>
      <c r="R121" s="463"/>
      <c r="S121" s="463"/>
      <c r="T121" s="462"/>
      <c r="U121" s="463"/>
      <c r="V121" s="463"/>
      <c r="W121" s="463"/>
      <c r="X121" s="463"/>
      <c r="Y121" s="463"/>
      <c r="Z121" s="463"/>
      <c r="AA121" s="463"/>
      <c r="AB121" s="463"/>
      <c r="AC121" s="463">
        <v>1</v>
      </c>
      <c r="AD121" s="463"/>
      <c r="AE121" s="463"/>
      <c r="AF121" s="463"/>
      <c r="AG121" s="463"/>
      <c r="AH121" s="463"/>
      <c r="AI121" s="463"/>
      <c r="AJ121" s="463"/>
      <c r="AK121" s="463"/>
      <c r="AL121" s="463"/>
      <c r="AM121" s="463"/>
      <c r="AN121" s="463"/>
      <c r="AO121" s="463"/>
      <c r="AP121" s="463"/>
      <c r="AQ121" s="463"/>
      <c r="AR121" s="463"/>
      <c r="AS121" s="463"/>
      <c r="AT121" s="463">
        <v>119</v>
      </c>
      <c r="AU121" s="463"/>
      <c r="AV121" s="463"/>
      <c r="AW121" s="463"/>
      <c r="AX121" s="462"/>
      <c r="AY121" s="465">
        <f t="shared" si="96"/>
        <v>1717749</v>
      </c>
    </row>
    <row r="122" spans="1:51" s="558" customFormat="1" x14ac:dyDescent="0.25">
      <c r="A122" s="740" t="s">
        <v>271</v>
      </c>
      <c r="B122" s="741" t="s">
        <v>272</v>
      </c>
      <c r="C122" s="742">
        <f t="shared" ref="C122" si="184">SUM(C113:C121)</f>
        <v>12408607</v>
      </c>
      <c r="D122" s="743">
        <f t="shared" ref="D122" si="185">SUM(D113:D121)</f>
        <v>12408607</v>
      </c>
      <c r="E122" s="744">
        <f t="shared" ref="E122" si="186">SUM(E113:E121)</f>
        <v>6467296</v>
      </c>
      <c r="F122" s="745">
        <f t="shared" ref="F122" si="187">SUM(F113:F121)</f>
        <v>13508607</v>
      </c>
      <c r="G122" s="744">
        <f t="shared" ref="G122" si="188">SUM(G113:G121)</f>
        <v>10106650</v>
      </c>
      <c r="H122" s="745">
        <f t="shared" ref="H122" si="189">SUM(H113:H121)</f>
        <v>13715687</v>
      </c>
      <c r="I122" s="746">
        <f t="shared" ref="I122" si="190">SUM(I113:I121)</f>
        <v>12638332</v>
      </c>
      <c r="J122" s="773">
        <f t="shared" si="97"/>
        <v>0.92145089050224027</v>
      </c>
      <c r="K122" s="1127"/>
      <c r="L122" s="754">
        <f t="shared" ref="L122:AX122" si="191">SUM(L113:L121)</f>
        <v>1002300</v>
      </c>
      <c r="M122" s="755">
        <f t="shared" si="191"/>
        <v>416000</v>
      </c>
      <c r="N122" s="755">
        <f t="shared" si="191"/>
        <v>4779943</v>
      </c>
      <c r="O122" s="755">
        <f t="shared" si="191"/>
        <v>55000</v>
      </c>
      <c r="P122" s="755">
        <f t="shared" si="191"/>
        <v>150005</v>
      </c>
      <c r="Q122" s="756">
        <f t="shared" si="191"/>
        <v>0</v>
      </c>
      <c r="R122" s="755">
        <f t="shared" si="191"/>
        <v>0</v>
      </c>
      <c r="S122" s="755">
        <f t="shared" si="191"/>
        <v>0</v>
      </c>
      <c r="T122" s="751">
        <f t="shared" si="191"/>
        <v>0</v>
      </c>
      <c r="U122" s="755">
        <f t="shared" si="191"/>
        <v>0</v>
      </c>
      <c r="V122" s="755">
        <f t="shared" si="191"/>
        <v>0</v>
      </c>
      <c r="W122" s="755">
        <f t="shared" si="191"/>
        <v>0</v>
      </c>
      <c r="X122" s="755">
        <f t="shared" si="191"/>
        <v>0</v>
      </c>
      <c r="Y122" s="752">
        <f t="shared" si="191"/>
        <v>0</v>
      </c>
      <c r="Z122" s="755">
        <f t="shared" si="191"/>
        <v>0</v>
      </c>
      <c r="AA122" s="755">
        <f t="shared" si="191"/>
        <v>0</v>
      </c>
      <c r="AB122" s="755">
        <f t="shared" si="191"/>
        <v>398040</v>
      </c>
      <c r="AC122" s="755">
        <f t="shared" si="191"/>
        <v>8</v>
      </c>
      <c r="AD122" s="755">
        <f t="shared" si="191"/>
        <v>0</v>
      </c>
      <c r="AE122" s="755">
        <f t="shared" si="191"/>
        <v>0</v>
      </c>
      <c r="AF122" s="755">
        <f t="shared" si="191"/>
        <v>0</v>
      </c>
      <c r="AG122" s="755">
        <f t="shared" si="191"/>
        <v>0</v>
      </c>
      <c r="AH122" s="755">
        <f t="shared" si="191"/>
        <v>0</v>
      </c>
      <c r="AI122" s="755">
        <f t="shared" si="191"/>
        <v>0</v>
      </c>
      <c r="AJ122" s="755">
        <f t="shared" si="191"/>
        <v>516200</v>
      </c>
      <c r="AK122" s="755">
        <f t="shared" si="191"/>
        <v>0</v>
      </c>
      <c r="AL122" s="755">
        <f t="shared" si="191"/>
        <v>0</v>
      </c>
      <c r="AM122" s="755">
        <f t="shared" si="191"/>
        <v>0</v>
      </c>
      <c r="AN122" s="755">
        <f t="shared" si="191"/>
        <v>0</v>
      </c>
      <c r="AO122" s="755">
        <f t="shared" si="191"/>
        <v>0</v>
      </c>
      <c r="AP122" s="755">
        <f t="shared" si="191"/>
        <v>0</v>
      </c>
      <c r="AQ122" s="755">
        <f t="shared" si="191"/>
        <v>416504</v>
      </c>
      <c r="AR122" s="755">
        <f t="shared" si="191"/>
        <v>416115</v>
      </c>
      <c r="AS122" s="755">
        <f t="shared" si="191"/>
        <v>0</v>
      </c>
      <c r="AT122" s="755">
        <f t="shared" si="191"/>
        <v>4488216</v>
      </c>
      <c r="AU122" s="755">
        <f t="shared" si="191"/>
        <v>0</v>
      </c>
      <c r="AV122" s="755">
        <f t="shared" si="191"/>
        <v>1</v>
      </c>
      <c r="AW122" s="755">
        <f t="shared" si="191"/>
        <v>0</v>
      </c>
      <c r="AX122" s="757">
        <f t="shared" si="191"/>
        <v>0</v>
      </c>
      <c r="AY122" s="753">
        <f t="shared" si="96"/>
        <v>12638332</v>
      </c>
    </row>
    <row r="123" spans="1:51" x14ac:dyDescent="0.25">
      <c r="A123" s="453" t="s">
        <v>287</v>
      </c>
      <c r="B123" s="540" t="s">
        <v>289</v>
      </c>
      <c r="C123" s="491">
        <v>460000</v>
      </c>
      <c r="D123" s="492">
        <f>C123</f>
        <v>460000</v>
      </c>
      <c r="E123" s="493">
        <v>215000</v>
      </c>
      <c r="F123" s="494">
        <v>460000</v>
      </c>
      <c r="G123" s="493">
        <v>215000</v>
      </c>
      <c r="H123" s="494">
        <v>460000</v>
      </c>
      <c r="I123" s="495">
        <f t="shared" ref="I123:I124" si="192">AY123</f>
        <v>822500</v>
      </c>
      <c r="J123" s="496">
        <f t="shared" si="97"/>
        <v>1.7880434782608696</v>
      </c>
      <c r="K123" s="1127"/>
      <c r="L123" s="538"/>
      <c r="M123" s="463"/>
      <c r="N123" s="463">
        <v>822500</v>
      </c>
      <c r="O123" s="463"/>
      <c r="P123" s="463"/>
      <c r="Q123" s="539"/>
      <c r="R123" s="463"/>
      <c r="S123" s="463"/>
      <c r="T123" s="462"/>
      <c r="U123" s="463"/>
      <c r="V123" s="463"/>
      <c r="W123" s="463"/>
      <c r="X123" s="463"/>
      <c r="Y123" s="463"/>
      <c r="Z123" s="463"/>
      <c r="AA123" s="463"/>
      <c r="AB123" s="463"/>
      <c r="AC123" s="463"/>
      <c r="AD123" s="463"/>
      <c r="AE123" s="463"/>
      <c r="AF123" s="463"/>
      <c r="AG123" s="463"/>
      <c r="AH123" s="463"/>
      <c r="AI123" s="463"/>
      <c r="AJ123" s="463"/>
      <c r="AK123" s="463"/>
      <c r="AL123" s="463"/>
      <c r="AM123" s="463"/>
      <c r="AN123" s="463"/>
      <c r="AO123" s="463"/>
      <c r="AP123" s="463"/>
      <c r="AQ123" s="463"/>
      <c r="AR123" s="463"/>
      <c r="AS123" s="463"/>
      <c r="AT123" s="463"/>
      <c r="AU123" s="463"/>
      <c r="AV123" s="463"/>
      <c r="AW123" s="463"/>
      <c r="AX123" s="462"/>
      <c r="AY123" s="465">
        <f t="shared" si="96"/>
        <v>822500</v>
      </c>
    </row>
    <row r="124" spans="1:51" hidden="1" x14ac:dyDescent="0.25">
      <c r="A124" s="453" t="s">
        <v>288</v>
      </c>
      <c r="B124" s="540" t="s">
        <v>290</v>
      </c>
      <c r="C124" s="491">
        <v>0</v>
      </c>
      <c r="D124" s="492">
        <f>C124</f>
        <v>0</v>
      </c>
      <c r="E124" s="493">
        <v>0</v>
      </c>
      <c r="F124" s="494">
        <v>0</v>
      </c>
      <c r="G124" s="493">
        <v>0</v>
      </c>
      <c r="H124" s="494">
        <v>0</v>
      </c>
      <c r="I124" s="495">
        <f t="shared" si="192"/>
        <v>0</v>
      </c>
      <c r="J124" s="496" t="str">
        <f t="shared" si="97"/>
        <v/>
      </c>
      <c r="K124" s="1127"/>
      <c r="L124" s="538"/>
      <c r="M124" s="463"/>
      <c r="N124" s="463"/>
      <c r="O124" s="463"/>
      <c r="P124" s="463"/>
      <c r="Q124" s="539"/>
      <c r="R124" s="463"/>
      <c r="S124" s="463"/>
      <c r="T124" s="462"/>
      <c r="U124" s="463"/>
      <c r="V124" s="463"/>
      <c r="W124" s="463"/>
      <c r="X124" s="463"/>
      <c r="Y124" s="463"/>
      <c r="Z124" s="463"/>
      <c r="AA124" s="463"/>
      <c r="AB124" s="463"/>
      <c r="AC124" s="463"/>
      <c r="AD124" s="463"/>
      <c r="AE124" s="463"/>
      <c r="AF124" s="463"/>
      <c r="AG124" s="463"/>
      <c r="AH124" s="463"/>
      <c r="AI124" s="463"/>
      <c r="AJ124" s="463"/>
      <c r="AK124" s="463"/>
      <c r="AL124" s="463"/>
      <c r="AM124" s="463"/>
      <c r="AN124" s="463"/>
      <c r="AO124" s="463"/>
      <c r="AP124" s="463"/>
      <c r="AQ124" s="463"/>
      <c r="AR124" s="463"/>
      <c r="AS124" s="463"/>
      <c r="AT124" s="463"/>
      <c r="AU124" s="463"/>
      <c r="AV124" s="463"/>
      <c r="AW124" s="463"/>
      <c r="AX124" s="462"/>
      <c r="AY124" s="465">
        <f t="shared" si="96"/>
        <v>0</v>
      </c>
    </row>
    <row r="125" spans="1:51" s="558" customFormat="1" x14ac:dyDescent="0.25">
      <c r="A125" s="740" t="s">
        <v>291</v>
      </c>
      <c r="B125" s="741" t="s">
        <v>292</v>
      </c>
      <c r="C125" s="742">
        <f t="shared" ref="C125" si="193">SUM(C123:C124)</f>
        <v>460000</v>
      </c>
      <c r="D125" s="743">
        <f t="shared" ref="D125" si="194">SUM(D123:D124)</f>
        <v>460000</v>
      </c>
      <c r="E125" s="744">
        <f t="shared" ref="E125" si="195">SUM(E123:E124)</f>
        <v>215000</v>
      </c>
      <c r="F125" s="745">
        <f t="shared" ref="F125" si="196">SUM(F123:F124)</f>
        <v>460000</v>
      </c>
      <c r="G125" s="744">
        <f t="shared" ref="G125" si="197">SUM(G123:G124)</f>
        <v>215000</v>
      </c>
      <c r="H125" s="745">
        <f t="shared" ref="H125" si="198">SUM(H123:H124)</f>
        <v>460000</v>
      </c>
      <c r="I125" s="746">
        <f t="shared" ref="I125" si="199">SUM(I123:I124)</f>
        <v>822500</v>
      </c>
      <c r="J125" s="773">
        <f t="shared" si="97"/>
        <v>1.7880434782608696</v>
      </c>
      <c r="K125" s="1127"/>
      <c r="L125" s="774">
        <f t="shared" ref="L125:AX125" si="200">SUM(L123:L124)</f>
        <v>0</v>
      </c>
      <c r="M125" s="752">
        <f t="shared" si="200"/>
        <v>0</v>
      </c>
      <c r="N125" s="752">
        <f t="shared" si="200"/>
        <v>822500</v>
      </c>
      <c r="O125" s="752">
        <f t="shared" si="200"/>
        <v>0</v>
      </c>
      <c r="P125" s="752">
        <f t="shared" si="200"/>
        <v>0</v>
      </c>
      <c r="Q125" s="775">
        <f t="shared" si="200"/>
        <v>0</v>
      </c>
      <c r="R125" s="752">
        <f t="shared" si="200"/>
        <v>0</v>
      </c>
      <c r="S125" s="752">
        <f t="shared" si="200"/>
        <v>0</v>
      </c>
      <c r="T125" s="751">
        <f t="shared" si="200"/>
        <v>0</v>
      </c>
      <c r="U125" s="752">
        <f t="shared" si="200"/>
        <v>0</v>
      </c>
      <c r="V125" s="752">
        <f t="shared" si="200"/>
        <v>0</v>
      </c>
      <c r="W125" s="752">
        <f t="shared" si="200"/>
        <v>0</v>
      </c>
      <c r="X125" s="752">
        <f t="shared" si="200"/>
        <v>0</v>
      </c>
      <c r="Y125" s="752">
        <f t="shared" si="200"/>
        <v>0</v>
      </c>
      <c r="Z125" s="752">
        <f t="shared" si="200"/>
        <v>0</v>
      </c>
      <c r="AA125" s="752">
        <f t="shared" si="200"/>
        <v>0</v>
      </c>
      <c r="AB125" s="752">
        <f t="shared" si="200"/>
        <v>0</v>
      </c>
      <c r="AC125" s="752">
        <f t="shared" si="200"/>
        <v>0</v>
      </c>
      <c r="AD125" s="752">
        <f t="shared" si="200"/>
        <v>0</v>
      </c>
      <c r="AE125" s="752">
        <f t="shared" si="200"/>
        <v>0</v>
      </c>
      <c r="AF125" s="752">
        <f t="shared" si="200"/>
        <v>0</v>
      </c>
      <c r="AG125" s="752">
        <f t="shared" si="200"/>
        <v>0</v>
      </c>
      <c r="AH125" s="752">
        <f t="shared" si="200"/>
        <v>0</v>
      </c>
      <c r="AI125" s="752">
        <f t="shared" si="200"/>
        <v>0</v>
      </c>
      <c r="AJ125" s="752">
        <f t="shared" si="200"/>
        <v>0</v>
      </c>
      <c r="AK125" s="752">
        <f t="shared" si="200"/>
        <v>0</v>
      </c>
      <c r="AL125" s="752">
        <f t="shared" si="200"/>
        <v>0</v>
      </c>
      <c r="AM125" s="752">
        <f t="shared" si="200"/>
        <v>0</v>
      </c>
      <c r="AN125" s="752">
        <f t="shared" si="200"/>
        <v>0</v>
      </c>
      <c r="AO125" s="752">
        <f t="shared" si="200"/>
        <v>0</v>
      </c>
      <c r="AP125" s="752">
        <f t="shared" si="200"/>
        <v>0</v>
      </c>
      <c r="AQ125" s="752">
        <f t="shared" si="200"/>
        <v>0</v>
      </c>
      <c r="AR125" s="752">
        <f t="shared" si="200"/>
        <v>0</v>
      </c>
      <c r="AS125" s="752">
        <f t="shared" si="200"/>
        <v>0</v>
      </c>
      <c r="AT125" s="752">
        <f t="shared" si="200"/>
        <v>0</v>
      </c>
      <c r="AU125" s="752">
        <f t="shared" si="200"/>
        <v>0</v>
      </c>
      <c r="AV125" s="752">
        <f t="shared" si="200"/>
        <v>0</v>
      </c>
      <c r="AW125" s="752">
        <f t="shared" si="200"/>
        <v>0</v>
      </c>
      <c r="AX125" s="751">
        <f t="shared" si="200"/>
        <v>0</v>
      </c>
      <c r="AY125" s="753">
        <f t="shared" si="96"/>
        <v>822500</v>
      </c>
    </row>
    <row r="126" spans="1:51" hidden="1" x14ac:dyDescent="0.25">
      <c r="A126" s="453" t="s">
        <v>293</v>
      </c>
      <c r="B126" s="540" t="s">
        <v>294</v>
      </c>
      <c r="C126" s="491">
        <v>0</v>
      </c>
      <c r="D126" s="492">
        <f>C126</f>
        <v>0</v>
      </c>
      <c r="E126" s="493">
        <v>0</v>
      </c>
      <c r="F126" s="494">
        <v>0</v>
      </c>
      <c r="G126" s="493">
        <v>0</v>
      </c>
      <c r="H126" s="494">
        <v>0</v>
      </c>
      <c r="I126" s="495">
        <f t="shared" ref="I126:I127" si="201">AY126</f>
        <v>0</v>
      </c>
      <c r="J126" s="496" t="str">
        <f t="shared" si="97"/>
        <v/>
      </c>
      <c r="K126" s="1127"/>
      <c r="L126" s="538"/>
      <c r="M126" s="463"/>
      <c r="N126" s="463"/>
      <c r="O126" s="463"/>
      <c r="P126" s="463"/>
      <c r="Q126" s="539"/>
      <c r="R126" s="463"/>
      <c r="S126" s="463"/>
      <c r="T126" s="462"/>
      <c r="U126" s="463"/>
      <c r="V126" s="463"/>
      <c r="W126" s="463"/>
      <c r="X126" s="463"/>
      <c r="Y126" s="463"/>
      <c r="Z126" s="463"/>
      <c r="AA126" s="463"/>
      <c r="AB126" s="463"/>
      <c r="AC126" s="463"/>
      <c r="AD126" s="463"/>
      <c r="AE126" s="463"/>
      <c r="AF126" s="463"/>
      <c r="AG126" s="463"/>
      <c r="AH126" s="463"/>
      <c r="AI126" s="463"/>
      <c r="AJ126" s="463"/>
      <c r="AK126" s="463"/>
      <c r="AL126" s="463"/>
      <c r="AM126" s="463"/>
      <c r="AN126" s="463"/>
      <c r="AO126" s="463"/>
      <c r="AP126" s="463"/>
      <c r="AQ126" s="463"/>
      <c r="AR126" s="463"/>
      <c r="AS126" s="463"/>
      <c r="AT126" s="463"/>
      <c r="AU126" s="463"/>
      <c r="AV126" s="463"/>
      <c r="AW126" s="463"/>
      <c r="AX126" s="462"/>
      <c r="AY126" s="465">
        <f t="shared" si="96"/>
        <v>0</v>
      </c>
    </row>
    <row r="127" spans="1:51" s="474" customFormat="1" x14ac:dyDescent="0.25">
      <c r="A127" s="468" t="s">
        <v>590</v>
      </c>
      <c r="B127" s="791" t="s">
        <v>295</v>
      </c>
      <c r="C127" s="541">
        <v>0</v>
      </c>
      <c r="D127" s="542">
        <f>C127+47560</f>
        <v>47560</v>
      </c>
      <c r="E127" s="935">
        <v>363560</v>
      </c>
      <c r="F127" s="936">
        <v>47560</v>
      </c>
      <c r="G127" s="935">
        <v>363560</v>
      </c>
      <c r="H127" s="936">
        <v>47560</v>
      </c>
      <c r="I127" s="543">
        <f t="shared" si="201"/>
        <v>363560</v>
      </c>
      <c r="J127" s="544">
        <f t="shared" si="97"/>
        <v>7.6442388561816657</v>
      </c>
      <c r="K127" s="1127"/>
      <c r="L127" s="937">
        <v>47560</v>
      </c>
      <c r="M127" s="929"/>
      <c r="N127" s="929"/>
      <c r="O127" s="929"/>
      <c r="P127" s="929"/>
      <c r="Q127" s="929"/>
      <c r="R127" s="929">
        <v>316000</v>
      </c>
      <c r="S127" s="929"/>
      <c r="T127" s="928"/>
      <c r="U127" s="929"/>
      <c r="V127" s="929"/>
      <c r="W127" s="929"/>
      <c r="X127" s="929"/>
      <c r="Y127" s="929"/>
      <c r="Z127" s="929"/>
      <c r="AA127" s="929"/>
      <c r="AB127" s="929"/>
      <c r="AC127" s="929"/>
      <c r="AD127" s="929"/>
      <c r="AE127" s="929"/>
      <c r="AF127" s="929"/>
      <c r="AG127" s="929"/>
      <c r="AH127" s="929"/>
      <c r="AI127" s="929"/>
      <c r="AJ127" s="929"/>
      <c r="AK127" s="929"/>
      <c r="AL127" s="929"/>
      <c r="AM127" s="929"/>
      <c r="AN127" s="929"/>
      <c r="AO127" s="929"/>
      <c r="AP127" s="929"/>
      <c r="AQ127" s="929"/>
      <c r="AR127" s="929"/>
      <c r="AS127" s="929"/>
      <c r="AT127" s="929"/>
      <c r="AU127" s="929"/>
      <c r="AV127" s="929"/>
      <c r="AW127" s="929"/>
      <c r="AX127" s="928"/>
      <c r="AY127" s="473">
        <f t="shared" si="96"/>
        <v>363560</v>
      </c>
    </row>
    <row r="128" spans="1:51" s="558" customFormat="1" x14ac:dyDescent="0.25">
      <c r="A128" s="740" t="s">
        <v>296</v>
      </c>
      <c r="B128" s="741" t="s">
        <v>589</v>
      </c>
      <c r="C128" s="742">
        <f t="shared" ref="C128" si="202">SUM(C126:C127)</f>
        <v>0</v>
      </c>
      <c r="D128" s="743">
        <f t="shared" ref="D128" si="203">SUM(D126:D127)</f>
        <v>47560</v>
      </c>
      <c r="E128" s="744">
        <f t="shared" ref="E128" si="204">SUM(E126:E127)</f>
        <v>363560</v>
      </c>
      <c r="F128" s="745">
        <f t="shared" ref="F128" si="205">SUM(F126:F127)</f>
        <v>47560</v>
      </c>
      <c r="G128" s="744">
        <f t="shared" ref="G128" si="206">SUM(G126:G127)</f>
        <v>363560</v>
      </c>
      <c r="H128" s="745">
        <f t="shared" ref="H128" si="207">SUM(H126:H127)</f>
        <v>47560</v>
      </c>
      <c r="I128" s="746">
        <f t="shared" ref="I128" si="208">SUM(I126:I127)</f>
        <v>363560</v>
      </c>
      <c r="J128" s="773">
        <f t="shared" si="97"/>
        <v>7.6442388561816657</v>
      </c>
      <c r="K128" s="1127"/>
      <c r="L128" s="774">
        <f t="shared" ref="L128:AX128" si="209">SUM(L126:L127)</f>
        <v>47560</v>
      </c>
      <c r="M128" s="752">
        <f t="shared" si="209"/>
        <v>0</v>
      </c>
      <c r="N128" s="752">
        <f t="shared" si="209"/>
        <v>0</v>
      </c>
      <c r="O128" s="752">
        <f t="shared" si="209"/>
        <v>0</v>
      </c>
      <c r="P128" s="752">
        <f t="shared" si="209"/>
        <v>0</v>
      </c>
      <c r="Q128" s="775">
        <f t="shared" si="209"/>
        <v>0</v>
      </c>
      <c r="R128" s="752">
        <f t="shared" si="209"/>
        <v>316000</v>
      </c>
      <c r="S128" s="752">
        <f t="shared" si="209"/>
        <v>0</v>
      </c>
      <c r="T128" s="751">
        <f t="shared" si="209"/>
        <v>0</v>
      </c>
      <c r="U128" s="752">
        <f t="shared" si="209"/>
        <v>0</v>
      </c>
      <c r="V128" s="752">
        <f t="shared" si="209"/>
        <v>0</v>
      </c>
      <c r="W128" s="752">
        <f t="shared" si="209"/>
        <v>0</v>
      </c>
      <c r="X128" s="752">
        <f t="shared" si="209"/>
        <v>0</v>
      </c>
      <c r="Y128" s="752">
        <f t="shared" si="209"/>
        <v>0</v>
      </c>
      <c r="Z128" s="752">
        <f t="shared" si="209"/>
        <v>0</v>
      </c>
      <c r="AA128" s="752">
        <f t="shared" si="209"/>
        <v>0</v>
      </c>
      <c r="AB128" s="752">
        <f t="shared" si="209"/>
        <v>0</v>
      </c>
      <c r="AC128" s="752">
        <f t="shared" si="209"/>
        <v>0</v>
      </c>
      <c r="AD128" s="752">
        <f t="shared" si="209"/>
        <v>0</v>
      </c>
      <c r="AE128" s="752">
        <f t="shared" si="209"/>
        <v>0</v>
      </c>
      <c r="AF128" s="752">
        <f t="shared" si="209"/>
        <v>0</v>
      </c>
      <c r="AG128" s="752">
        <f t="shared" si="209"/>
        <v>0</v>
      </c>
      <c r="AH128" s="752">
        <f t="shared" si="209"/>
        <v>0</v>
      </c>
      <c r="AI128" s="752">
        <f t="shared" si="209"/>
        <v>0</v>
      </c>
      <c r="AJ128" s="752">
        <f t="shared" si="209"/>
        <v>0</v>
      </c>
      <c r="AK128" s="752">
        <f t="shared" si="209"/>
        <v>0</v>
      </c>
      <c r="AL128" s="752">
        <f t="shared" si="209"/>
        <v>0</v>
      </c>
      <c r="AM128" s="752">
        <f t="shared" si="209"/>
        <v>0</v>
      </c>
      <c r="AN128" s="752">
        <f t="shared" si="209"/>
        <v>0</v>
      </c>
      <c r="AO128" s="752">
        <f t="shared" si="209"/>
        <v>0</v>
      </c>
      <c r="AP128" s="752">
        <f t="shared" si="209"/>
        <v>0</v>
      </c>
      <c r="AQ128" s="752">
        <f t="shared" si="209"/>
        <v>0</v>
      </c>
      <c r="AR128" s="752">
        <f t="shared" si="209"/>
        <v>0</v>
      </c>
      <c r="AS128" s="752">
        <f t="shared" si="209"/>
        <v>0</v>
      </c>
      <c r="AT128" s="752">
        <f t="shared" si="209"/>
        <v>0</v>
      </c>
      <c r="AU128" s="752">
        <f t="shared" si="209"/>
        <v>0</v>
      </c>
      <c r="AV128" s="752">
        <f t="shared" si="209"/>
        <v>0</v>
      </c>
      <c r="AW128" s="752">
        <f t="shared" si="209"/>
        <v>0</v>
      </c>
      <c r="AX128" s="751">
        <f t="shared" si="209"/>
        <v>0</v>
      </c>
      <c r="AY128" s="753">
        <f t="shared" si="96"/>
        <v>363560</v>
      </c>
    </row>
    <row r="129" spans="1:51" hidden="1" x14ac:dyDescent="0.25">
      <c r="A129" s="453" t="s">
        <v>300</v>
      </c>
      <c r="B129" s="540" t="s">
        <v>301</v>
      </c>
      <c r="C129" s="491">
        <v>0</v>
      </c>
      <c r="D129" s="492">
        <f>C129</f>
        <v>0</v>
      </c>
      <c r="E129" s="493">
        <v>0</v>
      </c>
      <c r="F129" s="494">
        <v>0</v>
      </c>
      <c r="G129" s="493">
        <v>0</v>
      </c>
      <c r="H129" s="494">
        <v>0</v>
      </c>
      <c r="I129" s="495">
        <f t="shared" ref="I129:I130" si="210">AY129</f>
        <v>0</v>
      </c>
      <c r="J129" s="496" t="str">
        <f t="shared" si="97"/>
        <v/>
      </c>
      <c r="K129" s="1127"/>
      <c r="L129" s="538"/>
      <c r="M129" s="463"/>
      <c r="N129" s="463"/>
      <c r="O129" s="463"/>
      <c r="P129" s="463"/>
      <c r="Q129" s="539"/>
      <c r="R129" s="463"/>
      <c r="S129" s="463"/>
      <c r="T129" s="462"/>
      <c r="U129" s="463"/>
      <c r="V129" s="463"/>
      <c r="W129" s="463"/>
      <c r="X129" s="463"/>
      <c r="Y129" s="463"/>
      <c r="Z129" s="463"/>
      <c r="AA129" s="463"/>
      <c r="AB129" s="463"/>
      <c r="AC129" s="463"/>
      <c r="AD129" s="463"/>
      <c r="AE129" s="463"/>
      <c r="AF129" s="463"/>
      <c r="AG129" s="463"/>
      <c r="AH129" s="463"/>
      <c r="AI129" s="463"/>
      <c r="AJ129" s="463"/>
      <c r="AK129" s="463"/>
      <c r="AL129" s="463"/>
      <c r="AM129" s="463"/>
      <c r="AN129" s="463"/>
      <c r="AO129" s="463"/>
      <c r="AP129" s="463"/>
      <c r="AQ129" s="463"/>
      <c r="AR129" s="463"/>
      <c r="AS129" s="463"/>
      <c r="AT129" s="463"/>
      <c r="AU129" s="463"/>
      <c r="AV129" s="463"/>
      <c r="AW129" s="463"/>
      <c r="AX129" s="462"/>
      <c r="AY129" s="465">
        <f t="shared" si="96"/>
        <v>0</v>
      </c>
    </row>
    <row r="130" spans="1:51" x14ac:dyDescent="0.25">
      <c r="A130" s="453" t="s">
        <v>592</v>
      </c>
      <c r="B130" s="540" t="s">
        <v>302</v>
      </c>
      <c r="C130" s="491">
        <v>2886600</v>
      </c>
      <c r="D130" s="492">
        <f>C130</f>
        <v>2886600</v>
      </c>
      <c r="E130" s="493">
        <v>0</v>
      </c>
      <c r="F130" s="494">
        <v>2886600</v>
      </c>
      <c r="G130" s="493">
        <v>0</v>
      </c>
      <c r="H130" s="494">
        <v>2886600</v>
      </c>
      <c r="I130" s="495">
        <f t="shared" si="210"/>
        <v>0</v>
      </c>
      <c r="J130" s="496" t="str">
        <f t="shared" si="97"/>
        <v/>
      </c>
      <c r="K130" s="1127"/>
      <c r="L130" s="538"/>
      <c r="M130" s="463"/>
      <c r="N130" s="463"/>
      <c r="O130" s="463"/>
      <c r="P130" s="463"/>
      <c r="Q130" s="539"/>
      <c r="R130" s="463"/>
      <c r="S130" s="463"/>
      <c r="T130" s="462"/>
      <c r="U130" s="463"/>
      <c r="V130" s="463"/>
      <c r="W130" s="463"/>
      <c r="X130" s="463"/>
      <c r="Y130" s="463"/>
      <c r="Z130" s="463"/>
      <c r="AA130" s="463"/>
      <c r="AB130" s="463"/>
      <c r="AC130" s="463"/>
      <c r="AD130" s="463"/>
      <c r="AE130" s="463"/>
      <c r="AF130" s="463"/>
      <c r="AG130" s="463"/>
      <c r="AH130" s="463"/>
      <c r="AI130" s="463"/>
      <c r="AJ130" s="463"/>
      <c r="AK130" s="463"/>
      <c r="AL130" s="463"/>
      <c r="AM130" s="463"/>
      <c r="AN130" s="463"/>
      <c r="AO130" s="463"/>
      <c r="AP130" s="463"/>
      <c r="AQ130" s="463"/>
      <c r="AR130" s="463"/>
      <c r="AS130" s="463"/>
      <c r="AT130" s="463"/>
      <c r="AU130" s="463"/>
      <c r="AV130" s="463"/>
      <c r="AW130" s="463"/>
      <c r="AX130" s="462"/>
      <c r="AY130" s="465">
        <f t="shared" si="96"/>
        <v>0</v>
      </c>
    </row>
    <row r="131" spans="1:51" s="558" customFormat="1" ht="16.5" thickBot="1" x14ac:dyDescent="0.3">
      <c r="A131" s="758" t="s">
        <v>297</v>
      </c>
      <c r="B131" s="759" t="s">
        <v>591</v>
      </c>
      <c r="C131" s="760">
        <f t="shared" ref="C131" si="211">SUM(C129:C130)</f>
        <v>2886600</v>
      </c>
      <c r="D131" s="761">
        <f t="shared" ref="D131" si="212">SUM(D129:D130)</f>
        <v>2886600</v>
      </c>
      <c r="E131" s="762">
        <f t="shared" ref="E131" si="213">SUM(E129:E130)</f>
        <v>0</v>
      </c>
      <c r="F131" s="763">
        <f t="shared" ref="F131" si="214">SUM(F129:F130)</f>
        <v>2886600</v>
      </c>
      <c r="G131" s="762">
        <f t="shared" ref="G131" si="215">SUM(G129:G130)</f>
        <v>0</v>
      </c>
      <c r="H131" s="763">
        <f t="shared" ref="H131" si="216">SUM(H129:H130)</f>
        <v>2886600</v>
      </c>
      <c r="I131" s="764">
        <f t="shared" ref="I131" si="217">SUM(I129:I130)</f>
        <v>0</v>
      </c>
      <c r="J131" s="776" t="str">
        <f t="shared" si="97"/>
        <v/>
      </c>
      <c r="K131" s="1127"/>
      <c r="L131" s="777">
        <f t="shared" ref="L131:AX131" si="218">SUM(L129:L130)</f>
        <v>0</v>
      </c>
      <c r="M131" s="770">
        <f t="shared" si="218"/>
        <v>0</v>
      </c>
      <c r="N131" s="770">
        <f t="shared" si="218"/>
        <v>0</v>
      </c>
      <c r="O131" s="770">
        <f t="shared" si="218"/>
        <v>0</v>
      </c>
      <c r="P131" s="770">
        <f t="shared" si="218"/>
        <v>0</v>
      </c>
      <c r="Q131" s="778">
        <f t="shared" si="218"/>
        <v>0</v>
      </c>
      <c r="R131" s="770">
        <f t="shared" si="218"/>
        <v>0</v>
      </c>
      <c r="S131" s="770">
        <f t="shared" si="218"/>
        <v>0</v>
      </c>
      <c r="T131" s="769">
        <f t="shared" si="218"/>
        <v>0</v>
      </c>
      <c r="U131" s="770">
        <f t="shared" si="218"/>
        <v>0</v>
      </c>
      <c r="V131" s="770">
        <f t="shared" si="218"/>
        <v>0</v>
      </c>
      <c r="W131" s="770">
        <f t="shared" si="218"/>
        <v>0</v>
      </c>
      <c r="X131" s="770">
        <f t="shared" si="218"/>
        <v>0</v>
      </c>
      <c r="Y131" s="770">
        <f t="shared" si="218"/>
        <v>0</v>
      </c>
      <c r="Z131" s="770">
        <f t="shared" si="218"/>
        <v>0</v>
      </c>
      <c r="AA131" s="770">
        <f t="shared" si="218"/>
        <v>0</v>
      </c>
      <c r="AB131" s="770">
        <f t="shared" si="218"/>
        <v>0</v>
      </c>
      <c r="AC131" s="770">
        <f t="shared" si="218"/>
        <v>0</v>
      </c>
      <c r="AD131" s="770">
        <f t="shared" si="218"/>
        <v>0</v>
      </c>
      <c r="AE131" s="770">
        <f t="shared" si="218"/>
        <v>0</v>
      </c>
      <c r="AF131" s="770">
        <f t="shared" si="218"/>
        <v>0</v>
      </c>
      <c r="AG131" s="770">
        <f t="shared" si="218"/>
        <v>0</v>
      </c>
      <c r="AH131" s="770">
        <f t="shared" si="218"/>
        <v>0</v>
      </c>
      <c r="AI131" s="770">
        <f t="shared" si="218"/>
        <v>0</v>
      </c>
      <c r="AJ131" s="770">
        <f t="shared" si="218"/>
        <v>0</v>
      </c>
      <c r="AK131" s="770">
        <f t="shared" si="218"/>
        <v>0</v>
      </c>
      <c r="AL131" s="770">
        <f t="shared" si="218"/>
        <v>0</v>
      </c>
      <c r="AM131" s="770">
        <f t="shared" si="218"/>
        <v>0</v>
      </c>
      <c r="AN131" s="770">
        <f t="shared" si="218"/>
        <v>0</v>
      </c>
      <c r="AO131" s="770">
        <f t="shared" si="218"/>
        <v>0</v>
      </c>
      <c r="AP131" s="770">
        <f t="shared" si="218"/>
        <v>0</v>
      </c>
      <c r="AQ131" s="770">
        <f t="shared" si="218"/>
        <v>0</v>
      </c>
      <c r="AR131" s="770">
        <f t="shared" si="218"/>
        <v>0</v>
      </c>
      <c r="AS131" s="770">
        <f t="shared" si="218"/>
        <v>0</v>
      </c>
      <c r="AT131" s="770">
        <f t="shared" si="218"/>
        <v>0</v>
      </c>
      <c r="AU131" s="770">
        <f t="shared" si="218"/>
        <v>0</v>
      </c>
      <c r="AV131" s="770">
        <f t="shared" si="218"/>
        <v>0</v>
      </c>
      <c r="AW131" s="770">
        <f t="shared" si="218"/>
        <v>0</v>
      </c>
      <c r="AX131" s="769">
        <f t="shared" si="218"/>
        <v>0</v>
      </c>
      <c r="AY131" s="772">
        <f t="shared" si="96"/>
        <v>0</v>
      </c>
    </row>
    <row r="132" spans="1:51" ht="16.5" thickBot="1" x14ac:dyDescent="0.3">
      <c r="A132" s="1357" t="s">
        <v>593</v>
      </c>
      <c r="B132" s="1358"/>
      <c r="C132" s="498">
        <f t="shared" ref="C132:I132" si="219">SUM(C96,C99,C112,C125,C128,C131,C122)</f>
        <v>264645936</v>
      </c>
      <c r="D132" s="499">
        <f t="shared" si="219"/>
        <v>265025945</v>
      </c>
      <c r="E132" s="500">
        <f t="shared" si="219"/>
        <v>139006328</v>
      </c>
      <c r="F132" s="501">
        <f t="shared" si="219"/>
        <v>267758439</v>
      </c>
      <c r="G132" s="500">
        <f t="shared" si="219"/>
        <v>230389027</v>
      </c>
      <c r="H132" s="501">
        <f t="shared" si="219"/>
        <v>293525553</v>
      </c>
      <c r="I132" s="502">
        <f t="shared" si="219"/>
        <v>316597179</v>
      </c>
      <c r="J132" s="503">
        <f t="shared" si="97"/>
        <v>1.0786017631657439</v>
      </c>
      <c r="K132" s="1127"/>
      <c r="L132" s="545">
        <f t="shared" ref="L132:AX132" si="220">SUM(L96,L99,L112,L125,L128,L131,L122)</f>
        <v>5959949</v>
      </c>
      <c r="M132" s="507">
        <f t="shared" si="220"/>
        <v>416000</v>
      </c>
      <c r="N132" s="507">
        <f t="shared" si="220"/>
        <v>5602443</v>
      </c>
      <c r="O132" s="507">
        <f t="shared" si="220"/>
        <v>55000</v>
      </c>
      <c r="P132" s="507">
        <f t="shared" si="220"/>
        <v>150005</v>
      </c>
      <c r="Q132" s="546">
        <f t="shared" si="220"/>
        <v>60223953</v>
      </c>
      <c r="R132" s="507">
        <f t="shared" si="220"/>
        <v>316000</v>
      </c>
      <c r="S132" s="507">
        <f t="shared" si="220"/>
        <v>0</v>
      </c>
      <c r="T132" s="507">
        <f t="shared" si="220"/>
        <v>2129017</v>
      </c>
      <c r="U132" s="507">
        <f t="shared" si="220"/>
        <v>0</v>
      </c>
      <c r="V132" s="507">
        <f t="shared" si="220"/>
        <v>0</v>
      </c>
      <c r="W132" s="507">
        <f t="shared" si="220"/>
        <v>0</v>
      </c>
      <c r="X132" s="507">
        <f t="shared" si="220"/>
        <v>0</v>
      </c>
      <c r="Y132" s="507">
        <f t="shared" si="220"/>
        <v>16599771</v>
      </c>
      <c r="Z132" s="507">
        <f t="shared" si="220"/>
        <v>0</v>
      </c>
      <c r="AA132" s="507">
        <f t="shared" si="220"/>
        <v>0</v>
      </c>
      <c r="AB132" s="507">
        <f t="shared" si="220"/>
        <v>398040</v>
      </c>
      <c r="AC132" s="507">
        <f t="shared" si="220"/>
        <v>22309408</v>
      </c>
      <c r="AD132" s="507">
        <f t="shared" si="220"/>
        <v>0</v>
      </c>
      <c r="AE132" s="507">
        <f t="shared" si="220"/>
        <v>0</v>
      </c>
      <c r="AF132" s="507">
        <f t="shared" si="220"/>
        <v>0</v>
      </c>
      <c r="AG132" s="507">
        <f t="shared" si="220"/>
        <v>127900</v>
      </c>
      <c r="AH132" s="507">
        <f t="shared" si="220"/>
        <v>0</v>
      </c>
      <c r="AI132" s="507">
        <f t="shared" si="220"/>
        <v>0</v>
      </c>
      <c r="AJ132" s="507">
        <f t="shared" si="220"/>
        <v>1718978</v>
      </c>
      <c r="AK132" s="507">
        <f t="shared" si="220"/>
        <v>0</v>
      </c>
      <c r="AL132" s="507">
        <f t="shared" si="220"/>
        <v>0</v>
      </c>
      <c r="AM132" s="507">
        <f t="shared" si="220"/>
        <v>0</v>
      </c>
      <c r="AN132" s="507">
        <f t="shared" si="220"/>
        <v>0</v>
      </c>
      <c r="AO132" s="507">
        <f t="shared" si="220"/>
        <v>0</v>
      </c>
      <c r="AP132" s="507">
        <f t="shared" si="220"/>
        <v>0</v>
      </c>
      <c r="AQ132" s="507">
        <f t="shared" si="220"/>
        <v>416504</v>
      </c>
      <c r="AR132" s="507">
        <f t="shared" si="220"/>
        <v>416115</v>
      </c>
      <c r="AS132" s="507">
        <f t="shared" si="220"/>
        <v>0</v>
      </c>
      <c r="AT132" s="507">
        <f t="shared" si="220"/>
        <v>4488216</v>
      </c>
      <c r="AU132" s="507">
        <f t="shared" si="220"/>
        <v>60000</v>
      </c>
      <c r="AV132" s="507">
        <f t="shared" si="220"/>
        <v>195209880</v>
      </c>
      <c r="AW132" s="507">
        <f t="shared" si="220"/>
        <v>0</v>
      </c>
      <c r="AX132" s="547">
        <f t="shared" si="220"/>
        <v>0</v>
      </c>
      <c r="AY132" s="509">
        <f t="shared" si="96"/>
        <v>316597179</v>
      </c>
    </row>
    <row r="133" spans="1:51" x14ac:dyDescent="0.25">
      <c r="A133" s="446" t="s">
        <v>304</v>
      </c>
      <c r="B133" s="447" t="s">
        <v>303</v>
      </c>
      <c r="C133" s="510">
        <v>5000000</v>
      </c>
      <c r="D133" s="511">
        <f>C133</f>
        <v>5000000</v>
      </c>
      <c r="E133" s="512">
        <v>0</v>
      </c>
      <c r="F133" s="513">
        <v>5000000</v>
      </c>
      <c r="G133" s="512">
        <v>0</v>
      </c>
      <c r="H133" s="513">
        <v>5000000</v>
      </c>
      <c r="I133" s="514">
        <f t="shared" ref="I133:I136" si="221">AY133</f>
        <v>0</v>
      </c>
      <c r="J133" s="515" t="str">
        <f t="shared" si="97"/>
        <v/>
      </c>
      <c r="K133" s="1127"/>
      <c r="L133" s="938"/>
      <c r="M133" s="932"/>
      <c r="N133" s="932"/>
      <c r="O133" s="932"/>
      <c r="P133" s="932"/>
      <c r="Q133" s="914"/>
      <c r="R133" s="932"/>
      <c r="S133" s="932"/>
      <c r="T133" s="931"/>
      <c r="U133" s="932"/>
      <c r="V133" s="932"/>
      <c r="W133" s="932"/>
      <c r="X133" s="932"/>
      <c r="Y133" s="932"/>
      <c r="Z133" s="932"/>
      <c r="AA133" s="932"/>
      <c r="AB133" s="932"/>
      <c r="AC133" s="932"/>
      <c r="AD133" s="932"/>
      <c r="AE133" s="932"/>
      <c r="AF133" s="932"/>
      <c r="AG133" s="932"/>
      <c r="AH133" s="932"/>
      <c r="AI133" s="932"/>
      <c r="AJ133" s="932"/>
      <c r="AK133" s="932"/>
      <c r="AL133" s="932"/>
      <c r="AM133" s="932"/>
      <c r="AN133" s="932"/>
      <c r="AO133" s="932"/>
      <c r="AP133" s="932"/>
      <c r="AQ133" s="932"/>
      <c r="AR133" s="932"/>
      <c r="AS133" s="932"/>
      <c r="AT133" s="932"/>
      <c r="AU133" s="932"/>
      <c r="AV133" s="932"/>
      <c r="AW133" s="932"/>
      <c r="AX133" s="931"/>
      <c r="AY133" s="516">
        <f t="shared" ref="AY133:AY138" si="222">SUM(L133:AX133)</f>
        <v>0</v>
      </c>
    </row>
    <row r="134" spans="1:51" x14ac:dyDescent="0.25">
      <c r="A134" s="453" t="s">
        <v>305</v>
      </c>
      <c r="B134" s="454" t="s">
        <v>306</v>
      </c>
      <c r="C134" s="491">
        <v>164147292</v>
      </c>
      <c r="D134" s="492">
        <f>C134+25403317</f>
        <v>189550609</v>
      </c>
      <c r="E134" s="493">
        <v>189550609</v>
      </c>
      <c r="F134" s="494">
        <v>189550609</v>
      </c>
      <c r="G134" s="493">
        <v>189550609</v>
      </c>
      <c r="H134" s="494">
        <v>189550609</v>
      </c>
      <c r="I134" s="495">
        <f t="shared" si="221"/>
        <v>189550609</v>
      </c>
      <c r="J134" s="496">
        <f t="shared" si="97"/>
        <v>1</v>
      </c>
      <c r="K134" s="1127"/>
      <c r="L134" s="538"/>
      <c r="M134" s="463"/>
      <c r="N134" s="463"/>
      <c r="O134" s="463"/>
      <c r="P134" s="463"/>
      <c r="Q134" s="539"/>
      <c r="R134" s="463">
        <v>189550609</v>
      </c>
      <c r="S134" s="463"/>
      <c r="T134" s="462"/>
      <c r="U134" s="463"/>
      <c r="V134" s="463"/>
      <c r="W134" s="463"/>
      <c r="X134" s="463"/>
      <c r="Y134" s="463"/>
      <c r="Z134" s="463"/>
      <c r="AA134" s="463"/>
      <c r="AB134" s="463"/>
      <c r="AC134" s="463"/>
      <c r="AD134" s="463"/>
      <c r="AE134" s="463"/>
      <c r="AF134" s="463"/>
      <c r="AG134" s="463"/>
      <c r="AH134" s="463"/>
      <c r="AI134" s="463"/>
      <c r="AJ134" s="463"/>
      <c r="AK134" s="463"/>
      <c r="AL134" s="463"/>
      <c r="AM134" s="463"/>
      <c r="AN134" s="463"/>
      <c r="AO134" s="463"/>
      <c r="AP134" s="463"/>
      <c r="AQ134" s="463"/>
      <c r="AR134" s="463"/>
      <c r="AS134" s="463"/>
      <c r="AT134" s="463"/>
      <c r="AU134" s="463"/>
      <c r="AV134" s="463"/>
      <c r="AW134" s="463"/>
      <c r="AX134" s="462"/>
      <c r="AY134" s="465">
        <f t="shared" si="222"/>
        <v>189550609</v>
      </c>
    </row>
    <row r="135" spans="1:51" hidden="1" x14ac:dyDescent="0.25">
      <c r="A135" s="453" t="s">
        <v>307</v>
      </c>
      <c r="B135" s="454" t="s">
        <v>61</v>
      </c>
      <c r="C135" s="491">
        <v>0</v>
      </c>
      <c r="D135" s="492">
        <f>C135</f>
        <v>0</v>
      </c>
      <c r="E135" s="493">
        <v>0</v>
      </c>
      <c r="F135" s="494">
        <v>0</v>
      </c>
      <c r="G135" s="493">
        <v>0</v>
      </c>
      <c r="H135" s="494">
        <v>0</v>
      </c>
      <c r="I135" s="495">
        <f t="shared" si="221"/>
        <v>0</v>
      </c>
      <c r="J135" s="496" t="str">
        <f t="shared" ref="J135:J138" si="223">IF(OR(I135="",I135=0),"",I135/H135)</f>
        <v/>
      </c>
      <c r="K135" s="1127"/>
      <c r="L135" s="538"/>
      <c r="M135" s="463"/>
      <c r="N135" s="463"/>
      <c r="O135" s="463"/>
      <c r="P135" s="463"/>
      <c r="Q135" s="539"/>
      <c r="R135" s="463"/>
      <c r="S135" s="463"/>
      <c r="T135" s="462"/>
      <c r="U135" s="463"/>
      <c r="V135" s="463"/>
      <c r="W135" s="463"/>
      <c r="X135" s="463"/>
      <c r="Y135" s="463"/>
      <c r="Z135" s="463"/>
      <c r="AA135" s="463"/>
      <c r="AB135" s="463"/>
      <c r="AC135" s="463"/>
      <c r="AD135" s="463"/>
      <c r="AE135" s="463"/>
      <c r="AF135" s="463"/>
      <c r="AG135" s="463"/>
      <c r="AH135" s="463"/>
      <c r="AI135" s="463"/>
      <c r="AJ135" s="463"/>
      <c r="AK135" s="463"/>
      <c r="AL135" s="463"/>
      <c r="AM135" s="463"/>
      <c r="AN135" s="463"/>
      <c r="AO135" s="463"/>
      <c r="AP135" s="463"/>
      <c r="AQ135" s="463"/>
      <c r="AR135" s="463"/>
      <c r="AS135" s="463"/>
      <c r="AT135" s="463"/>
      <c r="AU135" s="463"/>
      <c r="AV135" s="463"/>
      <c r="AW135" s="463"/>
      <c r="AX135" s="462"/>
      <c r="AY135" s="465">
        <f t="shared" si="222"/>
        <v>0</v>
      </c>
    </row>
    <row r="136" spans="1:51" hidden="1" x14ac:dyDescent="0.25">
      <c r="A136" s="453" t="s">
        <v>308</v>
      </c>
      <c r="B136" s="454" t="s">
        <v>309</v>
      </c>
      <c r="C136" s="491">
        <v>0</v>
      </c>
      <c r="D136" s="492">
        <f>C136</f>
        <v>0</v>
      </c>
      <c r="E136" s="493">
        <v>0</v>
      </c>
      <c r="F136" s="494">
        <v>0</v>
      </c>
      <c r="G136" s="493">
        <v>0</v>
      </c>
      <c r="H136" s="494">
        <v>0</v>
      </c>
      <c r="I136" s="495">
        <f t="shared" si="221"/>
        <v>0</v>
      </c>
      <c r="J136" s="496" t="str">
        <f t="shared" si="223"/>
        <v/>
      </c>
      <c r="K136" s="1127"/>
      <c r="L136" s="538"/>
      <c r="M136" s="463"/>
      <c r="N136" s="463"/>
      <c r="O136" s="463"/>
      <c r="P136" s="463"/>
      <c r="Q136" s="539"/>
      <c r="R136" s="463"/>
      <c r="S136" s="463"/>
      <c r="T136" s="462"/>
      <c r="U136" s="463"/>
      <c r="V136" s="463"/>
      <c r="W136" s="463"/>
      <c r="X136" s="463"/>
      <c r="Y136" s="463"/>
      <c r="Z136" s="463"/>
      <c r="AA136" s="463"/>
      <c r="AB136" s="463"/>
      <c r="AC136" s="463"/>
      <c r="AD136" s="463"/>
      <c r="AE136" s="463"/>
      <c r="AF136" s="463"/>
      <c r="AG136" s="463"/>
      <c r="AH136" s="463"/>
      <c r="AI136" s="463"/>
      <c r="AJ136" s="463"/>
      <c r="AK136" s="463"/>
      <c r="AL136" s="463"/>
      <c r="AM136" s="463"/>
      <c r="AN136" s="463"/>
      <c r="AO136" s="463"/>
      <c r="AP136" s="463"/>
      <c r="AQ136" s="463"/>
      <c r="AR136" s="463"/>
      <c r="AS136" s="463"/>
      <c r="AT136" s="463"/>
      <c r="AU136" s="463"/>
      <c r="AV136" s="463"/>
      <c r="AW136" s="463"/>
      <c r="AX136" s="462"/>
      <c r="AY136" s="465">
        <f t="shared" si="222"/>
        <v>0</v>
      </c>
    </row>
    <row r="137" spans="1:51" s="558" customFormat="1" ht="16.5" thickBot="1" x14ac:dyDescent="0.3">
      <c r="A137" s="758" t="s">
        <v>344</v>
      </c>
      <c r="B137" s="759" t="s">
        <v>594</v>
      </c>
      <c r="C137" s="760">
        <f t="shared" ref="C137" si="224">SUM(C133:C136)</f>
        <v>169147292</v>
      </c>
      <c r="D137" s="761">
        <f t="shared" ref="D137" si="225">SUM(D133:D136)</f>
        <v>194550609</v>
      </c>
      <c r="E137" s="762">
        <f t="shared" ref="E137" si="226">SUM(E133:E136)</f>
        <v>189550609</v>
      </c>
      <c r="F137" s="763">
        <f t="shared" ref="F137" si="227">SUM(F133:F136)</f>
        <v>194550609</v>
      </c>
      <c r="G137" s="762">
        <f t="shared" ref="G137" si="228">SUM(G133:G136)</f>
        <v>189550609</v>
      </c>
      <c r="H137" s="763">
        <f t="shared" ref="H137" si="229">SUM(H133:H136)</f>
        <v>194550609</v>
      </c>
      <c r="I137" s="764">
        <f t="shared" ref="I137" si="230">SUM(I133:I136)</f>
        <v>189550609</v>
      </c>
      <c r="J137" s="776">
        <f t="shared" si="223"/>
        <v>0.97429974634517846</v>
      </c>
      <c r="K137" s="1127"/>
      <c r="L137" s="766">
        <f t="shared" ref="L137:AX137" si="231">SUM(L133:L136)</f>
        <v>0</v>
      </c>
      <c r="M137" s="767">
        <f t="shared" si="231"/>
        <v>0</v>
      </c>
      <c r="N137" s="767">
        <f t="shared" si="231"/>
        <v>0</v>
      </c>
      <c r="O137" s="767">
        <f t="shared" si="231"/>
        <v>0</v>
      </c>
      <c r="P137" s="767">
        <f t="shared" si="231"/>
        <v>0</v>
      </c>
      <c r="Q137" s="768">
        <f t="shared" si="231"/>
        <v>0</v>
      </c>
      <c r="R137" s="767">
        <f t="shared" si="231"/>
        <v>189550609</v>
      </c>
      <c r="S137" s="767">
        <f t="shared" si="231"/>
        <v>0</v>
      </c>
      <c r="T137" s="769">
        <f t="shared" si="231"/>
        <v>0</v>
      </c>
      <c r="U137" s="767">
        <f t="shared" si="231"/>
        <v>0</v>
      </c>
      <c r="V137" s="767">
        <f t="shared" si="231"/>
        <v>0</v>
      </c>
      <c r="W137" s="767">
        <f t="shared" si="231"/>
        <v>0</v>
      </c>
      <c r="X137" s="767">
        <f t="shared" si="231"/>
        <v>0</v>
      </c>
      <c r="Y137" s="770">
        <f t="shared" si="231"/>
        <v>0</v>
      </c>
      <c r="Z137" s="767">
        <f t="shared" si="231"/>
        <v>0</v>
      </c>
      <c r="AA137" s="767">
        <f t="shared" si="231"/>
        <v>0</v>
      </c>
      <c r="AB137" s="767">
        <f t="shared" si="231"/>
        <v>0</v>
      </c>
      <c r="AC137" s="767">
        <f t="shared" si="231"/>
        <v>0</v>
      </c>
      <c r="AD137" s="767">
        <f t="shared" si="231"/>
        <v>0</v>
      </c>
      <c r="AE137" s="767">
        <f t="shared" si="231"/>
        <v>0</v>
      </c>
      <c r="AF137" s="767">
        <f t="shared" si="231"/>
        <v>0</v>
      </c>
      <c r="AG137" s="767">
        <f t="shared" si="231"/>
        <v>0</v>
      </c>
      <c r="AH137" s="767">
        <f t="shared" si="231"/>
        <v>0</v>
      </c>
      <c r="AI137" s="767">
        <f t="shared" si="231"/>
        <v>0</v>
      </c>
      <c r="AJ137" s="767">
        <f t="shared" si="231"/>
        <v>0</v>
      </c>
      <c r="AK137" s="767">
        <f t="shared" si="231"/>
        <v>0</v>
      </c>
      <c r="AL137" s="767">
        <f t="shared" si="231"/>
        <v>0</v>
      </c>
      <c r="AM137" s="767">
        <f t="shared" si="231"/>
        <v>0</v>
      </c>
      <c r="AN137" s="767">
        <f t="shared" si="231"/>
        <v>0</v>
      </c>
      <c r="AO137" s="767">
        <f t="shared" si="231"/>
        <v>0</v>
      </c>
      <c r="AP137" s="767">
        <f t="shared" si="231"/>
        <v>0</v>
      </c>
      <c r="AQ137" s="767">
        <f t="shared" si="231"/>
        <v>0</v>
      </c>
      <c r="AR137" s="767">
        <f t="shared" si="231"/>
        <v>0</v>
      </c>
      <c r="AS137" s="767">
        <f t="shared" si="231"/>
        <v>0</v>
      </c>
      <c r="AT137" s="767">
        <f t="shared" si="231"/>
        <v>0</v>
      </c>
      <c r="AU137" s="767">
        <f t="shared" si="231"/>
        <v>0</v>
      </c>
      <c r="AV137" s="767">
        <f t="shared" si="231"/>
        <v>0</v>
      </c>
      <c r="AW137" s="767">
        <f t="shared" si="231"/>
        <v>0</v>
      </c>
      <c r="AX137" s="771">
        <f t="shared" si="231"/>
        <v>0</v>
      </c>
      <c r="AY137" s="772">
        <f t="shared" si="222"/>
        <v>189550609</v>
      </c>
    </row>
    <row r="138" spans="1:51" s="534" customFormat="1" ht="17.25" thickBot="1" x14ac:dyDescent="0.3">
      <c r="A138" s="1355" t="s">
        <v>595</v>
      </c>
      <c r="B138" s="1356"/>
      <c r="C138" s="522">
        <f t="shared" ref="C138" si="232">SUM(C137,C132)</f>
        <v>433793228</v>
      </c>
      <c r="D138" s="548">
        <f t="shared" ref="D138" si="233">SUM(D137,D132)</f>
        <v>459576554</v>
      </c>
      <c r="E138" s="549">
        <f t="shared" ref="E138" si="234">SUM(E137,E132)</f>
        <v>328556937</v>
      </c>
      <c r="F138" s="525">
        <f t="shared" ref="F138" si="235">SUM(F137,F132)</f>
        <v>462309048</v>
      </c>
      <c r="G138" s="524">
        <f t="shared" ref="G138" si="236">SUM(G137,G132)</f>
        <v>419939636</v>
      </c>
      <c r="H138" s="525">
        <f t="shared" ref="H138" si="237">SUM(H137,H132)</f>
        <v>488076162</v>
      </c>
      <c r="I138" s="527">
        <f t="shared" ref="I138" si="238">SUM(I137,I132)</f>
        <v>506147788</v>
      </c>
      <c r="J138" s="528">
        <f t="shared" si="223"/>
        <v>1.0370262418183824</v>
      </c>
      <c r="K138" s="1127"/>
      <c r="L138" s="550">
        <f t="shared" ref="L138:AX138" si="239">SUM(L137,L132)</f>
        <v>5959949</v>
      </c>
      <c r="M138" s="532">
        <f t="shared" si="239"/>
        <v>416000</v>
      </c>
      <c r="N138" s="532">
        <f t="shared" si="239"/>
        <v>5602443</v>
      </c>
      <c r="O138" s="532">
        <f t="shared" si="239"/>
        <v>55000</v>
      </c>
      <c r="P138" s="532">
        <f t="shared" si="239"/>
        <v>150005</v>
      </c>
      <c r="Q138" s="551">
        <f t="shared" si="239"/>
        <v>60223953</v>
      </c>
      <c r="R138" s="532">
        <f t="shared" si="239"/>
        <v>189866609</v>
      </c>
      <c r="S138" s="532">
        <f t="shared" si="239"/>
        <v>0</v>
      </c>
      <c r="T138" s="532">
        <f t="shared" si="239"/>
        <v>2129017</v>
      </c>
      <c r="U138" s="532">
        <f t="shared" si="239"/>
        <v>0</v>
      </c>
      <c r="V138" s="532">
        <f t="shared" si="239"/>
        <v>0</v>
      </c>
      <c r="W138" s="532">
        <f t="shared" si="239"/>
        <v>0</v>
      </c>
      <c r="X138" s="532">
        <f t="shared" si="239"/>
        <v>0</v>
      </c>
      <c r="Y138" s="532">
        <f t="shared" si="239"/>
        <v>16599771</v>
      </c>
      <c r="Z138" s="532">
        <f t="shared" si="239"/>
        <v>0</v>
      </c>
      <c r="AA138" s="532">
        <f t="shared" si="239"/>
        <v>0</v>
      </c>
      <c r="AB138" s="532">
        <f t="shared" si="239"/>
        <v>398040</v>
      </c>
      <c r="AC138" s="532">
        <f t="shared" si="239"/>
        <v>22309408</v>
      </c>
      <c r="AD138" s="532">
        <f t="shared" si="239"/>
        <v>0</v>
      </c>
      <c r="AE138" s="532">
        <f t="shared" si="239"/>
        <v>0</v>
      </c>
      <c r="AF138" s="532">
        <f t="shared" si="239"/>
        <v>0</v>
      </c>
      <c r="AG138" s="532">
        <f t="shared" si="239"/>
        <v>127900</v>
      </c>
      <c r="AH138" s="532">
        <f t="shared" si="239"/>
        <v>0</v>
      </c>
      <c r="AI138" s="532">
        <f t="shared" si="239"/>
        <v>0</v>
      </c>
      <c r="AJ138" s="532">
        <f t="shared" si="239"/>
        <v>1718978</v>
      </c>
      <c r="AK138" s="532">
        <f t="shared" si="239"/>
        <v>0</v>
      </c>
      <c r="AL138" s="532">
        <f t="shared" si="239"/>
        <v>0</v>
      </c>
      <c r="AM138" s="532">
        <f t="shared" si="239"/>
        <v>0</v>
      </c>
      <c r="AN138" s="532">
        <f t="shared" si="239"/>
        <v>0</v>
      </c>
      <c r="AO138" s="532">
        <f t="shared" si="239"/>
        <v>0</v>
      </c>
      <c r="AP138" s="532">
        <f t="shared" si="239"/>
        <v>0</v>
      </c>
      <c r="AQ138" s="532">
        <f t="shared" si="239"/>
        <v>416504</v>
      </c>
      <c r="AR138" s="532">
        <f t="shared" si="239"/>
        <v>416115</v>
      </c>
      <c r="AS138" s="532">
        <f t="shared" si="239"/>
        <v>0</v>
      </c>
      <c r="AT138" s="532">
        <f t="shared" si="239"/>
        <v>4488216</v>
      </c>
      <c r="AU138" s="532">
        <f t="shared" si="239"/>
        <v>60000</v>
      </c>
      <c r="AV138" s="532">
        <f t="shared" si="239"/>
        <v>195209880</v>
      </c>
      <c r="AW138" s="532">
        <f t="shared" si="239"/>
        <v>0</v>
      </c>
      <c r="AX138" s="552">
        <f t="shared" si="239"/>
        <v>0</v>
      </c>
      <c r="AY138" s="533">
        <f t="shared" si="222"/>
        <v>506147788</v>
      </c>
    </row>
    <row r="139" spans="1:51" x14ac:dyDescent="0.25">
      <c r="C139" s="554"/>
      <c r="D139" s="554"/>
      <c r="E139" s="554"/>
      <c r="F139" s="554"/>
      <c r="G139" s="554"/>
      <c r="H139" s="554"/>
      <c r="I139" s="554"/>
      <c r="J139" s="555"/>
    </row>
    <row r="140" spans="1:51" ht="16.5" thickBot="1" x14ac:dyDescent="0.3">
      <c r="C140" s="554"/>
      <c r="D140" s="554"/>
      <c r="E140" s="554"/>
      <c r="F140" s="554"/>
      <c r="G140" s="554"/>
      <c r="H140" s="554"/>
      <c r="I140" s="554"/>
      <c r="J140" s="555"/>
    </row>
    <row r="141" spans="1:51" s="565" customFormat="1" ht="17.25" thickBot="1" x14ac:dyDescent="0.3">
      <c r="A141" s="1341" t="s">
        <v>103</v>
      </c>
      <c r="B141" s="1342"/>
      <c r="C141" s="559">
        <v>9</v>
      </c>
      <c r="D141" s="560"/>
      <c r="E141" s="560"/>
      <c r="F141" s="561"/>
      <c r="G141" s="561"/>
      <c r="H141" s="561"/>
      <c r="I141" s="561"/>
      <c r="J141" s="562"/>
      <c r="K141" s="1131"/>
      <c r="L141" s="563"/>
      <c r="M141" s="563"/>
      <c r="N141" s="563"/>
      <c r="O141" s="563"/>
      <c r="P141" s="563"/>
      <c r="Q141" s="564"/>
      <c r="R141" s="563"/>
      <c r="S141" s="563"/>
      <c r="U141" s="563"/>
      <c r="V141" s="563"/>
      <c r="W141" s="563"/>
      <c r="X141" s="563"/>
      <c r="Z141" s="563"/>
      <c r="AA141" s="563"/>
      <c r="AB141" s="563"/>
      <c r="AC141" s="563"/>
      <c r="AD141" s="563"/>
      <c r="AE141" s="563"/>
      <c r="AF141" s="563"/>
      <c r="AG141" s="563"/>
      <c r="AH141" s="563"/>
      <c r="AI141" s="563"/>
      <c r="AJ141" s="563"/>
      <c r="AK141" s="563"/>
      <c r="AL141" s="563"/>
      <c r="AM141" s="563"/>
      <c r="AN141" s="563"/>
      <c r="AO141" s="563"/>
      <c r="AP141" s="563"/>
      <c r="AQ141" s="563"/>
      <c r="AR141" s="563"/>
      <c r="AS141" s="563"/>
      <c r="AT141" s="563"/>
      <c r="AU141" s="563"/>
      <c r="AV141" s="563"/>
      <c r="AW141" s="563"/>
      <c r="AX141" s="563"/>
    </row>
  </sheetData>
  <sheetProtection algorithmName="SHA-512" hashValue="TDLKTk8SLnCagQRzFs5HYAEZ3AggXxRNESM+y/qv7KCuPvCRXfEmORMBMDHKMhB3FyOBvuuAM/0lBTcvkCE79g==" saltValue="Fm/foKZS54cC3zgt7HbIpg==" spinCount="100000" sheet="1" formatCells="0" formatColumns="0" formatRows="0" insertColumns="0" insertRows="0" insertHyperlinks="0" deleteColumns="0" deleteRows="0" sort="0" autoFilter="0" pivotTables="0"/>
  <mergeCells count="20">
    <mergeCell ref="A141:B141"/>
    <mergeCell ref="C1:C3"/>
    <mergeCell ref="D1:E1"/>
    <mergeCell ref="E2:E3"/>
    <mergeCell ref="D2:D3"/>
    <mergeCell ref="A1:A3"/>
    <mergeCell ref="B1:B3"/>
    <mergeCell ref="A138:B138"/>
    <mergeCell ref="A132:B132"/>
    <mergeCell ref="A76:B76"/>
    <mergeCell ref="A81:B81"/>
    <mergeCell ref="AY2:AY3"/>
    <mergeCell ref="H1:I1"/>
    <mergeCell ref="H2:H3"/>
    <mergeCell ref="I2:I3"/>
    <mergeCell ref="F1:G1"/>
    <mergeCell ref="F2:F3"/>
    <mergeCell ref="J1:J3"/>
    <mergeCell ref="G2:G3"/>
    <mergeCell ref="L1:AY1"/>
  </mergeCells>
  <printOptions horizontalCentered="1"/>
  <pageMargins left="0.17" right="0.17" top="1.19" bottom="0.27559055118110237" header="0.31496062992125984" footer="0.19685039370078741"/>
  <pageSetup paperSize="8" scale="30" fitToHeight="0" orientation="landscape" r:id="rId1"/>
  <headerFooter scaleWithDoc="0">
    <oddHeader>&amp;LLevél Községi Önkormányzat&amp;C&amp;"Arial,Félkövér"&amp;12ZÁRSZÁMADÁSI RENDELET - 2019. év
Önkormányzat&amp;R&amp;"Arial,Normál"&amp;8 9.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23</vt:i4>
      </vt:variant>
    </vt:vector>
  </HeadingPairs>
  <TitlesOfParts>
    <vt:vector size="45" baseType="lpstr">
      <vt:lpstr>Ktvetési mérleg - 1. mell.</vt:lpstr>
      <vt:lpstr>Műk-felh.mérleg - 2. mell.</vt:lpstr>
      <vt:lpstr>Bevétel össz. - 3. mell.</vt:lpstr>
      <vt:lpstr>Kiadás össz. - 4. mell.</vt:lpstr>
      <vt:lpstr>Állami - 5. mell.</vt:lpstr>
      <vt:lpstr>Ber.-felú. - 6. mell.</vt:lpstr>
      <vt:lpstr>Pénze.átadás - 7. mell.</vt:lpstr>
      <vt:lpstr>Szoc.jutt. - 8. mell.</vt:lpstr>
      <vt:lpstr>Önkormányzat - 9. mell.</vt:lpstr>
      <vt:lpstr>Óvoda - 10. mell.</vt:lpstr>
      <vt:lpstr>11 Élelm.</vt:lpstr>
      <vt:lpstr>12 Létszám</vt:lpstr>
      <vt:lpstr>13 EI-felh. terv</vt:lpstr>
      <vt:lpstr>14 Címrend</vt:lpstr>
      <vt:lpstr>15 gördülő</vt:lpstr>
      <vt:lpstr>16 stab.tv saját bevétel</vt:lpstr>
      <vt:lpstr>17 ÖNK - maradványkimutatás</vt:lpstr>
      <vt:lpstr>18 ÓVODA - maradványkimutatás</vt:lpstr>
      <vt:lpstr>19 ÖNK - mérleg</vt:lpstr>
      <vt:lpstr>20 ÓVODA - mérleg</vt:lpstr>
      <vt:lpstr>21 konsz. mérleg</vt:lpstr>
      <vt:lpstr>22 konsz. eredménykimutatás</vt:lpstr>
      <vt:lpstr>'Önkormányzat - 9. mell.'!Nyomtatási_cím</vt:lpstr>
      <vt:lpstr>'11 Élelm.'!Nyomtatási_terület</vt:lpstr>
      <vt:lpstr>'12 Létszám'!Nyomtatási_terület</vt:lpstr>
      <vt:lpstr>'13 EI-felh. terv'!Nyomtatási_terület</vt:lpstr>
      <vt:lpstr>'14 Címrend'!Nyomtatási_terület</vt:lpstr>
      <vt:lpstr>'15 gördülő'!Nyomtatási_terület</vt:lpstr>
      <vt:lpstr>'16 stab.tv saját bevétel'!Nyomtatási_terület</vt:lpstr>
      <vt:lpstr>'17 ÖNK - maradványkimutatás'!Nyomtatási_terület</vt:lpstr>
      <vt:lpstr>'18 ÓVODA - maradványkimutatás'!Nyomtatási_terület</vt:lpstr>
      <vt:lpstr>'19 ÖNK - mérleg'!Nyomtatási_terület</vt:lpstr>
      <vt:lpstr>'20 ÓVODA - mérleg'!Nyomtatási_terület</vt:lpstr>
      <vt:lpstr>'21 konsz. mérleg'!Nyomtatási_terület</vt:lpstr>
      <vt:lpstr>'22 konsz. eredménykimutatás'!Nyomtatási_terület</vt:lpstr>
      <vt:lpstr>'Állami - 5. mell.'!Nyomtatási_terület</vt:lpstr>
      <vt:lpstr>'Ber.-felú. - 6. mell.'!Nyomtatási_terület</vt:lpstr>
      <vt:lpstr>'Bevétel össz. - 3. mell.'!Nyomtatási_terület</vt:lpstr>
      <vt:lpstr>'Kiadás össz. - 4. mell.'!Nyomtatási_terület</vt:lpstr>
      <vt:lpstr>'Ktvetési mérleg - 1. mell.'!Nyomtatási_terület</vt:lpstr>
      <vt:lpstr>'Műk-felh.mérleg - 2. mell.'!Nyomtatási_terület</vt:lpstr>
      <vt:lpstr>'Óvoda - 10. mell.'!Nyomtatási_terület</vt:lpstr>
      <vt:lpstr>'Önkormányzat - 9. mell.'!Nyomtatási_terület</vt:lpstr>
      <vt:lpstr>'Pénze.átadás - 7. mell.'!Nyomtatási_terület</vt:lpstr>
      <vt:lpstr>'Szoc.jutt. - 8.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2020-07-08T10:36:39Z</cp:lastPrinted>
  <dcterms:created xsi:type="dcterms:W3CDTF">1997-01-17T14:02:09Z</dcterms:created>
  <dcterms:modified xsi:type="dcterms:W3CDTF">2020-07-08T10:36:44Z</dcterms:modified>
</cp:coreProperties>
</file>