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75" yWindow="15" windowWidth="10725" windowHeight="9855" firstSheet="16" activeTab="23"/>
  </bookViews>
  <sheets>
    <sheet name="Címrend" sheetId="1" r:id="rId1"/>
    <sheet name="1 kiem" sheetId="2" r:id="rId2"/>
    <sheet name="2 Össz" sheetId="3" r:id="rId3"/>
    <sheet name="3 Adók és tám" sheetId="4" r:id="rId4"/>
    <sheet name="4 Átvett és Felh bev" sheetId="5" r:id="rId5"/>
    <sheet name="5 Beruh kiad" sheetId="6" r:id="rId6"/>
    <sheet name="6 Tart" sheetId="7" r:id="rId7"/>
    <sheet name="7 Önk" sheetId="8" r:id="rId8"/>
    <sheet name="8 PH" sheetId="9" r:id="rId9"/>
    <sheet name="9 VGIG" sheetId="10" r:id="rId10"/>
    <sheet name="10 Járób" sheetId="11" r:id="rId11"/>
    <sheet name="11 Szoci" sheetId="12" r:id="rId12"/>
    <sheet name="12 Ovi" sheetId="13" r:id="rId13"/>
    <sheet name="13 Művház" sheetId="14" r:id="rId14"/>
    <sheet name="14 Könyvt" sheetId="15" r:id="rId15"/>
    <sheet name="15 létszám" sheetId="16" r:id="rId16"/>
    <sheet name="16 szociális kiad" sheetId="17" r:id="rId17"/>
    <sheet name="17 hitelek" sheetId="18" r:id="rId18"/>
    <sheet name="18 TÖBB ÉVES" sheetId="19" r:id="rId19"/>
    <sheet name="19 EU proj" sheetId="20" r:id="rId20"/>
    <sheet name="20 közvetett" sheetId="21" r:id="rId21"/>
    <sheet name="21 MÉRLEG" sheetId="22" r:id="rId22"/>
    <sheet name="22 FELH TERV" sheetId="23" r:id="rId23"/>
    <sheet name="23 GÖRDÜLŐ" sheetId="24" r:id="rId24"/>
  </sheets>
  <externalReferences>
    <externalReference r:id="rId27"/>
  </externalReferences>
  <definedNames>
    <definedName name="_4._sz._sor_részletezése">#REF!</definedName>
    <definedName name="_xlnm.Print_Titles" localSheetId="10">'10 Járób'!$1:$5</definedName>
    <definedName name="_xlnm.Print_Titles" localSheetId="11">'11 Szoci'!$1:$5</definedName>
    <definedName name="_xlnm.Print_Titles" localSheetId="12">'12 Ovi'!$1:$5</definedName>
    <definedName name="_xlnm.Print_Titles" localSheetId="13">'13 Művház'!$1:$5</definedName>
    <definedName name="_xlnm.Print_Titles" localSheetId="14">'14 Könyvt'!$1:$5</definedName>
    <definedName name="_xlnm.Print_Titles" localSheetId="19">'19 EU proj'!$1:$6</definedName>
    <definedName name="_xlnm.Print_Titles" localSheetId="2">'2 Össz'!$1:$5</definedName>
    <definedName name="_xlnm.Print_Titles" localSheetId="21">'21 MÉRLEG'!$1:$5</definedName>
    <definedName name="_xlnm.Print_Titles" localSheetId="22">'22 FELH TERV'!$1:$6</definedName>
    <definedName name="_xlnm.Print_Titles" localSheetId="23">'23 GÖRDÜLŐ'!$1:$6</definedName>
    <definedName name="_xlnm.Print_Titles" localSheetId="3">'3 Adók és tám'!$1:$6</definedName>
    <definedName name="_xlnm.Print_Titles" localSheetId="4">'4 Átvett és Felh bev'!$1:$6</definedName>
    <definedName name="_xlnm.Print_Titles" localSheetId="7">'7 Önk'!$B:$C,'7 Önk'!$1:$4</definedName>
    <definedName name="_xlnm.Print_Titles" localSheetId="8">'8 PH'!$1:$5</definedName>
    <definedName name="_xlnm.Print_Titles" localSheetId="9">'9 VGIG'!$1:$5</definedName>
    <definedName name="_xlnm.Print_Area" localSheetId="1">'1 kiem'!$A$1:$D$31</definedName>
    <definedName name="_xlnm.Print_Area" localSheetId="10">'10 Járób'!$B$1:$F$126</definedName>
    <definedName name="_xlnm.Print_Area" localSheetId="11">'11 Szoci'!$B$1:$F$126</definedName>
    <definedName name="_xlnm.Print_Area" localSheetId="12">'12 Ovi'!$B$1:$F$126</definedName>
    <definedName name="_xlnm.Print_Area" localSheetId="13">'13 Művház'!$B$1:$F$126</definedName>
    <definedName name="_xlnm.Print_Area" localSheetId="14">'14 Könyvt'!$B$1:$F$126</definedName>
    <definedName name="_xlnm.Print_Area" localSheetId="15">'15 létszám'!$A$1:$K$34</definedName>
    <definedName name="_xlnm.Print_Area" localSheetId="16">'16 szociális kiad'!$A$1:$C$49</definedName>
    <definedName name="_xlnm.Print_Area" localSheetId="17">'17 hitelek'!$A$1:$D$85</definedName>
    <definedName name="_xlnm.Print_Area" localSheetId="18">'18 TÖBB ÉVES'!$A$1:$I$31</definedName>
    <definedName name="_xlnm.Print_Area" localSheetId="19">'19 EU proj'!$A$1:$B$87</definedName>
    <definedName name="_xlnm.Print_Area" localSheetId="2">'2 Össz'!$A$1:$E$152</definedName>
    <definedName name="_xlnm.Print_Area" localSheetId="20">'20 közvetett'!$A$1:$E$18</definedName>
    <definedName name="_xlnm.Print_Area" localSheetId="21">'21 MÉRLEG'!$A$1:$E$151</definedName>
    <definedName name="_xlnm.Print_Area" localSheetId="22">'22 FELH TERV'!$A$1:$O$149</definedName>
    <definedName name="_xlnm.Print_Area" localSheetId="23">'23 GÖRDÜLŐ'!$A$1:$F$148</definedName>
    <definedName name="_xlnm.Print_Area" localSheetId="3">'3 Adók és tám'!$B$1:$D$73</definedName>
    <definedName name="_xlnm.Print_Area" localSheetId="4">'4 Átvett és Felh bev'!$B$1:$E$86</definedName>
    <definedName name="_xlnm.Print_Area" localSheetId="5">'5 Beruh kiad'!$B$1:$E$62</definedName>
    <definedName name="_xlnm.Print_Area" localSheetId="6">'6 Tart'!$B$1:$F$28</definedName>
    <definedName name="_xlnm.Print_Area" localSheetId="7">'7 Önk'!$B$1:$AA$123</definedName>
    <definedName name="_xlnm.Print_Area" localSheetId="8">'8 PH'!$B$1:$F$126</definedName>
    <definedName name="_xlnm.Print_Area" localSheetId="9">'9 VGIG'!$B$1:$F$126</definedName>
    <definedName name="_xlnm.Print_Area" localSheetId="0">'Címrend'!$A$1:$B$18</definedName>
    <definedName name="pr232" localSheetId="18">'18 TÖBB ÉVES'!$A$20</definedName>
    <definedName name="pr232" localSheetId="21">'21 MÉRLEG'!#REF!</definedName>
    <definedName name="pr232" localSheetId="23">'23 GÖRDÜLŐ'!#REF!</definedName>
    <definedName name="pr233" localSheetId="18">'18 TÖBB ÉVES'!$A$21</definedName>
    <definedName name="pr233" localSheetId="21">'21 MÉRLEG'!#REF!</definedName>
    <definedName name="pr233" localSheetId="23">'23 GÖRDÜLŐ'!#REF!</definedName>
    <definedName name="pr234" localSheetId="18">'18 TÖBB ÉVES'!$A$22</definedName>
    <definedName name="pr234" localSheetId="21">'21 MÉRLEG'!#REF!</definedName>
    <definedName name="pr234" localSheetId="23">'23 GÖRDÜLŐ'!#REF!</definedName>
    <definedName name="pr235" localSheetId="18">'18 TÖBB ÉVES'!$A$23</definedName>
    <definedName name="pr235" localSheetId="21">'21 MÉRLEG'!#REF!</definedName>
    <definedName name="pr235" localSheetId="23">'23 GÖRDÜLŐ'!#REF!</definedName>
    <definedName name="pr236" localSheetId="18">'18 TÖBB ÉVES'!$A$24</definedName>
    <definedName name="pr236" localSheetId="21">'21 MÉRLEG'!#REF!</definedName>
    <definedName name="pr236" localSheetId="23">'23 GÖRDÜLŐ'!#REF!</definedName>
    <definedName name="pr312" localSheetId="18">'18 TÖBB ÉVES'!$A$15</definedName>
    <definedName name="pr312" localSheetId="21">'21 MÉRLEG'!#REF!</definedName>
    <definedName name="pr312" localSheetId="23">'23 GÖRDÜLŐ'!#REF!</definedName>
    <definedName name="pr313" localSheetId="18">'18 TÖBB ÉVES'!$A$4</definedName>
    <definedName name="pr313" localSheetId="21">'21 MÉRLEG'!#REF!</definedName>
    <definedName name="pr313" localSheetId="23">'23 GÖRDÜLŐ'!#REF!</definedName>
    <definedName name="pr314" localSheetId="18">'18 TÖBB ÉVES'!$A$16</definedName>
    <definedName name="pr314" localSheetId="21">'21 MÉRLEG'!#REF!</definedName>
    <definedName name="pr314" localSheetId="23">'23 GÖRDÜLŐ'!#REF!</definedName>
    <definedName name="pr315" localSheetId="18">'18 TÖBB ÉVES'!$A$12</definedName>
    <definedName name="pr315" localSheetId="21">'21 MÉRLEG'!#REF!</definedName>
    <definedName name="pr315" localSheetId="23">'23 GÖRDÜLŐ'!$A$5</definedName>
    <definedName name="pr347" localSheetId="23">'23 GÖRDÜLŐ'!$G$7</definedName>
    <definedName name="pr348" localSheetId="23">'23 GÖRDÜLŐ'!$G$8</definedName>
    <definedName name="pr349" localSheetId="23">'23 GÖRDÜLŐ'!$G$9</definedName>
    <definedName name="pr54" localSheetId="0">'Címrend'!$B$29</definedName>
    <definedName name="pr55" localSheetId="0">'Címrend'!$B$30</definedName>
    <definedName name="pr56" localSheetId="0">'Címrend'!$B$31</definedName>
    <definedName name="pr57" localSheetId="0">'Címrend'!$B$32</definedName>
    <definedName name="pr58" localSheetId="0">'Címrend'!$B$33</definedName>
    <definedName name="pr59" localSheetId="0">'Címrend'!$B$34</definedName>
    <definedName name="pr60" localSheetId="0">'Címrend'!#REF!</definedName>
    <definedName name="pr61" localSheetId="0">'Címrend'!$B$36</definedName>
    <definedName name="pr62" localSheetId="0">'Címrend'!$B$37</definedName>
    <definedName name="pr63" localSheetId="0">'Címrend'!$B$38</definedName>
    <definedName name="pr64" localSheetId="0">'Címrend'!$B$39</definedName>
    <definedName name="pr65" localSheetId="0">'Címrend'!$B$40</definedName>
    <definedName name="pr66" localSheetId="0">'Címrend'!$B$41</definedName>
    <definedName name="pr67" localSheetId="0">'Címrend'!$B$42</definedName>
    <definedName name="pr68" localSheetId="0">'Címrend'!$B$43</definedName>
    <definedName name="pr69" localSheetId="0">'Címrend'!$B$44</definedName>
    <definedName name="pr70" localSheetId="0">'Címrend'!$B$45</definedName>
    <definedName name="pr71" localSheetId="0">'Címrend'!$B$46</definedName>
    <definedName name="pr72" localSheetId="0">'Címrend'!$B$47</definedName>
    <definedName name="pr73" localSheetId="0">'Címrend'!$B$48</definedName>
  </definedNames>
  <calcPr fullCalcOnLoad="1"/>
</workbook>
</file>

<file path=xl/comments8.xml><?xml version="1.0" encoding="utf-8"?>
<comments xmlns="http://schemas.openxmlformats.org/spreadsheetml/2006/main">
  <authors>
    <author>gl</author>
  </authors>
  <commentList>
    <comment ref="G15" authorId="0">
      <text>
        <r>
          <rPr>
            <b/>
            <sz val="8"/>
            <rFont val="Tahoma"/>
            <family val="0"/>
          </rPr>
          <t>gl:</t>
        </r>
        <r>
          <rPr>
            <sz val="8"/>
            <rFont val="Tahoma"/>
            <family val="0"/>
          </rPr>
          <t xml:space="preserve">
+Szociális ellátás dologi kiadása 3 500 eFt</t>
        </r>
      </text>
    </comment>
  </commentList>
</comments>
</file>

<file path=xl/sharedStrings.xml><?xml version="1.0" encoding="utf-8"?>
<sst xmlns="http://schemas.openxmlformats.org/spreadsheetml/2006/main" count="4091" uniqueCount="826">
  <si>
    <t>Jelzőrendszeres házi segítségnyújtás támogatás pályázat</t>
  </si>
  <si>
    <t>Pszichiátriai betegek ellátásának támogatása</t>
  </si>
  <si>
    <t>Települési hozzájárulás szociális alapszolgáltatáshoz</t>
  </si>
  <si>
    <t>Beruházások és felújítások (E Ft)</t>
  </si>
  <si>
    <t>Általános- és céltartalékok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</si>
  <si>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</si>
  <si>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</si>
  <si>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</si>
  <si>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3 .melléklet</t>
  </si>
  <si>
    <t>4 .melléklet</t>
  </si>
  <si>
    <t>5 .melléklet</t>
  </si>
  <si>
    <t>6 .melléklet</t>
  </si>
  <si>
    <t>7 .melléklet</t>
  </si>
  <si>
    <t>8. melléklet</t>
  </si>
  <si>
    <t>21. melléklet</t>
  </si>
  <si>
    <t>20. melléklet</t>
  </si>
  <si>
    <t>19. melléklet</t>
  </si>
  <si>
    <t>16. melléklet</t>
  </si>
  <si>
    <t>15. melléklet</t>
  </si>
  <si>
    <t>14. melléklet</t>
  </si>
  <si>
    <t>13. melléklet</t>
  </si>
  <si>
    <t>12. melléklet</t>
  </si>
  <si>
    <t>11. melléklet</t>
  </si>
  <si>
    <t>10. melléklet</t>
  </si>
  <si>
    <t>9. melléklet</t>
  </si>
  <si>
    <t>011130 Önkormányzatok és önkormányzati hivatalok jogalkotó és általános igazgatási tevékenysége</t>
  </si>
  <si>
    <t>013350 Az önkormányzati vagyonnal való gazdálkodással kapcsolatos feladatok</t>
  </si>
  <si>
    <t>084040 Egyházak közösségi és hitéleti tevékenységének támogatása</t>
  </si>
  <si>
    <t>ÖSSZESEN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</si>
  <si>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</si>
  <si>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</si>
  <si>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Rovat-
szám</t>
  </si>
  <si>
    <t>Lakosságnak juttatott támogatások, szociális, rászorultsági jellegű ellátások (E Ft)</t>
  </si>
  <si>
    <t>Kötelezettségek megnevezése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</si>
  <si>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</si>
  <si>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</si>
  <si>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</si>
  <si>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</si>
  <si>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</si>
  <si>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</si>
  <si>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</si>
  <si>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</si>
  <si>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</si>
  <si>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</si>
  <si>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</si>
  <si>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</si>
  <si>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</si>
  <si>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</si>
  <si>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</si>
  <si>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</si>
  <si>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</si>
  <si>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</si>
  <si>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</si>
  <si>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</si>
  <si>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</si>
  <si>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</si>
  <si>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</si>
  <si>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</si>
  <si>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</si>
  <si>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</si>
  <si>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</si>
  <si>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</si>
  <si>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</si>
  <si>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</si>
  <si>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</si>
  <si>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</si>
  <si>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</si>
  <si>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</si>
  <si>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a 4/2014.(III.3.) önkormányzati rendelethez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</si>
  <si>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</si>
  <si>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</si>
  <si>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</si>
  <si>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</si>
  <si>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</si>
  <si>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</si>
  <si>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</si>
  <si>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</si>
  <si>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</si>
  <si>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Felhalmozási hiány / többlet (B2+B5+B7) - (K6+K7+K8)</t>
  </si>
  <si>
    <t>Működési hiány / többlet  (B1+B3+B4+B6+B8134+B811) - (K1+K2+K3+K4+K5+K9)</t>
  </si>
  <si>
    <t>17. melléklet</t>
  </si>
  <si>
    <t>Összesen:</t>
  </si>
  <si>
    <t>18. melléklet</t>
  </si>
  <si>
    <t>A támogatás kedvezményezettje</t>
  </si>
  <si>
    <t>Kedvezmény</t>
  </si>
  <si>
    <t>jogcíme (jellege)</t>
  </si>
  <si>
    <t>kérelmek száma (db)</t>
  </si>
  <si>
    <t>összege (eFt)</t>
  </si>
  <si>
    <t>Tulajdonos</t>
  </si>
  <si>
    <t>Magánszemélyek kommunális adója</t>
  </si>
  <si>
    <t>Helyi rendelet, szociális helyzet (törvény alapján)</t>
  </si>
  <si>
    <t>Gépjárműadó</t>
  </si>
  <si>
    <t>Szociális helyzet (törvény alapján)</t>
  </si>
  <si>
    <t>Késedelmi pótlék</t>
  </si>
  <si>
    <t>Bírság</t>
  </si>
  <si>
    <t>Szemétszállítási díj</t>
  </si>
  <si>
    <t>Helyi rendeletben meghatározott mentességek alapján</t>
  </si>
  <si>
    <t>Az önkormányzat 2014. évi közvetett támogatásai</t>
  </si>
  <si>
    <r>
      <t>Áht. 29/A. §</t>
    </r>
    <r>
      <rPr>
        <sz val="12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</si>
  <si>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2"/>
        <color indexed="8"/>
        <rFont val="Times New Roman"/>
        <family val="1"/>
      </rPr>
      <t>a Stabilitási tv. 45. § (1) bekezdés</t>
    </r>
    <r>
      <rPr>
        <i/>
        <sz val="12"/>
        <color indexed="8"/>
        <rFont val="Times New Roman"/>
        <family val="1"/>
      </rPr>
      <t xml:space="preserve"> a) </t>
    </r>
    <r>
      <rPr>
        <sz val="12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</si>
  <si>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2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</si>
  <si>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2012. évi    teljesítés</t>
  </si>
  <si>
    <t>Hosszú lejáratú hitelek, kölcsönök felvétele FELHALMOZÁSRA</t>
  </si>
  <si>
    <t>Rövid lejáratú hitelek, kölcsönök felvétele  MŰKÖDÉSRE</t>
  </si>
  <si>
    <t>Kistérségi Járóbetegellátó Központ</t>
  </si>
  <si>
    <t>A költségvetési hiány külső finanszírozására vagy a költségvetési többlet felhasználására szolgáló finanszírozási bevételek és kiadások  (E Ft)</t>
  </si>
  <si>
    <t>Első Világháborús Emlékmű felújítása</t>
  </si>
  <si>
    <t>Városi PIAC épületének korszerűsítése</t>
  </si>
  <si>
    <t>Móricz Zsigmond Művelődési Központ moziterem felújítása</t>
  </si>
  <si>
    <t>Bölcsőde felújítása</t>
  </si>
  <si>
    <t>Barcs Város közvilágításának korszerűsítése</t>
  </si>
  <si>
    <t>Barcsi Szociális Központ fejlesztése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</si>
  <si>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</si>
  <si>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</si>
  <si>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</si>
  <si>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</si>
  <si>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</si>
  <si>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</si>
  <si>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</si>
  <si>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</si>
  <si>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</si>
  <si>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</si>
  <si>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K42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</si>
  <si>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</si>
  <si>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</si>
  <si>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</si>
  <si>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</si>
  <si>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</si>
  <si>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</si>
  <si>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</si>
  <si>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</si>
  <si>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</si>
  <si>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</si>
  <si>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</si>
  <si>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</si>
  <si>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</si>
  <si>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</si>
  <si>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</si>
  <si>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</si>
  <si>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</si>
  <si>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</si>
  <si>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</si>
  <si>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</si>
  <si>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</si>
  <si>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</si>
  <si>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</si>
  <si>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</si>
  <si>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</si>
  <si>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</si>
  <si>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</si>
  <si>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</si>
  <si>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</si>
  <si>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</si>
  <si>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</si>
  <si>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</si>
  <si>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</si>
  <si>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</si>
  <si>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</si>
  <si>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</si>
  <si>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</si>
  <si>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</si>
  <si>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</si>
  <si>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</si>
  <si>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</si>
  <si>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</si>
  <si>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</si>
  <si>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</si>
  <si>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</si>
  <si>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</si>
  <si>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</si>
  <si>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</si>
  <si>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</si>
  <si>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</si>
  <si>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</si>
  <si>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</si>
  <si>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</si>
  <si>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</si>
  <si>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</si>
  <si>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</si>
  <si>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</si>
  <si>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</si>
  <si>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</si>
  <si>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</si>
  <si>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</si>
  <si>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</si>
  <si>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</si>
  <si>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</si>
  <si>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</si>
  <si>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</si>
  <si>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</si>
  <si>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</si>
  <si>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</si>
  <si>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</si>
  <si>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</si>
  <si>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</si>
  <si>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</si>
  <si>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</si>
  <si>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</si>
  <si>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</si>
  <si>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</si>
  <si>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</si>
  <si>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</si>
  <si>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</si>
  <si>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</si>
  <si>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</si>
  <si>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</si>
  <si>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</si>
  <si>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</si>
  <si>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</si>
  <si>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</si>
  <si>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</si>
  <si>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</si>
  <si>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</si>
  <si>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</si>
  <si>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</si>
  <si>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</si>
  <si>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</si>
  <si>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</si>
  <si>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</si>
  <si>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</si>
  <si>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</si>
  <si>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</si>
  <si>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</si>
  <si>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</si>
  <si>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</si>
  <si>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</si>
  <si>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</si>
  <si>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</si>
  <si>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</si>
  <si>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</si>
  <si>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</si>
  <si>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</si>
  <si>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</si>
  <si>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B13</t>
  </si>
  <si>
    <t>B14</t>
  </si>
  <si>
    <t>B15</t>
  </si>
  <si>
    <t>B16</t>
  </si>
  <si>
    <t>B1</t>
  </si>
  <si>
    <t>dologi az Önk. Igazgatás dologiban</t>
  </si>
  <si>
    <t>B23</t>
  </si>
  <si>
    <t>B24</t>
  </si>
  <si>
    <t>B25</t>
  </si>
  <si>
    <t>B2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</si>
  <si>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</si>
  <si>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</si>
  <si>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</si>
  <si>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</si>
  <si>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</si>
  <si>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</si>
  <si>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</si>
  <si>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</si>
  <si>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</si>
  <si>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</si>
  <si>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</si>
  <si>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</si>
  <si>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</si>
  <si>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</si>
  <si>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</si>
  <si>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</si>
  <si>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</si>
  <si>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</si>
  <si>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</si>
  <si>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</si>
  <si>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</si>
  <si>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</si>
  <si>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</si>
  <si>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</si>
  <si>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</si>
  <si>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</si>
  <si>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</si>
  <si>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</si>
  <si>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</si>
  <si>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</si>
  <si>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</si>
  <si>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</si>
  <si>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</si>
  <si>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</si>
  <si>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</si>
  <si>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</si>
  <si>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</si>
  <si>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</si>
  <si>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</si>
  <si>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</si>
  <si>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</si>
  <si>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B62</t>
  </si>
  <si>
    <t>B63</t>
  </si>
  <si>
    <t>B6</t>
  </si>
  <si>
    <t>B71</t>
  </si>
  <si>
    <t>B72</t>
  </si>
  <si>
    <t>B73</t>
  </si>
  <si>
    <t>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</si>
  <si>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</si>
  <si>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</si>
  <si>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</si>
  <si>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</si>
  <si>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</si>
  <si>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</si>
  <si>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</si>
  <si>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</si>
  <si>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</si>
  <si>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</si>
  <si>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</si>
  <si>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</si>
  <si>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</si>
  <si>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</si>
  <si>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</si>
  <si>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</si>
  <si>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</si>
  <si>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</si>
  <si>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</si>
  <si>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</si>
  <si>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</si>
  <si>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</si>
  <si>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</si>
  <si>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</si>
  <si>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</si>
  <si>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</si>
  <si>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</si>
  <si>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</si>
  <si>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</si>
  <si>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</si>
  <si>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</si>
  <si>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</si>
  <si>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</si>
  <si>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</si>
  <si>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</si>
  <si>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</si>
  <si>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</si>
  <si>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</si>
  <si>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</si>
  <si>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</si>
  <si>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</si>
  <si>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</si>
  <si>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</si>
  <si>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</si>
  <si>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</si>
  <si>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</si>
  <si>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</si>
  <si>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</si>
  <si>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</si>
  <si>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</si>
  <si>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</si>
  <si>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</si>
  <si>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</si>
  <si>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</si>
  <si>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</si>
  <si>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</si>
  <si>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</si>
  <si>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</si>
  <si>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</si>
  <si>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</si>
  <si>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</si>
  <si>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</si>
  <si>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</si>
  <si>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</si>
  <si>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Ivóvíz minőség javítási program Önerőalap támogatás</t>
  </si>
  <si>
    <t>Önkormányzati hozzájárulás</t>
  </si>
  <si>
    <t>ebből Állami támogatás</t>
  </si>
  <si>
    <t xml:space="preserve">rendszeres gyermekvédelmi kedvezményben részesülők pénzbeli támogatása [Gyvt. 20/A.§] </t>
  </si>
  <si>
    <t>Működési hiány / többlet  (B1+B3+B4+B6+B8134+B8113) - (K1+K2+K3+K4+K5+K9113)</t>
  </si>
  <si>
    <t>Felhalmozási hiány / többlet (B2+B5+B7+B8111) - (K6+K7+K8+K9111)</t>
  </si>
  <si>
    <t>óvodáztatási támogatás [Gyvt. 20/C. §]</t>
  </si>
  <si>
    <t xml:space="preserve">helyi megállapítású rendkívüli gyermekvédelmi támogatás [Gyvt. 21.§] </t>
  </si>
  <si>
    <t>természetben nyújtott gyermekvédelmi támogatás [Gyvt. 20/C.§ (4) bek.]</t>
  </si>
  <si>
    <t>rendkívüli gyermekvédelmi támogatás [Gyvt. 18. § (5) bek.]</t>
  </si>
  <si>
    <t>Hozzájárulás a pénzbeli szociális ellátásokhoz</t>
  </si>
  <si>
    <t>ebből Állami támogatás és egyéb támogatás</t>
  </si>
  <si>
    <t>Önkormányzati hivatal működési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</si>
  <si>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</si>
  <si>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</si>
  <si>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</si>
  <si>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</si>
  <si>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 xml:space="preserve">Beszámítási összeg </t>
  </si>
  <si>
    <t>Egyéb önkormányzati feladatok támogatása</t>
  </si>
  <si>
    <t>Óvodapedagógusok bértámogatása</t>
  </si>
  <si>
    <t>Óvodapedagógusok munkáját közvetlenül segítől bértámogatása</t>
  </si>
  <si>
    <t>Óvoda működtetési támogatás</t>
  </si>
  <si>
    <t>Hozzájárulás a pénzbeli szociális ellátáshoz</t>
  </si>
  <si>
    <t>Családsegítés</t>
  </si>
  <si>
    <t>Gyermekjóléti szolgálat</t>
  </si>
  <si>
    <t>Szociális étkeztetés</t>
  </si>
  <si>
    <t>Házi segítségnyújtás</t>
  </si>
  <si>
    <t>Időskorúak nappali intézményi ellátása</t>
  </si>
  <si>
    <t>Bölcsődei ellátás</t>
  </si>
  <si>
    <t>Létszámhoz kapcsolódó bétrámogatás</t>
  </si>
  <si>
    <t>Intézmény üzemeltetési támogatása</t>
  </si>
  <si>
    <t>Gyermekétkeztetés támogatása</t>
  </si>
  <si>
    <t>Könyvtár, közművelődés támogatás</t>
  </si>
  <si>
    <t>Kötelező feladat</t>
  </si>
  <si>
    <t>Önkéntvállalt feladat</t>
  </si>
  <si>
    <t>Kiadások - Bevételek (EFt)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</si>
  <si>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</si>
  <si>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</si>
  <si>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</si>
  <si>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</si>
  <si>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</si>
  <si>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</si>
  <si>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</si>
  <si>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</si>
  <si>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</si>
  <si>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</si>
  <si>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</si>
  <si>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>Oktatási, Művelődési, Sport Bizottság</t>
  </si>
  <si>
    <t>Egészségügyi, Szociálpolitikai Bizottság</t>
  </si>
  <si>
    <t xml:space="preserve">Városfejlesztési, Környezetvédelmi, Idegenforgalmi Bizottság </t>
  </si>
  <si>
    <t>Somogytarnóca</t>
  </si>
  <si>
    <t>Drávaszentes</t>
  </si>
  <si>
    <t>Likviditási célú hitelek, kölcsönök felvétele pénzügyi vállalkozástól FELHALM</t>
  </si>
  <si>
    <t>Polgármester saját hatáskör</t>
  </si>
  <si>
    <t>Önkormányzat általános gazdálkodási tartaléka felhalmozási célra</t>
  </si>
  <si>
    <t>Önkormányzat általános gazdálkodási tartaléka működési célra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</si>
  <si>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</si>
  <si>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</si>
  <si>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</si>
  <si>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>Befektetési célú belföldi értékpapírok beváltása FELHALMOZÁSRA</t>
  </si>
  <si>
    <t>Önkormányzatok működőképessége megőrzését szolgáló támogatás</t>
  </si>
  <si>
    <t>Kötelezettség-vállalás éve</t>
  </si>
  <si>
    <t>Központi költségvetési szervek összesen</t>
  </si>
  <si>
    <t>VII. tagóvoda (Szent István u.) felújítása</t>
  </si>
  <si>
    <t>BSC öltöző felújítása</t>
  </si>
  <si>
    <t>B21</t>
  </si>
  <si>
    <t>Felhalmozási célú önkormányzati támogatások összesen</t>
  </si>
  <si>
    <t>2014.évi folyószámlahitel</t>
  </si>
  <si>
    <t>Rövid lejáratú hitelek, kölcsönök törlesztése  összesen</t>
  </si>
  <si>
    <t>Hosszú lejáratú hitelek, kölcsönök törlesztése  összesen</t>
  </si>
  <si>
    <t>Hitel-, kölcsönfelvétel államháztartáson kívülről összesen</t>
  </si>
  <si>
    <t>Hosszú lejáratú hitelek, kölcsönök felvétele FELHALMOZÁSRA összesen</t>
  </si>
  <si>
    <t>Rövid lejáratú hitelek, kölcsönök felvétele MŰKÖDÉSRE összesen</t>
  </si>
  <si>
    <t>Belföldi finanszírozás bevételei összesen</t>
  </si>
  <si>
    <t>Külföldi finanszírozás bevételei összesen</t>
  </si>
  <si>
    <t>Külföldi finanszírozás kiadásai összesen</t>
  </si>
  <si>
    <t>Belföldi finanszírozás kiadásai összesen</t>
  </si>
  <si>
    <t>Belföldi értékpapírok kiadásai összesen</t>
  </si>
  <si>
    <t>Hitel-, kölcsöntörlesztés államháztartáson kívülre összesen</t>
  </si>
  <si>
    <t>Közhatalmi bevételek összesen</t>
  </si>
  <si>
    <t>Működési bevételek összesen</t>
  </si>
  <si>
    <t>510 eFt 6 hónapra</t>
  </si>
  <si>
    <t>170 eFt 6 hónapra</t>
  </si>
  <si>
    <t>Felhalmozási bevételek mindösszesen</t>
  </si>
  <si>
    <t>Céltartalékok mindösszesen</t>
  </si>
  <si>
    <t xml:space="preserve">Bérlakás hit. 202.549eft </t>
  </si>
  <si>
    <t xml:space="preserve">Célhitel 350.000e ft </t>
  </si>
  <si>
    <t>Zöldterület karbantartás, Út és járda karbantartás</t>
  </si>
  <si>
    <t>Bérlakás hit. 202.549eft</t>
  </si>
  <si>
    <t>Célhitel 350.000e ft</t>
  </si>
  <si>
    <t>Felh c. kötvény 400.000eft "Barcs 2020"</t>
  </si>
  <si>
    <t>Chf</t>
  </si>
  <si>
    <t>Általános tartalékok mindösszesen</t>
  </si>
  <si>
    <t>051211</t>
  </si>
  <si>
    <t>Első Világháborús Emlékmű felújítása ÁFA</t>
  </si>
  <si>
    <t>Barcs Város közvilágításának korszerűsítése ÁFA</t>
  </si>
  <si>
    <t>Városi PIAC épületének korszerűsítése ÁFA</t>
  </si>
  <si>
    <t>Móricz Zsigmond Művelődési Központ moziterem felújítása ÁFA</t>
  </si>
  <si>
    <t>Bölcsőde felújítása ÁFA</t>
  </si>
  <si>
    <t>Barcsi Szociális Központ fejlesztése ÁFA</t>
  </si>
  <si>
    <t>VII. tagóvoda (Szent István u.) felújítása ÁFA</t>
  </si>
  <si>
    <t>BSC öltöző felújítása ÁFA</t>
  </si>
  <si>
    <t>Felújítási célú előzetesen felszámított  ÁFA összesen</t>
  </si>
  <si>
    <t>A költségvetési évet követő három év tervezett előirányzatainak keretszámai főbb csoportokban</t>
  </si>
  <si>
    <t xml:space="preserve">Barcs Város Önkormányzata </t>
  </si>
  <si>
    <t>C Í M R E N D J E</t>
  </si>
  <si>
    <t>KÖTELEZŐ  FELADAT</t>
  </si>
  <si>
    <t>ÖNKÉNTVÁLLALT FELADAT</t>
  </si>
  <si>
    <t>011130 ÁROP 1.A-5.-2013 Szervezetfejlesztés Barcson</t>
  </si>
  <si>
    <t>Móricz Zsigmond Művelődési Központ moziterem székek cseréje</t>
  </si>
  <si>
    <t>Móricz Zsigmond Művelődési Központ moziterem székek cseréje ÁFA</t>
  </si>
  <si>
    <t>Kötelező feladatok összesen</t>
  </si>
  <si>
    <t>Önként vállalt feladatok összesen</t>
  </si>
  <si>
    <t xml:space="preserve"> Mindösszesen</t>
  </si>
  <si>
    <t>1. településfejlesztés, településrendezés;</t>
  </si>
  <si>
    <t>2. településüzemeltetés (köztemetők kialakítása és fenntartása, a közvilágításról való gondoskodás, kéményseprő-ipari szolgáltatás biztosítása, a helyi közutak és tartozékainak kialakítása és fenntartása, közparkok és egyéb közterületek kialakítása és fenntartása, gépjárművek parkolásának biztosítása);</t>
  </si>
  <si>
    <t>3. a közterületek, valamint az önkormányzat tulajdonában álló közintézmény elnevezése;</t>
  </si>
  <si>
    <t>4. egészségügyi alapellátás, az egészséges életmód segítését célzó szolgáltatások;</t>
  </si>
  <si>
    <t>5. környezet-egészségügy (köztisztaság, települési környezet tisztaságának biztosítása, rovar- és rágcsálóirtás);</t>
  </si>
  <si>
    <t>6. óvodai ellátás;</t>
  </si>
  <si>
    <t>7. kulturális szolgáltatás, különösen a nyilvános könyvtári ellátás biztosítása; filmszínház, előadó-művészeti szervezet támogatása, a kulturális örökség helyi védelme; a helyi közművelődési tevékenység támogatása;</t>
  </si>
  <si>
    <t>9. lakás- és helyiséggazdálkodás;</t>
  </si>
  <si>
    <t>10. a területén hajléktalanná vált személyek ellátásának és rehabilitációjának, valamint a hajléktalanná válás megelőzésének biztosítása;</t>
  </si>
  <si>
    <t>11. helyi környezet- és természetvédelem, vízgazdálkodás, vízkárelhárítás;</t>
  </si>
  <si>
    <t>12. honvédelem, polgári védelem, katasztrófavédelem, helyi közfoglalkoztatás;</t>
  </si>
  <si>
    <t>13. helyi adóval, gazdaságszervezéssel és a turizmussal kapcsolatos feladatok;</t>
  </si>
  <si>
    <t>14. a kistermelők, őstermelők számára - jogszabályban meghatározott termékeik - értékesítési lehetőségeinek biztosítása, ideértve a hétvégi árusítás lehetőségét is;</t>
  </si>
  <si>
    <t>15. sport, ifjúsági ügyek;</t>
  </si>
  <si>
    <t>16. nemzetiségi ügyek;</t>
  </si>
  <si>
    <t>17. közreműködés a település közbiztonságának biztosításában;</t>
  </si>
  <si>
    <t>18. helyi közösségi közlekedés biztosítása;</t>
  </si>
  <si>
    <t>19. hulladékgazdálkodás;</t>
  </si>
  <si>
    <t>20. távhőszolgáltatás;</t>
  </si>
  <si>
    <t>21. víziközmű-szolgáltatás, amennyiben a víziközmű-szolgáltatásról szóló törvény rendelkezései szerint a helyi önkormányzat ellátásért felelősnek minősül.</t>
  </si>
  <si>
    <t>8.szociális, gyermekjóléti szolgáltatások és ellátások;</t>
  </si>
  <si>
    <t>Önkormányzat kötelező feladatai:</t>
  </si>
  <si>
    <t>Ellátja a</t>
  </si>
  <si>
    <t>gazdasági feladatait</t>
  </si>
  <si>
    <t>Ivóvízminőségjavító társulás</t>
  </si>
  <si>
    <t>Barcsi Gyógyfürdő és Rekreációsa Központ üzemeltetése</t>
  </si>
  <si>
    <t>Startmunka program</t>
  </si>
  <si>
    <t>Közhasznú munkás foglalkoztatás</t>
  </si>
  <si>
    <t>Múzeumi, közművelődási feladatok</t>
  </si>
  <si>
    <t>Tudásdepó Expressz TÁMOP-3.2.4</t>
  </si>
  <si>
    <t>Infrastruktúra fejlesztés TIOP-1.2.3</t>
  </si>
  <si>
    <t>Könyvtári állomány gyarapítás, szolgáltatások</t>
  </si>
  <si>
    <t>Gyermek étkeztetés</t>
  </si>
  <si>
    <t>Óvodai, bölcsődei ellátás</t>
  </si>
  <si>
    <t>Háziorvosi alapellátás</t>
  </si>
  <si>
    <t>Fizikoterápiás kezelések</t>
  </si>
  <si>
    <t>Járóbeteg ellátás</t>
  </si>
  <si>
    <t>Egynapos sebészet</t>
  </si>
  <si>
    <t>Családvédelem</t>
  </si>
  <si>
    <t>Jelzőrendszeres házi segítségnyújtás</t>
  </si>
  <si>
    <t>Időskorúak bentlakásás ellátása</t>
  </si>
  <si>
    <t>Étkeztetés</t>
  </si>
  <si>
    <t>Szociáli étkeztetés</t>
  </si>
  <si>
    <t>Felhalmozási célú átvett pénzeszközök összesen</t>
  </si>
  <si>
    <t>Belföldi értékpapírok bevételei összesen</t>
  </si>
  <si>
    <t>Maradvány igénybevétele összesen</t>
  </si>
  <si>
    <t>Finanszírozási bevételek összesen</t>
  </si>
  <si>
    <t>Költségvetési bevételek összesen</t>
  </si>
  <si>
    <t>Finanszírozási kiadások összesen</t>
  </si>
  <si>
    <t>Költségvetési kiadások összesen</t>
  </si>
  <si>
    <t>Felhalmozási költségvetés előirányzat csoport összesen</t>
  </si>
  <si>
    <t>Egyéb felhalmozási célú kiadások összesen</t>
  </si>
  <si>
    <t>Felújítások összesen</t>
  </si>
  <si>
    <t>Beruházások összesen</t>
  </si>
  <si>
    <t>Működési költségvetés előirányzat csoport összesen</t>
  </si>
  <si>
    <t>Egyéb működési célú kiadások összesen</t>
  </si>
  <si>
    <t>Dologi kiadások összesen</t>
  </si>
  <si>
    <t>Személyi juttatások összesen</t>
  </si>
  <si>
    <t>Működési célú támogatások államháztartáson belülről összesen</t>
  </si>
  <si>
    <t>Működési célú központosított előirányzatok összesen</t>
  </si>
  <si>
    <t>Helyi önkormányzatok kiegészítő támogatásai összesen</t>
  </si>
  <si>
    <t>Települési önkormányzatok kulturális feladatainak támogatása összesen</t>
  </si>
  <si>
    <t>Helyi önkormányzatok és költségvetési szerveiktől összesen</t>
  </si>
  <si>
    <t>Befektetési célú belföldi értékpapírok beváltása FELHALMOZÁSRA összesen</t>
  </si>
  <si>
    <t xml:space="preserve"> Kiadások megnevezés</t>
  </si>
  <si>
    <t>Bevételek megnevezés</t>
  </si>
  <si>
    <t>Egyéb nem intézményi ellátások összesen</t>
  </si>
  <si>
    <t>Intézményi ellátottak pénzbeli juttatásai összesen</t>
  </si>
  <si>
    <t>Lakhatással kapcsolatos ellátások összesen</t>
  </si>
  <si>
    <t>Foglalkoztatással, munkanélküliséggel kapcsolatos ellátások összesen</t>
  </si>
  <si>
    <t>Betegséggel kapcsolatos (nem társadalombiztosítási) ellátások összesen</t>
  </si>
  <si>
    <t>Családi támogatások összesen</t>
  </si>
  <si>
    <t>Ellátottak pénzbeli juttatásai mindösszesen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</si>
  <si>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</si>
  <si>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</si>
  <si>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</si>
  <si>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Külföldi értékpapírok beváltása </t>
  </si>
  <si>
    <t>Külföldi hitelek, kölcsönök törlesztése</t>
  </si>
  <si>
    <t xml:space="preserve">Külföldi finanszírozás kiadásai </t>
  </si>
  <si>
    <t>Művház+Könyvtár</t>
  </si>
  <si>
    <t>Vgig</t>
  </si>
  <si>
    <t>Közvilágítás</t>
  </si>
  <si>
    <t>Temető</t>
  </si>
  <si>
    <t>Települési üzemeltetéshez kapcsolódó támogatás összesen</t>
  </si>
  <si>
    <t xml:space="preserve">Munkaadókat terhelő járulékok és szociális hozzájárulási adó                                                                            </t>
  </si>
  <si>
    <t>Nemzetközi kötelezettségek</t>
  </si>
  <si>
    <t>Egyéb működési célú támogatások államháztartáson kívülre</t>
  </si>
  <si>
    <t>Ingatlanok beszerzése, létesítése</t>
  </si>
  <si>
    <t xml:space="preserve">Egyéb felhalmozási célú támogatások államháztartáson kívülre </t>
  </si>
  <si>
    <t>Forgatási célú belföldi értékpapírok vásárlása</t>
  </si>
  <si>
    <t>Befektetési célú belföldi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</si>
  <si>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</si>
  <si>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</si>
  <si>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</si>
  <si>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</si>
  <si>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Telekadó</t>
  </si>
  <si>
    <t>Építményadó</t>
  </si>
  <si>
    <t>Önkormányzati ingatlanok értékesítése</t>
  </si>
  <si>
    <t>Hosszú lejáratú hitelek, kölcsönök törlesztése FELHALMOZÁSRA</t>
  </si>
  <si>
    <t>Rövid lejáratú hitelek, kölcsönök törlesztése MŰKÖDÉSRE</t>
  </si>
  <si>
    <t>Támogatások, kölcsönök bevételei és a felhalmozási bevételek (E Ft)</t>
  </si>
  <si>
    <t>Helyi adó, egyéb közhatalmi bevételek és a működési támogatások (E Ft)</t>
  </si>
  <si>
    <t>szabálysértési pénz- és helyszíni bírság és a közlekedési szabályszegések után kiszabott közigazgatási bírság helyi önkormányzatot megillető része</t>
  </si>
  <si>
    <t>Egyéb működési célú támogatások bevételei államháztartáson belülről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</si>
  <si>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</si>
  <si>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</si>
  <si>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</si>
  <si>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</si>
  <si>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</si>
  <si>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</si>
  <si>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</si>
  <si>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</si>
  <si>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</si>
  <si>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</si>
  <si>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</si>
  <si>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</si>
  <si>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</si>
  <si>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</si>
  <si>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</si>
  <si>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Gépjármű beszerzés</t>
  </si>
  <si>
    <t>013320 Köztemető-fenntartás és -működtetés</t>
  </si>
  <si>
    <t>041120       Földügy igazgatása</t>
  </si>
  <si>
    <t>045140           Városi és elővárosi közúti személyszállítás</t>
  </si>
  <si>
    <t>045160        Közutak, hidak, alagutak üzemeltetése, fenntartása</t>
  </si>
  <si>
    <t>046020 Vezetékes műsorelosztás, városi és kábeltelevíziós rendszerek</t>
  </si>
  <si>
    <t>047410                Ár- és belvízvédelemmel összefüggő tevékenységek</t>
  </si>
  <si>
    <t>063020 Víztermelés, -kezelés, -ellátás</t>
  </si>
  <si>
    <t>066020          Város-, községgazdálkodási egyéb szolgáltatások</t>
  </si>
  <si>
    <t>051030             Nem veszélyes (települési) hulladék vegyes (ömlesztett) begyűjtése, szállítása, átrakása</t>
  </si>
  <si>
    <t>064010         Közvilágítás</t>
  </si>
  <si>
    <t>081030 Sportlétesítmények, edzőtáborok működtetése és fejlesztése</t>
  </si>
  <si>
    <t>081043         Iskolai, diáksport-tevékenység és támogatása</t>
  </si>
  <si>
    <t>094260     Hallgatói és oktatói ösztöndíjak, egyéb juttatások</t>
  </si>
  <si>
    <t>081045 Szabadidősport- (rekreációs sport-) tevékenység és támogatása</t>
  </si>
  <si>
    <t>081041 Versenysport- és utánpótlás-nevelési tevékenység és támogatása</t>
  </si>
  <si>
    <t>084020 Nemzetiségi közfeladatok ellátása és támogatása</t>
  </si>
  <si>
    <t>084031 Civil szervezetek működési támogatása</t>
  </si>
  <si>
    <t>Nettó</t>
  </si>
  <si>
    <t>Áfa</t>
  </si>
  <si>
    <t>Segélyhez</t>
  </si>
  <si>
    <t>Gyermekétkeztetés üzemeltetési támogatása</t>
  </si>
  <si>
    <t>1. melléklet</t>
  </si>
  <si>
    <t>2. melléklet</t>
  </si>
  <si>
    <t>Egyéb felhalmozási célú átvett pénzeszközök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</si>
  <si>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</si>
  <si>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</si>
  <si>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</si>
  <si>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</si>
  <si>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</si>
  <si>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</si>
  <si>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</si>
  <si>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</si>
  <si>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</si>
  <si>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</si>
  <si>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</si>
  <si>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</si>
  <si>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</si>
  <si>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</si>
  <si>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</si>
  <si>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</si>
  <si>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</si>
  <si>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</si>
  <si>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</si>
  <si>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</si>
  <si>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</si>
  <si>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</si>
  <si>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</si>
  <si>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</si>
  <si>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</si>
  <si>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</si>
  <si>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</si>
  <si>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</si>
  <si>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</si>
  <si>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</si>
  <si>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</si>
  <si>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</si>
  <si>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</si>
  <si>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</si>
  <si>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</si>
  <si>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</si>
  <si>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</si>
  <si>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egyéb bírság</t>
  </si>
  <si>
    <t xml:space="preserve">Forgatási célú belföldi értékpapírok beváltása, értékesítése </t>
  </si>
  <si>
    <t xml:space="preserve"> Városgazdálkodási Igazgatóság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</si>
  <si>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</si>
  <si>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</si>
  <si>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</si>
  <si>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</si>
  <si>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</si>
  <si>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</si>
  <si>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</si>
  <si>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</si>
  <si>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</si>
  <si>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</si>
  <si>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</si>
  <si>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</si>
  <si>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</si>
  <si>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</si>
  <si>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Központi, irányító szervi támogatások folyósítása működési és felhalm.célra</t>
  </si>
  <si>
    <t xml:space="preserve">  MŰKÖDÉSI költségvetési egyenleg (B1+B3+B4+B6) - (K1+K2+K3+K4+K5)</t>
  </si>
  <si>
    <t xml:space="preserve">  FELHALMOZÁSI költségvetési egyenleg (B2+B5+B7) - (K6+K7+K8)</t>
  </si>
  <si>
    <t>B1+..+B8</t>
  </si>
  <si>
    <t>K1+..+K9</t>
  </si>
  <si>
    <t>B1+..+B7</t>
  </si>
  <si>
    <t>K1+..+K5</t>
  </si>
  <si>
    <t>K6+..+K8</t>
  </si>
  <si>
    <t>K1+..+K8</t>
  </si>
  <si>
    <t>Költségvetési hiány / többlet  (B1+..B7) - (K1+..+K8)</t>
  </si>
  <si>
    <t>Egyéb tárgyi eszközök felújítása összesen</t>
  </si>
  <si>
    <t>Informatikai eszközök felújítása összesen</t>
  </si>
  <si>
    <t>Ingatlanok felújítása összesen</t>
  </si>
  <si>
    <t>Beruházási célú előzetesen felszámított általános forgalmi adó összesen</t>
  </si>
  <si>
    <t>Meglévő részesedések növeléséhez kapcsolódó kiadások összesen</t>
  </si>
  <si>
    <t>Részesedések beszerzése összesen</t>
  </si>
  <si>
    <t>Egyéb tárgyi eszközök beszerzése, létesítése összesen</t>
  </si>
  <si>
    <t>Informatikai eszközök beszerzése, létesítése összesen</t>
  </si>
  <si>
    <t>Ingatlanok beszerzése, létesítése  összesen</t>
  </si>
  <si>
    <t>Immateriális javak beszerzése, létesítése összesen</t>
  </si>
  <si>
    <t>Települési önkormányzatok szociális és gyermekjóléti  feladatainak támogatása összesen</t>
  </si>
  <si>
    <t>Települési önkormányzatok egyes köznevelési feladatainak támogatása összesen</t>
  </si>
  <si>
    <t>Helyi önkormányzatok működésének általános támogatása összesen</t>
  </si>
  <si>
    <t>Egyéb közhatalmi bevételek összesen</t>
  </si>
  <si>
    <t>Termékek és szolgáltatások adói  összesen</t>
  </si>
  <si>
    <t>Vagyoni tipusú adók összesen</t>
  </si>
  <si>
    <t>Felhalmozási bevételek összesen</t>
  </si>
  <si>
    <t>Részesedések megszűnéséhez kapcsolódó bevételek összesen</t>
  </si>
  <si>
    <t>Részesedések értékesítése összesen</t>
  </si>
  <si>
    <t>Egyéb tárgyi eszközök értékesítése összesen</t>
  </si>
  <si>
    <t>Ingatlanok értékesítése összesen</t>
  </si>
  <si>
    <t>Immateriális javak értékesítése összesen</t>
  </si>
  <si>
    <t>Egyéb felhalmozási célú átvett pénzeszközök összesen</t>
  </si>
  <si>
    <t>Felhalmozási célú visszatérítendő támogatások, kölcsönök visszatérülése államháztartáson kívülről összesen</t>
  </si>
  <si>
    <t>Egyéb működési célú átvett pénzeszközök összesen</t>
  </si>
  <si>
    <t>Működési célú visszatérítendő támogatások, kölcsönök visszatérülése államháztartáson kívülről összesen</t>
  </si>
  <si>
    <t>Egyéb felhalmozási célú támogatások bevételei államháztartáson belülről összesen</t>
  </si>
  <si>
    <t>Fejezeti kezelésű előirányzatok EU-s programok és azok hazai társfinanszírozása összesen</t>
  </si>
  <si>
    <t>Felhalmozási célú visszatérítendő támogatások, kölcsönök igénybevétele államháztartáson belülről összesen</t>
  </si>
  <si>
    <t>Felhalmozási célú visszatérítendő támogatások, kölcsönök visszatérülése államháztartáson belülről összesen</t>
  </si>
  <si>
    <t>Egyéb működési célú támogatások bevételei államháztartáson belülről összesen</t>
  </si>
  <si>
    <t>Működési célú visszatérítendő támogatások, kölcsönök igénybevétele államháztartáson belülről összesen</t>
  </si>
  <si>
    <t>Működési célú visszatérítendő támogatások, kölcsönök visszatérülése államháztartáson belülről összesen</t>
  </si>
  <si>
    <t>Előző év költségvetési maradványának igénybevétele FELHALMOZÁSRA  összesen</t>
  </si>
  <si>
    <t>B252</t>
  </si>
  <si>
    <t>B251</t>
  </si>
  <si>
    <t>B162</t>
  </si>
  <si>
    <t>B163</t>
  </si>
  <si>
    <t>Beruházások mindösszesen</t>
  </si>
  <si>
    <t>Felújítások mindösszesen</t>
  </si>
  <si>
    <t>Felhalmozási kiadások mindösszesen:</t>
  </si>
  <si>
    <t xml:space="preserve"> Céltartalék működési célra összesen</t>
  </si>
  <si>
    <t xml:space="preserve"> Céltartalék felhalmozási célra összesen</t>
  </si>
  <si>
    <t>Tartalékok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</si>
  <si>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</si>
  <si>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</si>
  <si>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</si>
  <si>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</si>
  <si>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</si>
  <si>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</si>
  <si>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</si>
  <si>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</si>
  <si>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</si>
  <si>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</si>
  <si>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</si>
  <si>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</si>
  <si>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22. melléklet</t>
  </si>
  <si>
    <t>2015. évi terv</t>
  </si>
  <si>
    <t>2016. évi terv</t>
  </si>
  <si>
    <t>2017. évi terv</t>
  </si>
  <si>
    <t>2014. évi terv</t>
  </si>
  <si>
    <t>23. melléklet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</si>
  <si>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</si>
  <si>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Tagönkormányzatok térítése Ivóvízminőségjavító társuláshoz</t>
  </si>
  <si>
    <t>Építési telkek értékesítése</t>
  </si>
  <si>
    <t>Önkormányzati bérlakások értékesítése</t>
  </si>
  <si>
    <t>Otthonházi lakásokértékesítése</t>
  </si>
  <si>
    <t>K6+K7</t>
  </si>
  <si>
    <t>ÁROP-1.A.5-2013-2013-0079 Szervezetfejlesztés Barcson</t>
  </si>
  <si>
    <t>Finanszírozási hiány / többlet  B8 - K9</t>
  </si>
  <si>
    <t xml:space="preserve">Költségvetési engedélyezett létszámkeret (álláshely) (fő) </t>
  </si>
  <si>
    <t>Barcsi Polgármesteri Hivatal</t>
  </si>
  <si>
    <t>Barcs Városi Önkormányzat Városgazdálkodási Igazgatósága</t>
  </si>
  <si>
    <t>Barcs Város Önkormányzata</t>
  </si>
  <si>
    <t>Barcs Város Önkormányzata Járóbetegellátó Intézmények</t>
  </si>
  <si>
    <t>Barcsi Szociális Központ</t>
  </si>
  <si>
    <t>Barcs és Környéke Óvoda és Bölcsőde</t>
  </si>
  <si>
    <t>Móricz Zsigmond Művelődési Központ és Dráva Közérdekű Múzeális kiállítóhely</t>
  </si>
  <si>
    <t>Barcsi Városi Könyvtár</t>
  </si>
  <si>
    <t>Bevétel - Kiadás</t>
  </si>
  <si>
    <t>Barcs Város Önkormányzata 2014. évi költségvetése</t>
  </si>
  <si>
    <t>Foglalkoztatottak létszáma</t>
  </si>
  <si>
    <t>Sor- szám</t>
  </si>
  <si>
    <t>KÖZTISZTVISELŐK, KORMÁNYTISZTVISELŐK ÖSSZESEN (1+..+4)</t>
  </si>
  <si>
    <t>KÖZALKALMAZOTTAK ÖSSZESEN (6+..+12)</t>
  </si>
  <si>
    <t>EGYÉB BÉRRENDSZER ÖSSZESEN (14+..+16)</t>
  </si>
  <si>
    <t>VÁLASZTOTT TISZTSÉGVISELŐK ÖSSZESEN (18+..+20)</t>
  </si>
  <si>
    <t>KÖLTSÉGVETÉSI ENGEDÉLYEZETT LÉTSZÁMKERETBE TARTOZÓ FOGLALKOZTATOTTAK LÉTSZÁMA MINDÖSSZESEN (5+13+17+21)</t>
  </si>
  <si>
    <t>KÖLTSÉGVETÉSI ENGEDÉLYEZETT LÉTSZÁMKERETBE NEM TARTOZÓ FOGLALKOZTATOTTAK LÉTSZÁMA AZ IDŐSZAK VÉGÉN ÖSSZESEN (23+..+26)</t>
  </si>
  <si>
    <t>Működési célú visszatérítendő támogatások, kölcsönök visszatérülése áht-n belülről</t>
  </si>
  <si>
    <t>Működési célú visszatérítendő támogatások, kölcsönök igénybevétele áht-n belülről</t>
  </si>
  <si>
    <t>Működési célú garancia- és kezességvállalásból származó megtérül. áht-n belülről</t>
  </si>
  <si>
    <t>Kötelező feladatok</t>
  </si>
  <si>
    <t>Önként vállalt feladatok</t>
  </si>
  <si>
    <t xml:space="preserve">KIADÁSOK ÖSSZESEN </t>
  </si>
  <si>
    <t xml:space="preserve"> 2014. évi költségvetése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</si>
  <si>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</si>
  <si>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</si>
  <si>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</si>
  <si>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</si>
  <si>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</si>
  <si>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</si>
  <si>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</si>
  <si>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</si>
  <si>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</si>
  <si>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</si>
  <si>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MEGNEVEZÉS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</si>
  <si>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</si>
  <si>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</si>
  <si>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</si>
  <si>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</si>
  <si>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</si>
  <si>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</si>
  <si>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</si>
  <si>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</si>
  <si>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</si>
  <si>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Felhalmozási célú garancia- és kezességvállalásból származó kifizetés áht-n belülre</t>
  </si>
  <si>
    <t>Felhalmozási célú visszatérítendő támogatások, kölcsönök nyújtása áht-n belülre</t>
  </si>
  <si>
    <t>Felhalmozási célú visszatérítendő támogatások, kölcsönök törlesztése áht-n belülre</t>
  </si>
  <si>
    <t>Felhalmozási célú garancia- és kezességvállalásból származó kifizetés áht-n kívülre</t>
  </si>
  <si>
    <t>Felhalmozási célú visszatérítendő támogatások, kölcsönök nyújtása áht-n kívülre</t>
  </si>
  <si>
    <t>Működési célú visszatérítendő támogatások, kölcsönök nyújtása áht-n kívülre</t>
  </si>
  <si>
    <t>Működési célú garancia- és kezességvállalásból származó kifizetés áht-n kívülre</t>
  </si>
  <si>
    <t>Barcs,. Bajcsy-Zs.u 5.  alatti (881 hrsz) ingatlan vásárlása</t>
  </si>
  <si>
    <t>Működési célú visszatérítendő támogatások, kölcsönök törlesztése áht-n belülre</t>
  </si>
  <si>
    <t>Működési célú visszatérítendő támogatások, kölcsönök nyújtása áht-n belülre</t>
  </si>
  <si>
    <t>Működési célú garancia- és kezességvállalásból származó kifizetés áht-n belülre</t>
  </si>
  <si>
    <t>Egyéb működési célú támogatások áht-n belülre</t>
  </si>
  <si>
    <t>Egyéb felhalmozási célú támogatások áht-n belülre</t>
  </si>
  <si>
    <t>Kiadások - Bevételek (E Ft)</t>
  </si>
  <si>
    <t>Felhalm.célú visszatérítendő támogatások, kölcsönök visszatérülése áht-n kívülről</t>
  </si>
  <si>
    <t>Felhalm.célú garancia- és kezességvállalásból származó megtérülések áht-n kívülről</t>
  </si>
  <si>
    <t>Önkormányzatok működési támogatásai összesen</t>
  </si>
  <si>
    <t>Barcs Város Óvodája és Bölcsődéje</t>
  </si>
  <si>
    <t xml:space="preserve">Központi költségvetés sajátos finanszírozási bevételei </t>
  </si>
  <si>
    <t>ÖNKORMÁNYZATI ELŐIRÁNYZATOK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</si>
  <si>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</si>
  <si>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</si>
  <si>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</si>
  <si>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</si>
  <si>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</si>
  <si>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</si>
  <si>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</si>
  <si>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</si>
  <si>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</si>
  <si>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</si>
  <si>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 költségvetési évet követő három évre várható összegét.</t>
  </si>
  <si>
    <t>PH</t>
  </si>
  <si>
    <t>Szoci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</si>
</sst>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0.0"/>
    <numFmt numFmtId="174" formatCode="#,###"/>
    <numFmt numFmtId="175" formatCode="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#,##0;[Red]#,##0"/>
    <numFmt numFmtId="185" formatCode="0.000%"/>
    <numFmt numFmtId="186" formatCode="#,###__;\-\ #,###__"/>
    <numFmt numFmtId="187" formatCode="_-* #,##0\ _F_t_-;\-* #,##0\ _F_t_-;_-* &quot;-&quot;??\ _F_t_-;_-@_-"/>
    <numFmt numFmtId="188" formatCode="0.0%"/>
    <numFmt numFmtId="189" formatCode="0.0"/>
    <numFmt numFmtId="190" formatCode="#,###.0"/>
    <numFmt numFmtId="191" formatCode="#,###.00"/>
    <numFmt numFmtId="192" formatCode="#,###.000"/>
    <numFmt numFmtId="193" formatCode="#,###.0000"/>
    <numFmt numFmtId="194" formatCode="#,##0\ _F_t"/>
    <numFmt numFmtId="195" formatCode="_-* #,##0.0\ _F_t_-;\-* #,##0.0\ _F_t_-;_-* &quot;-&quot;?\ _F_t_-;_-@_-"/>
    <numFmt numFmtId="196" formatCode="0.0000"/>
    <numFmt numFmtId="197" formatCode="#,##0_ ;\-#,##0\ "/>
    <numFmt numFmtId="198" formatCode="#,##0.0_ ;\-#,##0.0\ "/>
    <numFmt numFmtId="199" formatCode="_-* #,##0\ _F_t_-;\-* #,##0\ _F_t_-;_-* \-??\ _F_t_-;_-@_-"/>
    <numFmt numFmtId="200" formatCode="yyyy\.mm\.dd;@"/>
    <numFmt numFmtId="201" formatCode="yyyy/mm/dd;@"/>
    <numFmt numFmtId="202" formatCode="0.000000"/>
    <numFmt numFmtId="203" formatCode="0.00000"/>
    <numFmt numFmtId="204" formatCode="0.000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* #,##0_-;\-* #,##0_-;_-* &quot;-&quot;_-;_-@_-"/>
    <numFmt numFmtId="211" formatCode="_-&quot;£&quot;* #,##0.00_-;\-&quot;£&quot;* #,##0.00_-;_-&quot;£&quot;* &quot;-&quot;??_-;_-@_-"/>
    <numFmt numFmtId="212" formatCode="_-* #,##0.00_-;\-* #,##0.00_-;_-* &quot;-&quot;??_-;_-@_-"/>
    <numFmt numFmtId="213" formatCode="#,###,##0"/>
    <numFmt numFmtId="214" formatCode="#,###,##0.0#"/>
    <numFmt numFmtId="215" formatCode="#,##0.0###"/>
  </numFmts>
  <fonts count="70">
    <font>
      <sz val="11"/>
      <color indexed="8"/>
      <name val="Calibri"/>
      <family val="2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E"/>
      <family val="0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63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i/>
      <sz val="12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MS Sans Serif"/>
      <family val="2"/>
    </font>
    <font>
      <sz val="8"/>
      <name val="Arial"/>
      <family val="0"/>
    </font>
    <font>
      <b/>
      <sz val="14"/>
      <name val="Times New Roman"/>
      <family val="1"/>
    </font>
    <font>
      <sz val="11"/>
      <color indexed="10"/>
      <name val="Bookman Old Style"/>
      <family val="1"/>
    </font>
    <font>
      <sz val="11"/>
      <name val="Calibri"/>
      <family val="2"/>
    </font>
    <font>
      <b/>
      <sz val="11"/>
      <name val="Bookman Old Style"/>
      <family val="1"/>
    </font>
    <font>
      <b/>
      <u val="single"/>
      <sz val="12"/>
      <name val="Times New Roman"/>
      <family val="1"/>
    </font>
    <font>
      <sz val="12"/>
      <color indexed="63"/>
      <name val="Times New Roman"/>
      <family val="1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1" applyNumberFormat="0" applyAlignment="0" applyProtection="0"/>
    <xf numFmtId="0" fontId="21" fillId="20" borderId="1" applyNumberFormat="0" applyAlignment="0" applyProtection="0"/>
    <xf numFmtId="0" fontId="10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" fillId="7" borderId="1" applyNumberFormat="0" applyAlignment="0" applyProtection="0"/>
    <xf numFmtId="0" fontId="0" fillId="22" borderId="10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1" applyNumberFormat="0" applyAlignment="0" applyProtection="0"/>
    <xf numFmtId="0" fontId="13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57" fillId="22" borderId="10" applyNumberFormat="0" applyFont="0" applyAlignment="0" applyProtection="0"/>
    <xf numFmtId="0" fontId="15" fillId="20" borderId="11" applyNumberFormat="0" applyAlignment="0" applyProtection="0"/>
    <xf numFmtId="0" fontId="18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1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15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3" fillId="0" borderId="15" xfId="0" applyFont="1" applyBorder="1" applyAlignment="1">
      <alignment/>
    </xf>
    <xf numFmtId="0" fontId="33" fillId="24" borderId="15" xfId="0" applyFont="1" applyFill="1" applyBorder="1" applyAlignment="1">
      <alignment/>
    </xf>
    <xf numFmtId="0" fontId="25" fillId="10" borderId="15" xfId="0" applyFont="1" applyFill="1" applyBorder="1" applyAlignment="1">
      <alignment horizontal="left" vertical="center"/>
    </xf>
    <xf numFmtId="165" fontId="25" fillId="10" borderId="15" xfId="0" applyNumberFormat="1" applyFont="1" applyFill="1" applyBorder="1" applyAlignment="1">
      <alignment vertical="center"/>
    </xf>
    <xf numFmtId="0" fontId="32" fillId="10" borderId="15" xfId="0" applyFont="1" applyFill="1" applyBorder="1" applyAlignment="1">
      <alignment horizontal="left" vertical="center"/>
    </xf>
    <xf numFmtId="0" fontId="25" fillId="10" borderId="15" xfId="0" applyFont="1" applyFill="1" applyBorder="1" applyAlignment="1">
      <alignment horizontal="left" vertical="center" wrapText="1"/>
    </xf>
    <xf numFmtId="0" fontId="25" fillId="11" borderId="15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2" fillId="10" borderId="15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0" xfId="0" applyFont="1" applyAlignment="1">
      <alignment horizontal="center" wrapText="1"/>
    </xf>
    <xf numFmtId="165" fontId="25" fillId="24" borderId="15" xfId="0" applyNumberFormat="1" applyFont="1" applyFill="1" applyBorder="1" applyAlignment="1">
      <alignment vertical="center"/>
    </xf>
    <xf numFmtId="0" fontId="38" fillId="5" borderId="15" xfId="0" applyFont="1" applyFill="1" applyBorder="1" applyAlignment="1">
      <alignment horizontal="left" indent="2"/>
    </xf>
    <xf numFmtId="0" fontId="38" fillId="5" borderId="15" xfId="0" applyFont="1" applyFill="1" applyBorder="1" applyAlignment="1">
      <alignment horizontal="left" vertical="center"/>
    </xf>
    <xf numFmtId="3" fontId="3" fillId="0" borderId="15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25" fillId="24" borderId="15" xfId="0" applyNumberFormat="1" applyFont="1" applyFill="1" applyBorder="1" applyAlignment="1">
      <alignment/>
    </xf>
    <xf numFmtId="3" fontId="25" fillId="10" borderId="15" xfId="0" applyNumberFormat="1" applyFont="1" applyFill="1" applyBorder="1" applyAlignment="1">
      <alignment/>
    </xf>
    <xf numFmtId="3" fontId="31" fillId="0" borderId="15" xfId="0" applyNumberFormat="1" applyFont="1" applyFill="1" applyBorder="1" applyAlignment="1">
      <alignment horizontal="right" vertical="center" wrapText="1"/>
    </xf>
    <xf numFmtId="3" fontId="32" fillId="0" borderId="15" xfId="0" applyNumberFormat="1" applyFont="1" applyFill="1" applyBorder="1" applyAlignment="1">
      <alignment horizontal="right" vertical="center"/>
    </xf>
    <xf numFmtId="3" fontId="32" fillId="10" borderId="15" xfId="0" applyNumberFormat="1" applyFont="1" applyFill="1" applyBorder="1" applyAlignment="1">
      <alignment horizontal="right" vertical="center"/>
    </xf>
    <xf numFmtId="3" fontId="25" fillId="11" borderId="1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38" fillId="5" borderId="15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/>
    </xf>
    <xf numFmtId="0" fontId="32" fillId="0" borderId="15" xfId="99" applyFont="1" applyFill="1" applyBorder="1" applyAlignment="1">
      <alignment horizontal="center" vertical="center" wrapText="1"/>
      <protection/>
    </xf>
    <xf numFmtId="0" fontId="31" fillId="0" borderId="15" xfId="99" applyFont="1" applyFill="1" applyBorder="1" applyAlignment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0" fontId="31" fillId="0" borderId="15" xfId="99" applyFont="1" applyFill="1" applyBorder="1" applyAlignment="1">
      <alignment horizontal="left" vertical="center" wrapText="1"/>
      <protection/>
    </xf>
    <xf numFmtId="4" fontId="31" fillId="0" borderId="15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Border="1" applyAlignment="1">
      <alignment horizontal="right"/>
    </xf>
    <xf numFmtId="0" fontId="39" fillId="0" borderId="0" xfId="0" applyFont="1" applyAlignment="1">
      <alignment wrapText="1"/>
    </xf>
    <xf numFmtId="0" fontId="40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5" fillId="0" borderId="0" xfId="0" applyFont="1" applyAlignment="1">
      <alignment horizontal="center" vertical="top" wrapText="1"/>
    </xf>
    <xf numFmtId="0" fontId="26" fillId="0" borderId="0" xfId="0" applyFont="1" applyAlignment="1">
      <alignment horizontal="right"/>
    </xf>
    <xf numFmtId="0" fontId="26" fillId="0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6" fillId="11" borderId="15" xfId="0" applyFont="1" applyFill="1" applyBorder="1" applyAlignment="1">
      <alignment/>
    </xf>
    <xf numFmtId="0" fontId="41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/>
    </xf>
    <xf numFmtId="0" fontId="4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3" fillId="0" borderId="15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/>
    </xf>
    <xf numFmtId="3" fontId="27" fillId="0" borderId="15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0" fontId="35" fillId="0" borderId="0" xfId="0" applyFont="1" applyAlignment="1">
      <alignment/>
    </xf>
    <xf numFmtId="0" fontId="25" fillId="0" borderId="15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45" fillId="0" borderId="15" xfId="0" applyFont="1" applyBorder="1" applyAlignment="1">
      <alignment horizontal="left" indent="1"/>
    </xf>
    <xf numFmtId="0" fontId="47" fillId="0" borderId="0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3" fillId="0" borderId="0" xfId="0" applyFont="1" applyAlignment="1">
      <alignment/>
    </xf>
    <xf numFmtId="0" fontId="48" fillId="0" borderId="0" xfId="0" applyFont="1" applyAlignment="1">
      <alignment/>
    </xf>
    <xf numFmtId="0" fontId="27" fillId="0" borderId="15" xfId="0" applyFont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vertical="center" wrapText="1"/>
    </xf>
    <xf numFmtId="165" fontId="27" fillId="0" borderId="15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vertical="center" wrapText="1"/>
    </xf>
    <xf numFmtId="165" fontId="26" fillId="0" borderId="15" xfId="0" applyNumberFormat="1" applyFont="1" applyFill="1" applyBorder="1" applyAlignment="1">
      <alignment vertical="center"/>
    </xf>
    <xf numFmtId="0" fontId="49" fillId="0" borderId="0" xfId="0" applyFont="1" applyAlignment="1">
      <alignment/>
    </xf>
    <xf numFmtId="0" fontId="50" fillId="24" borderId="15" xfId="0" applyFont="1" applyFill="1" applyBorder="1" applyAlignment="1">
      <alignment/>
    </xf>
    <xf numFmtId="165" fontId="26" fillId="24" borderId="15" xfId="0" applyNumberFormat="1" applyFont="1" applyFill="1" applyBorder="1" applyAlignment="1">
      <alignment vertical="center"/>
    </xf>
    <xf numFmtId="3" fontId="26" fillId="24" borderId="15" xfId="0" applyNumberFormat="1" applyFont="1" applyFill="1" applyBorder="1" applyAlignment="1">
      <alignment/>
    </xf>
    <xf numFmtId="164" fontId="27" fillId="0" borderId="15" xfId="0" applyNumberFormat="1" applyFont="1" applyFill="1" applyBorder="1" applyAlignment="1">
      <alignment horizontal="left" vertical="center"/>
    </xf>
    <xf numFmtId="0" fontId="48" fillId="25" borderId="0" xfId="0" applyFont="1" applyFill="1" applyAlignment="1">
      <alignment/>
    </xf>
    <xf numFmtId="0" fontId="26" fillId="10" borderId="15" xfId="0" applyFont="1" applyFill="1" applyBorder="1" applyAlignment="1">
      <alignment horizontal="left" vertical="center"/>
    </xf>
    <xf numFmtId="165" fontId="26" fillId="10" borderId="15" xfId="0" applyNumberFormat="1" applyFont="1" applyFill="1" applyBorder="1" applyAlignment="1">
      <alignment vertical="center"/>
    </xf>
    <xf numFmtId="3" fontId="26" fillId="10" borderId="15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/>
    </xf>
    <xf numFmtId="3" fontId="42" fillId="0" borderId="15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3" fontId="42" fillId="0" borderId="15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42" fillId="10" borderId="15" xfId="0" applyFont="1" applyFill="1" applyBorder="1" applyAlignment="1">
      <alignment horizontal="left" vertical="center"/>
    </xf>
    <xf numFmtId="0" fontId="26" fillId="10" borderId="15" xfId="0" applyFont="1" applyFill="1" applyBorder="1" applyAlignment="1">
      <alignment horizontal="left" vertical="center" wrapText="1"/>
    </xf>
    <xf numFmtId="3" fontId="42" fillId="10" borderId="15" xfId="0" applyNumberFormat="1" applyFont="1" applyFill="1" applyBorder="1" applyAlignment="1">
      <alignment horizontal="right" vertical="center"/>
    </xf>
    <xf numFmtId="3" fontId="26" fillId="11" borderId="15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7" fillId="0" borderId="15" xfId="0" applyNumberFormat="1" applyFont="1" applyBorder="1" applyAlignment="1">
      <alignment horizontal="center" wrapText="1"/>
    </xf>
    <xf numFmtId="3" fontId="26" fillId="0" borderId="15" xfId="0" applyNumberFormat="1" applyFont="1" applyFill="1" applyBorder="1" applyAlignment="1">
      <alignment horizontal="center" wrapText="1"/>
    </xf>
    <xf numFmtId="0" fontId="42" fillId="10" borderId="15" xfId="0" applyFont="1" applyFill="1" applyBorder="1" applyAlignment="1">
      <alignment horizontal="left" vertical="center" wrapText="1"/>
    </xf>
    <xf numFmtId="0" fontId="44" fillId="5" borderId="15" xfId="0" applyFont="1" applyFill="1" applyBorder="1" applyAlignment="1">
      <alignment horizontal="left" indent="2"/>
    </xf>
    <xf numFmtId="0" fontId="44" fillId="5" borderId="15" xfId="0" applyFont="1" applyFill="1" applyBorder="1" applyAlignment="1">
      <alignment horizontal="left" vertical="center"/>
    </xf>
    <xf numFmtId="3" fontId="44" fillId="5" borderId="15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3" fontId="27" fillId="0" borderId="15" xfId="0" applyNumberFormat="1" applyFont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7" fillId="0" borderId="15" xfId="0" applyFont="1" applyFill="1" applyBorder="1" applyAlignment="1">
      <alignment horizontal="left" vertical="center" wrapText="1" indent="1"/>
    </xf>
    <xf numFmtId="0" fontId="53" fillId="0" borderId="15" xfId="0" applyFont="1" applyFill="1" applyBorder="1" applyAlignment="1">
      <alignment horizontal="left" vertical="center" wrapText="1" indent="2"/>
    </xf>
    <xf numFmtId="0" fontId="53" fillId="0" borderId="15" xfId="0" applyFont="1" applyFill="1" applyBorder="1" applyAlignment="1">
      <alignment horizontal="left" vertical="center" wrapText="1"/>
    </xf>
    <xf numFmtId="3" fontId="45" fillId="0" borderId="15" xfId="0" applyNumberFormat="1" applyFont="1" applyBorder="1" applyAlignment="1">
      <alignment/>
    </xf>
    <xf numFmtId="0" fontId="43" fillId="0" borderId="15" xfId="0" applyFont="1" applyFill="1" applyBorder="1" applyAlignment="1">
      <alignment horizontal="left" vertical="center" wrapText="1" indent="1"/>
    </xf>
    <xf numFmtId="0" fontId="43" fillId="0" borderId="16" xfId="100" applyFont="1" applyFill="1" applyBorder="1" applyAlignment="1" applyProtection="1">
      <alignment horizontal="left" vertical="center" wrapText="1" indent="2"/>
      <protection/>
    </xf>
    <xf numFmtId="3" fontId="27" fillId="0" borderId="15" xfId="0" applyNumberFormat="1" applyFont="1" applyBorder="1" applyAlignment="1">
      <alignment horizontal="right"/>
    </xf>
    <xf numFmtId="0" fontId="27" fillId="26" borderId="17" xfId="0" applyFont="1" applyFill="1" applyBorder="1" applyAlignment="1">
      <alignment horizontal="left" vertical="top" wrapText="1" indent="3"/>
    </xf>
    <xf numFmtId="0" fontId="27" fillId="26" borderId="18" xfId="0" applyFont="1" applyFill="1" applyBorder="1" applyAlignment="1">
      <alignment horizontal="left" vertical="top" wrapText="1" indent="3"/>
    </xf>
    <xf numFmtId="0" fontId="27" fillId="26" borderId="15" xfId="0" applyFont="1" applyFill="1" applyBorder="1" applyAlignment="1">
      <alignment horizontal="left" vertical="top" wrapText="1" indent="3"/>
    </xf>
    <xf numFmtId="3" fontId="27" fillId="0" borderId="15" xfId="0" applyNumberFormat="1" applyFont="1" applyBorder="1" applyAlignment="1">
      <alignment horizontal="left" indent="2"/>
    </xf>
    <xf numFmtId="0" fontId="53" fillId="0" borderId="15" xfId="100" applyFont="1" applyFill="1" applyBorder="1" applyAlignment="1" applyProtection="1">
      <alignment horizontal="left" vertical="center" wrapText="1" indent="2"/>
      <protection/>
    </xf>
    <xf numFmtId="0" fontId="45" fillId="0" borderId="15" xfId="0" applyFont="1" applyFill="1" applyBorder="1" applyAlignment="1">
      <alignment horizontal="left" vertical="center"/>
    </xf>
    <xf numFmtId="3" fontId="45" fillId="0" borderId="15" xfId="0" applyNumberFormat="1" applyFont="1" applyBorder="1" applyAlignment="1">
      <alignment horizontal="right"/>
    </xf>
    <xf numFmtId="3" fontId="26" fillId="0" borderId="15" xfId="0" applyNumberFormat="1" applyFont="1" applyBorder="1" applyAlignment="1">
      <alignment horizontal="right"/>
    </xf>
    <xf numFmtId="0" fontId="43" fillId="0" borderId="15" xfId="0" applyFont="1" applyBorder="1" applyAlignment="1">
      <alignment horizontal="left" indent="2"/>
    </xf>
    <xf numFmtId="0" fontId="43" fillId="0" borderId="15" xfId="100" applyFont="1" applyFill="1" applyBorder="1" applyAlignment="1" applyProtection="1">
      <alignment horizontal="left" vertical="center" wrapText="1" indent="2"/>
      <protection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center" wrapText="1"/>
    </xf>
    <xf numFmtId="0" fontId="45" fillId="0" borderId="15" xfId="0" applyFont="1" applyFill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3" fillId="0" borderId="15" xfId="100" applyFont="1" applyFill="1" applyBorder="1" applyAlignment="1" applyProtection="1">
      <alignment horizontal="left" vertical="center" wrapText="1" indent="1"/>
      <protection/>
    </xf>
    <xf numFmtId="0" fontId="53" fillId="0" borderId="15" xfId="0" applyFont="1" applyFill="1" applyBorder="1" applyAlignment="1">
      <alignment horizontal="left" vertical="center" wrapText="1" indent="1"/>
    </xf>
    <xf numFmtId="0" fontId="45" fillId="0" borderId="15" xfId="0" applyFont="1" applyFill="1" applyBorder="1" applyAlignment="1">
      <alignment horizontal="left" vertical="center" wrapText="1"/>
    </xf>
    <xf numFmtId="3" fontId="45" fillId="0" borderId="15" xfId="0" applyNumberFormat="1" applyFont="1" applyFill="1" applyBorder="1" applyAlignment="1">
      <alignment horizontal="left" vertical="center" wrapText="1" indent="1"/>
    </xf>
    <xf numFmtId="3" fontId="44" fillId="0" borderId="15" xfId="0" applyNumberFormat="1" applyFont="1" applyBorder="1" applyAlignment="1">
      <alignment/>
    </xf>
    <xf numFmtId="0" fontId="53" fillId="0" borderId="15" xfId="0" applyFont="1" applyFill="1" applyBorder="1" applyAlignment="1">
      <alignment horizontal="left" vertical="center" wrapText="1" indent="1"/>
    </xf>
    <xf numFmtId="3" fontId="45" fillId="0" borderId="15" xfId="0" applyNumberFormat="1" applyFont="1" applyFill="1" applyBorder="1" applyAlignment="1">
      <alignment/>
    </xf>
    <xf numFmtId="3" fontId="43" fillId="0" borderId="19" xfId="100" applyNumberFormat="1" applyFont="1" applyFill="1" applyBorder="1" applyAlignment="1" applyProtection="1">
      <alignment horizontal="right" vertical="center" wrapText="1"/>
      <protection locked="0"/>
    </xf>
    <xf numFmtId="0" fontId="43" fillId="0" borderId="15" xfId="100" applyFont="1" applyFill="1" applyBorder="1" applyAlignment="1" applyProtection="1">
      <alignment horizontal="left" vertical="center" wrapText="1" indent="1"/>
      <protection/>
    </xf>
    <xf numFmtId="0" fontId="26" fillId="0" borderId="15" xfId="0" applyFont="1" applyFill="1" applyBorder="1" applyAlignment="1">
      <alignment horizontal="left" vertical="center"/>
    </xf>
    <xf numFmtId="3" fontId="27" fillId="0" borderId="15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3" fontId="26" fillId="0" borderId="15" xfId="0" applyNumberFormat="1" applyFont="1" applyFill="1" applyBorder="1" applyAlignment="1">
      <alignment/>
    </xf>
    <xf numFmtId="0" fontId="44" fillId="0" borderId="15" xfId="0" applyFont="1" applyBorder="1" applyAlignment="1">
      <alignment/>
    </xf>
    <xf numFmtId="0" fontId="34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3" fontId="43" fillId="0" borderId="15" xfId="0" applyNumberFormat="1" applyFont="1" applyFill="1" applyBorder="1" applyAlignment="1">
      <alignment horizontal="right" vertical="center" wrapText="1"/>
    </xf>
    <xf numFmtId="3" fontId="43" fillId="0" borderId="15" xfId="0" applyNumberFormat="1" applyFont="1" applyFill="1" applyBorder="1" applyAlignment="1">
      <alignment horizontal="right" vertical="center"/>
    </xf>
    <xf numFmtId="0" fontId="55" fillId="0" borderId="15" xfId="0" applyFont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3" fillId="26" borderId="15" xfId="0" applyFont="1" applyFill="1" applyBorder="1" applyAlignment="1">
      <alignment horizontal="left" vertical="center" wrapText="1"/>
    </xf>
    <xf numFmtId="3" fontId="45" fillId="0" borderId="0" xfId="0" applyNumberFormat="1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27" fillId="0" borderId="19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4" fontId="27" fillId="0" borderId="0" xfId="0" applyNumberFormat="1" applyFont="1" applyFill="1" applyAlignment="1">
      <alignment/>
    </xf>
    <xf numFmtId="0" fontId="56" fillId="0" borderId="15" xfId="0" applyFont="1" applyFill="1" applyBorder="1" applyAlignment="1">
      <alignment horizontal="left" vertical="center" indent="1"/>
    </xf>
    <xf numFmtId="0" fontId="53" fillId="0" borderId="15" xfId="0" applyFont="1" applyFill="1" applyBorder="1" applyAlignment="1">
      <alignment horizontal="left" vertical="center" indent="1"/>
    </xf>
    <xf numFmtId="0" fontId="56" fillId="0" borderId="15" xfId="0" applyFont="1" applyFill="1" applyBorder="1" applyAlignment="1">
      <alignment horizontal="left" vertical="center" indent="4"/>
    </xf>
    <xf numFmtId="0" fontId="53" fillId="0" borderId="15" xfId="0" applyFont="1" applyFill="1" applyBorder="1" applyAlignment="1">
      <alignment horizontal="left" vertical="center" indent="4"/>
    </xf>
    <xf numFmtId="0" fontId="57" fillId="0" borderId="19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/>
    </xf>
    <xf numFmtId="0" fontId="0" fillId="0" borderId="0" xfId="0" applyAlignment="1">
      <alignment/>
    </xf>
    <xf numFmtId="0" fontId="26" fillId="0" borderId="0" xfId="0" applyFont="1" applyBorder="1" applyAlignment="1">
      <alignment/>
    </xf>
    <xf numFmtId="0" fontId="31" fillId="0" borderId="0" xfId="97" applyFont="1">
      <alignment/>
      <protection/>
    </xf>
    <xf numFmtId="0" fontId="31" fillId="0" borderId="0" xfId="98" applyFont="1" applyBorder="1" applyAlignment="1">
      <alignment horizontal="right"/>
      <protection/>
    </xf>
    <xf numFmtId="0" fontId="43" fillId="0" borderId="0" xfId="97" applyFont="1">
      <alignment/>
      <protection/>
    </xf>
    <xf numFmtId="0" fontId="31" fillId="0" borderId="20" xfId="98" applyFont="1" applyBorder="1" applyAlignment="1">
      <alignment horizontal="center" wrapText="1"/>
      <protection/>
    </xf>
    <xf numFmtId="0" fontId="31" fillId="0" borderId="21" xfId="98" applyFont="1" applyBorder="1" applyAlignment="1">
      <alignment horizontal="center" wrapText="1"/>
      <protection/>
    </xf>
    <xf numFmtId="0" fontId="31" fillId="0" borderId="22" xfId="98" applyFont="1" applyBorder="1" applyAlignment="1">
      <alignment horizontal="center"/>
      <protection/>
    </xf>
    <xf numFmtId="0" fontId="31" fillId="0" borderId="23" xfId="98" applyFont="1" applyBorder="1" applyAlignment="1">
      <alignment horizontal="center"/>
      <protection/>
    </xf>
    <xf numFmtId="0" fontId="31" fillId="0" borderId="24" xfId="98" applyFont="1" applyBorder="1" applyAlignment="1">
      <alignment horizontal="center"/>
      <protection/>
    </xf>
    <xf numFmtId="0" fontId="43" fillId="0" borderId="25" xfId="98" applyFont="1" applyBorder="1" applyAlignment="1">
      <alignment horizontal="center" vertical="center"/>
      <protection/>
    </xf>
    <xf numFmtId="0" fontId="43" fillId="0" borderId="16" xfId="98" applyFont="1" applyBorder="1" applyAlignment="1">
      <alignment horizontal="center" vertical="center" wrapText="1"/>
      <protection/>
    </xf>
    <xf numFmtId="0" fontId="43" fillId="0" borderId="16" xfId="98" applyFont="1" applyBorder="1" applyAlignment="1">
      <alignment horizontal="center" vertical="center"/>
      <protection/>
    </xf>
    <xf numFmtId="3" fontId="43" fillId="0" borderId="26" xfId="98" applyNumberFormat="1" applyFont="1" applyBorder="1" applyAlignment="1">
      <alignment horizontal="right" vertical="center" indent="1"/>
      <protection/>
    </xf>
    <xf numFmtId="0" fontId="31" fillId="0" borderId="0" xfId="97" applyFont="1" applyAlignment="1">
      <alignment horizontal="center" vertical="center"/>
      <protection/>
    </xf>
    <xf numFmtId="0" fontId="43" fillId="0" borderId="27" xfId="98" applyFont="1" applyBorder="1" applyAlignment="1">
      <alignment horizontal="center" vertical="center"/>
      <protection/>
    </xf>
    <xf numFmtId="0" fontId="43" fillId="0" borderId="15" xfId="98" applyFont="1" applyBorder="1" applyAlignment="1">
      <alignment horizontal="center" vertical="center" wrapText="1"/>
      <protection/>
    </xf>
    <xf numFmtId="0" fontId="43" fillId="0" borderId="15" xfId="98" applyFont="1" applyBorder="1" applyAlignment="1">
      <alignment horizontal="center" vertical="center"/>
      <protection/>
    </xf>
    <xf numFmtId="3" fontId="43" fillId="0" borderId="28" xfId="98" applyNumberFormat="1" applyFont="1" applyBorder="1" applyAlignment="1">
      <alignment horizontal="right" vertical="center" indent="1"/>
      <protection/>
    </xf>
    <xf numFmtId="0" fontId="31" fillId="0" borderId="27" xfId="98" applyFont="1" applyBorder="1" applyAlignment="1">
      <alignment horizontal="center" vertical="center"/>
      <protection/>
    </xf>
    <xf numFmtId="0" fontId="31" fillId="0" borderId="29" xfId="98" applyFont="1" applyBorder="1" applyAlignment="1">
      <alignment horizontal="center" vertical="center"/>
      <protection/>
    </xf>
    <xf numFmtId="0" fontId="43" fillId="0" borderId="30" xfId="98" applyFont="1" applyBorder="1" applyAlignment="1">
      <alignment horizontal="center" vertical="center" wrapText="1"/>
      <protection/>
    </xf>
    <xf numFmtId="0" fontId="43" fillId="0" borderId="30" xfId="98" applyFont="1" applyBorder="1" applyAlignment="1">
      <alignment horizontal="center" vertical="center"/>
      <protection/>
    </xf>
    <xf numFmtId="3" fontId="43" fillId="0" borderId="31" xfId="98" applyNumberFormat="1" applyFont="1" applyBorder="1" applyAlignment="1">
      <alignment horizontal="right" vertical="center" indent="1"/>
      <protection/>
    </xf>
    <xf numFmtId="3" fontId="63" fillId="20" borderId="24" xfId="98" applyNumberFormat="1" applyFont="1" applyFill="1" applyBorder="1" applyAlignment="1">
      <alignment horizontal="right" indent="1"/>
      <protection/>
    </xf>
    <xf numFmtId="0" fontId="44" fillId="0" borderId="0" xfId="0" applyFont="1" applyAlignment="1">
      <alignment horizontal="center"/>
    </xf>
    <xf numFmtId="3" fontId="26" fillId="0" borderId="15" xfId="0" applyNumberFormat="1" applyFont="1" applyFill="1" applyBorder="1" applyAlignment="1">
      <alignment horizontal="right" vertical="center" wrapText="1"/>
    </xf>
    <xf numFmtId="0" fontId="47" fillId="0" borderId="15" xfId="0" applyFont="1" applyFill="1" applyBorder="1" applyAlignment="1">
      <alignment horizontal="left" vertical="center" wrapText="1" indent="1"/>
    </xf>
    <xf numFmtId="0" fontId="44" fillId="0" borderId="15" xfId="0" applyFont="1" applyFill="1" applyBorder="1" applyAlignment="1">
      <alignment horizontal="left" vertical="center" wrapText="1" indent="1"/>
    </xf>
    <xf numFmtId="0" fontId="47" fillId="0" borderId="15" xfId="0" applyFont="1" applyFill="1" applyBorder="1" applyAlignment="1">
      <alignment horizontal="left" vertical="center" wrapText="1" indent="1"/>
    </xf>
    <xf numFmtId="0" fontId="36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7" fillId="0" borderId="15" xfId="0" applyFont="1" applyBorder="1" applyAlignment="1">
      <alignment horizontal="right" wrapText="1"/>
    </xf>
    <xf numFmtId="3" fontId="27" fillId="0" borderId="0" xfId="0" applyNumberFormat="1" applyFont="1" applyBorder="1" applyAlignment="1">
      <alignment horizontal="right"/>
    </xf>
    <xf numFmtId="0" fontId="27" fillId="0" borderId="15" xfId="0" applyFont="1" applyBorder="1" applyAlignment="1">
      <alignment horizontal="right"/>
    </xf>
    <xf numFmtId="0" fontId="26" fillId="0" borderId="0" xfId="0" applyFont="1" applyFill="1" applyAlignment="1">
      <alignment/>
    </xf>
    <xf numFmtId="0" fontId="44" fillId="0" borderId="15" xfId="0" applyFont="1" applyFill="1" applyBorder="1" applyAlignment="1">
      <alignment horizontal="left" vertical="center" wrapText="1"/>
    </xf>
    <xf numFmtId="0" fontId="44" fillId="0" borderId="0" xfId="0" applyFont="1" applyAlignment="1">
      <alignment/>
    </xf>
    <xf numFmtId="0" fontId="47" fillId="0" borderId="15" xfId="0" applyFont="1" applyFill="1" applyBorder="1" applyAlignment="1">
      <alignment vertical="center"/>
    </xf>
    <xf numFmtId="0" fontId="53" fillId="0" borderId="15" xfId="95" applyFont="1" applyBorder="1" applyAlignment="1">
      <alignment horizontal="left" indent="3"/>
      <protection/>
    </xf>
    <xf numFmtId="0" fontId="45" fillId="0" borderId="15" xfId="0" applyFont="1" applyFill="1" applyBorder="1" applyAlignment="1">
      <alignment horizontal="left" vertical="center" wrapText="1" indent="4"/>
    </xf>
    <xf numFmtId="0" fontId="53" fillId="0" borderId="15" xfId="0" applyFont="1" applyFill="1" applyBorder="1" applyAlignment="1">
      <alignment horizontal="left" vertical="center" wrapText="1" indent="4"/>
    </xf>
    <xf numFmtId="0" fontId="26" fillId="0" borderId="15" xfId="0" applyFont="1" applyBorder="1" applyAlignment="1">
      <alignment horizontal="center" vertical="center"/>
    </xf>
    <xf numFmtId="0" fontId="48" fillId="0" borderId="0" xfId="0" applyFont="1" applyAlignment="1" quotePrefix="1">
      <alignment/>
    </xf>
    <xf numFmtId="0" fontId="26" fillId="20" borderId="15" xfId="0" applyFont="1" applyFill="1" applyBorder="1" applyAlignment="1">
      <alignment horizontal="left" vertical="center" wrapText="1"/>
    </xf>
    <xf numFmtId="0" fontId="26" fillId="20" borderId="15" xfId="0" applyFont="1" applyFill="1" applyBorder="1" applyAlignment="1">
      <alignment horizontal="left" vertical="center"/>
    </xf>
    <xf numFmtId="3" fontId="26" fillId="20" borderId="15" xfId="0" applyNumberFormat="1" applyFont="1" applyFill="1" applyBorder="1" applyAlignment="1">
      <alignment horizontal="right"/>
    </xf>
    <xf numFmtId="0" fontId="26" fillId="20" borderId="0" xfId="0" applyFont="1" applyFill="1" applyAlignment="1">
      <alignment/>
    </xf>
    <xf numFmtId="0" fontId="26" fillId="20" borderId="15" xfId="0" applyFont="1" applyFill="1" applyBorder="1" applyAlignment="1">
      <alignment/>
    </xf>
    <xf numFmtId="0" fontId="27" fillId="20" borderId="0" xfId="0" applyFont="1" applyFill="1" applyAlignment="1">
      <alignment/>
    </xf>
    <xf numFmtId="0" fontId="26" fillId="20" borderId="15" xfId="0" applyFont="1" applyFill="1" applyBorder="1" applyAlignment="1">
      <alignment vertical="center" wrapText="1"/>
    </xf>
    <xf numFmtId="3" fontId="26" fillId="20" borderId="15" xfId="0" applyNumberFormat="1" applyFont="1" applyFill="1" applyBorder="1" applyAlignment="1">
      <alignment/>
    </xf>
    <xf numFmtId="0" fontId="55" fillId="20" borderId="15" xfId="0" applyFont="1" applyFill="1" applyBorder="1" applyAlignment="1">
      <alignment/>
    </xf>
    <xf numFmtId="3" fontId="44" fillId="20" borderId="15" xfId="0" applyNumberFormat="1" applyFont="1" applyFill="1" applyBorder="1" applyAlignment="1">
      <alignment/>
    </xf>
    <xf numFmtId="0" fontId="54" fillId="20" borderId="0" xfId="0" applyFont="1" applyFill="1" applyAlignment="1">
      <alignment/>
    </xf>
    <xf numFmtId="0" fontId="44" fillId="20" borderId="15" xfId="0" applyFont="1" applyFill="1" applyBorder="1" applyAlignment="1">
      <alignment horizontal="left" vertical="center"/>
    </xf>
    <xf numFmtId="0" fontId="42" fillId="20" borderId="15" xfId="0" applyFont="1" applyFill="1" applyBorder="1" applyAlignment="1">
      <alignment horizontal="left" vertical="center" wrapText="1"/>
    </xf>
    <xf numFmtId="4" fontId="27" fillId="20" borderId="0" xfId="0" applyNumberFormat="1" applyFont="1" applyFill="1" applyAlignment="1">
      <alignment/>
    </xf>
    <xf numFmtId="0" fontId="42" fillId="20" borderId="15" xfId="0" applyFont="1" applyFill="1" applyBorder="1" applyAlignment="1">
      <alignment horizontal="left" vertical="center" wrapText="1"/>
    </xf>
    <xf numFmtId="0" fontId="26" fillId="20" borderId="15" xfId="0" applyFont="1" applyFill="1" applyBorder="1" applyAlignment="1">
      <alignment horizontal="left" vertical="center"/>
    </xf>
    <xf numFmtId="0" fontId="44" fillId="20" borderId="15" xfId="0" applyFont="1" applyFill="1" applyBorder="1" applyAlignment="1">
      <alignment/>
    </xf>
    <xf numFmtId="0" fontId="29" fillId="20" borderId="0" xfId="0" applyFont="1" applyFill="1" applyAlignment="1">
      <alignment/>
    </xf>
    <xf numFmtId="0" fontId="30" fillId="20" borderId="15" xfId="0" applyFont="1" applyFill="1" applyBorder="1" applyAlignment="1">
      <alignment/>
    </xf>
    <xf numFmtId="3" fontId="30" fillId="20" borderId="15" xfId="0" applyNumberFormat="1" applyFont="1" applyFill="1" applyBorder="1" applyAlignment="1">
      <alignment/>
    </xf>
    <xf numFmtId="0" fontId="30" fillId="20" borderId="0" xfId="0" applyFont="1" applyFill="1" applyAlignment="1">
      <alignment/>
    </xf>
    <xf numFmtId="0" fontId="25" fillId="20" borderId="15" xfId="0" applyFont="1" applyFill="1" applyBorder="1" applyAlignment="1">
      <alignment vertical="center" wrapText="1"/>
    </xf>
    <xf numFmtId="165" fontId="25" fillId="20" borderId="15" xfId="0" applyNumberFormat="1" applyFont="1" applyFill="1" applyBorder="1" applyAlignment="1">
      <alignment vertical="center"/>
    </xf>
    <xf numFmtId="3" fontId="25" fillId="20" borderId="15" xfId="0" applyNumberFormat="1" applyFont="1" applyFill="1" applyBorder="1" applyAlignment="1">
      <alignment/>
    </xf>
    <xf numFmtId="0" fontId="3" fillId="20" borderId="0" xfId="0" applyFont="1" applyFill="1" applyAlignment="1">
      <alignment/>
    </xf>
    <xf numFmtId="0" fontId="25" fillId="20" borderId="15" xfId="0" applyFont="1" applyFill="1" applyBorder="1" applyAlignment="1">
      <alignment horizontal="left" vertical="center" wrapText="1"/>
    </xf>
    <xf numFmtId="3" fontId="3" fillId="20" borderId="15" xfId="0" applyNumberFormat="1" applyFont="1" applyFill="1" applyBorder="1" applyAlignment="1">
      <alignment/>
    </xf>
    <xf numFmtId="0" fontId="32" fillId="20" borderId="15" xfId="0" applyFont="1" applyFill="1" applyBorder="1" applyAlignment="1">
      <alignment horizontal="left" vertical="center" wrapText="1"/>
    </xf>
    <xf numFmtId="0" fontId="25" fillId="20" borderId="15" xfId="0" applyFont="1" applyFill="1" applyBorder="1" applyAlignment="1">
      <alignment horizontal="left" vertical="center"/>
    </xf>
    <xf numFmtId="0" fontId="3" fillId="20" borderId="0" xfId="0" applyFont="1" applyFill="1" applyAlignment="1">
      <alignment/>
    </xf>
    <xf numFmtId="3" fontId="27" fillId="20" borderId="0" xfId="0" applyNumberFormat="1" applyFont="1" applyFill="1" applyAlignment="1">
      <alignment/>
    </xf>
    <xf numFmtId="4" fontId="2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3" fontId="27" fillId="0" borderId="15" xfId="0" applyNumberFormat="1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vertical="center"/>
    </xf>
    <xf numFmtId="0" fontId="50" fillId="20" borderId="15" xfId="0" applyFont="1" applyFill="1" applyBorder="1" applyAlignment="1">
      <alignment/>
    </xf>
    <xf numFmtId="165" fontId="26" fillId="20" borderId="15" xfId="0" applyNumberFormat="1" applyFont="1" applyFill="1" applyBorder="1" applyAlignment="1">
      <alignment vertical="center"/>
    </xf>
    <xf numFmtId="3" fontId="26" fillId="20" borderId="15" xfId="0" applyNumberFormat="1" applyFont="1" applyFill="1" applyBorder="1" applyAlignment="1">
      <alignment vertical="center"/>
    </xf>
    <xf numFmtId="0" fontId="22" fillId="20" borderId="0" xfId="0" applyFont="1" applyFill="1" applyAlignment="1">
      <alignment/>
    </xf>
    <xf numFmtId="0" fontId="0" fillId="20" borderId="0" xfId="0" applyFill="1" applyAlignment="1">
      <alignment/>
    </xf>
    <xf numFmtId="0" fontId="44" fillId="20" borderId="15" xfId="0" applyFont="1" applyFill="1" applyBorder="1" applyAlignment="1">
      <alignment horizontal="left" indent="2"/>
    </xf>
    <xf numFmtId="0" fontId="44" fillId="20" borderId="15" xfId="0" applyFont="1" applyFill="1" applyBorder="1" applyAlignment="1">
      <alignment horizontal="left" vertical="center"/>
    </xf>
    <xf numFmtId="0" fontId="42" fillId="20" borderId="15" xfId="0" applyFont="1" applyFill="1" applyBorder="1" applyAlignment="1">
      <alignment horizontal="left" vertical="center"/>
    </xf>
    <xf numFmtId="0" fontId="26" fillId="20" borderId="15" xfId="0" applyFont="1" applyFill="1" applyBorder="1" applyAlignment="1">
      <alignment horizontal="left" vertical="center" wrapText="1"/>
    </xf>
    <xf numFmtId="3" fontId="42" fillId="20" borderId="15" xfId="0" applyNumberFormat="1" applyFont="1" applyFill="1" applyBorder="1" applyAlignment="1">
      <alignment horizontal="right" vertical="center"/>
    </xf>
    <xf numFmtId="3" fontId="22" fillId="0" borderId="15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65" fontId="26" fillId="20" borderId="15" xfId="0" applyNumberFormat="1" applyFont="1" applyFill="1" applyBorder="1" applyAlignment="1">
      <alignment vertical="center"/>
    </xf>
    <xf numFmtId="3" fontId="22" fillId="20" borderId="15" xfId="0" applyNumberFormat="1" applyFont="1" applyFill="1" applyBorder="1" applyAlignment="1">
      <alignment/>
    </xf>
    <xf numFmtId="3" fontId="22" fillId="20" borderId="0" xfId="0" applyNumberFormat="1" applyFont="1" applyFill="1" applyAlignment="1">
      <alignment/>
    </xf>
    <xf numFmtId="171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64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26" fillId="11" borderId="0" xfId="0" applyFont="1" applyFill="1" applyBorder="1" applyAlignment="1">
      <alignment/>
    </xf>
    <xf numFmtId="3" fontId="26" fillId="11" borderId="0" xfId="0" applyNumberFormat="1" applyFont="1" applyFill="1" applyBorder="1" applyAlignment="1">
      <alignment/>
    </xf>
    <xf numFmtId="3" fontId="26" fillId="20" borderId="0" xfId="0" applyNumberFormat="1" applyFont="1" applyFill="1" applyBorder="1" applyAlignment="1">
      <alignment/>
    </xf>
    <xf numFmtId="0" fontId="26" fillId="0" borderId="0" xfId="0" applyFont="1" applyAlignment="1">
      <alignment horizontal="justify" wrapText="1"/>
    </xf>
    <xf numFmtId="0" fontId="45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  <xf numFmtId="171" fontId="1" fillId="0" borderId="15" xfId="0" applyNumberFormat="1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 wrapText="1" indent="2"/>
    </xf>
    <xf numFmtId="3" fontId="27" fillId="0" borderId="15" xfId="0" applyNumberFormat="1" applyFont="1" applyFill="1" applyBorder="1" applyAlignment="1">
      <alignment horizontal="right"/>
    </xf>
    <xf numFmtId="0" fontId="43" fillId="0" borderId="15" xfId="0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0" fontId="45" fillId="0" borderId="15" xfId="0" applyFont="1" applyFill="1" applyBorder="1" applyAlignment="1">
      <alignment horizontal="left" vertical="center" wrapText="1" indent="3"/>
    </xf>
    <xf numFmtId="0" fontId="53" fillId="0" borderId="15" xfId="0" applyFont="1" applyFill="1" applyBorder="1" applyAlignment="1">
      <alignment horizontal="left" vertical="center" wrapText="1" indent="3"/>
    </xf>
    <xf numFmtId="0" fontId="53" fillId="0" borderId="15" xfId="0" applyFont="1" applyFill="1" applyBorder="1" applyAlignment="1">
      <alignment horizontal="left" vertical="center" wrapText="1" indent="2"/>
    </xf>
    <xf numFmtId="0" fontId="47" fillId="20" borderId="15" xfId="0" applyFont="1" applyFill="1" applyBorder="1" applyAlignment="1">
      <alignment vertical="center" wrapText="1"/>
    </xf>
    <xf numFmtId="0" fontId="44" fillId="20" borderId="15" xfId="0" applyFont="1" applyFill="1" applyBorder="1" applyAlignment="1">
      <alignment horizontal="left" vertical="center" wrapText="1"/>
    </xf>
    <xf numFmtId="0" fontId="44" fillId="20" borderId="0" xfId="0" applyFont="1" applyFill="1" applyAlignment="1">
      <alignment/>
    </xf>
    <xf numFmtId="0" fontId="42" fillId="20" borderId="15" xfId="0" applyFont="1" applyFill="1" applyBorder="1" applyAlignment="1">
      <alignment vertical="center" wrapText="1"/>
    </xf>
    <xf numFmtId="0" fontId="42" fillId="20" borderId="15" xfId="0" applyFont="1" applyFill="1" applyBorder="1" applyAlignment="1">
      <alignment vertical="center"/>
    </xf>
    <xf numFmtId="0" fontId="47" fillId="20" borderId="15" xfId="0" applyFont="1" applyFill="1" applyBorder="1" applyAlignment="1">
      <alignment horizontal="left" vertical="center" wrapText="1"/>
    </xf>
    <xf numFmtId="0" fontId="47" fillId="20" borderId="15" xfId="0" applyFont="1" applyFill="1" applyBorder="1" applyAlignment="1">
      <alignment vertical="center"/>
    </xf>
    <xf numFmtId="0" fontId="42" fillId="20" borderId="15" xfId="0" applyFont="1" applyFill="1" applyBorder="1" applyAlignment="1">
      <alignment vertical="center"/>
    </xf>
    <xf numFmtId="0" fontId="42" fillId="20" borderId="15" xfId="0" applyFont="1" applyFill="1" applyBorder="1" applyAlignment="1">
      <alignment vertical="center" wrapText="1"/>
    </xf>
    <xf numFmtId="3" fontId="26" fillId="0" borderId="15" xfId="0" applyNumberFormat="1" applyFont="1" applyBorder="1" applyAlignment="1">
      <alignment horizontal="center" vertical="center"/>
    </xf>
    <xf numFmtId="0" fontId="42" fillId="20" borderId="19" xfId="0" applyFont="1" applyFill="1" applyBorder="1" applyAlignment="1">
      <alignment vertical="center" wrapText="1"/>
    </xf>
    <xf numFmtId="0" fontId="42" fillId="20" borderId="15" xfId="0" applyFont="1" applyFill="1" applyBorder="1" applyAlignment="1">
      <alignment horizontal="left" vertical="center"/>
    </xf>
    <xf numFmtId="0" fontId="3" fillId="20" borderId="15" xfId="0" applyFont="1" applyFill="1" applyBorder="1" applyAlignment="1">
      <alignment horizontal="center"/>
    </xf>
    <xf numFmtId="0" fontId="32" fillId="20" borderId="15" xfId="99" applyFont="1" applyFill="1" applyBorder="1" applyAlignment="1">
      <alignment horizontal="left" vertical="center" wrapText="1"/>
      <protection/>
    </xf>
    <xf numFmtId="4" fontId="32" fillId="20" borderId="15" xfId="0" applyNumberFormat="1" applyFont="1" applyFill="1" applyBorder="1" applyAlignment="1">
      <alignment horizontal="right" vertical="center" wrapText="1"/>
    </xf>
    <xf numFmtId="0" fontId="3" fillId="20" borderId="15" xfId="0" applyFont="1" applyFill="1" applyBorder="1" applyAlignment="1">
      <alignment horizontal="center"/>
    </xf>
    <xf numFmtId="4" fontId="25" fillId="20" borderId="15" xfId="0" applyNumberFormat="1" applyFont="1" applyFill="1" applyBorder="1" applyAlignment="1">
      <alignment horizontal="right" vertical="center" wrapText="1"/>
    </xf>
    <xf numFmtId="0" fontId="47" fillId="20" borderId="15" xfId="0" applyFont="1" applyFill="1" applyBorder="1" applyAlignment="1">
      <alignment/>
    </xf>
    <xf numFmtId="0" fontId="43" fillId="20" borderId="15" xfId="0" applyFont="1" applyFill="1" applyBorder="1" applyAlignment="1">
      <alignment/>
    </xf>
    <xf numFmtId="3" fontId="47" fillId="20" borderId="15" xfId="0" applyNumberFormat="1" applyFont="1" applyFill="1" applyBorder="1" applyAlignment="1">
      <alignment/>
    </xf>
    <xf numFmtId="0" fontId="42" fillId="20" borderId="15" xfId="0" applyFont="1" applyFill="1" applyBorder="1" applyAlignment="1">
      <alignment/>
    </xf>
    <xf numFmtId="0" fontId="29" fillId="20" borderId="0" xfId="0" applyFont="1" applyFill="1" applyAlignment="1" quotePrefix="1">
      <alignment/>
    </xf>
    <xf numFmtId="3" fontId="42" fillId="20" borderId="15" xfId="0" applyNumberFormat="1" applyFont="1" applyFill="1" applyBorder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3" fontId="42" fillId="20" borderId="15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47" fillId="20" borderId="15" xfId="0" applyFont="1" applyFill="1" applyBorder="1" applyAlignment="1">
      <alignment horizontal="left" vertical="center" wrapText="1" indent="1"/>
    </xf>
    <xf numFmtId="0" fontId="43" fillId="0" borderId="15" xfId="100" applyFont="1" applyFill="1" applyBorder="1" applyAlignment="1" applyProtection="1">
      <alignment horizontal="left" vertical="center" wrapText="1" indent="3"/>
      <protection/>
    </xf>
    <xf numFmtId="0" fontId="43" fillId="0" borderId="0" xfId="0" applyFont="1" applyFill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96" applyFont="1" applyAlignment="1">
      <alignment horizontal="right"/>
      <protection/>
    </xf>
    <xf numFmtId="0" fontId="65" fillId="0" borderId="0" xfId="0" applyFont="1" applyAlignment="1">
      <alignment/>
    </xf>
    <xf numFmtId="171" fontId="66" fillId="0" borderId="15" xfId="0" applyNumberFormat="1" applyFont="1" applyBorder="1" applyAlignment="1">
      <alignment horizontal="center" vertical="center" wrapText="1"/>
    </xf>
    <xf numFmtId="3" fontId="43" fillId="0" borderId="15" xfId="0" applyNumberFormat="1" applyFont="1" applyFill="1" applyBorder="1" applyAlignment="1">
      <alignment vertical="center"/>
    </xf>
    <xf numFmtId="3" fontId="42" fillId="0" borderId="15" xfId="0" applyNumberFormat="1" applyFont="1" applyBorder="1" applyAlignment="1">
      <alignment/>
    </xf>
    <xf numFmtId="3" fontId="42" fillId="0" borderId="15" xfId="0" applyNumberFormat="1" applyFont="1" applyFill="1" applyBorder="1" applyAlignment="1">
      <alignment vertical="center"/>
    </xf>
    <xf numFmtId="3" fontId="43" fillId="0" borderId="15" xfId="0" applyNumberFormat="1" applyFont="1" applyBorder="1" applyAlignment="1">
      <alignment/>
    </xf>
    <xf numFmtId="3" fontId="42" fillId="20" borderId="15" xfId="0" applyNumberFormat="1" applyFont="1" applyFill="1" applyBorder="1" applyAlignment="1">
      <alignment/>
    </xf>
    <xf numFmtId="3" fontId="42" fillId="20" borderId="15" xfId="0" applyNumberFormat="1" applyFont="1" applyFill="1" applyBorder="1" applyAlignment="1">
      <alignment vertical="center"/>
    </xf>
    <xf numFmtId="3" fontId="47" fillId="20" borderId="15" xfId="0" applyNumberFormat="1" applyFont="1" applyFill="1" applyBorder="1" applyAlignment="1">
      <alignment/>
    </xf>
    <xf numFmtId="3" fontId="42" fillId="11" borderId="0" xfId="0" applyNumberFormat="1" applyFont="1" applyFill="1" applyBorder="1" applyAlignment="1">
      <alignment/>
    </xf>
    <xf numFmtId="3" fontId="65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0" borderId="0" xfId="96" applyFont="1">
      <alignment/>
      <protection/>
    </xf>
    <xf numFmtId="3" fontId="43" fillId="0" borderId="0" xfId="96" applyNumberFormat="1" applyFont="1" applyAlignment="1">
      <alignment horizontal="right"/>
      <protection/>
    </xf>
    <xf numFmtId="3" fontId="43" fillId="0" borderId="0" xfId="96" applyNumberFormat="1" applyFont="1">
      <alignment/>
      <protection/>
    </xf>
    <xf numFmtId="174" fontId="42" fillId="0" borderId="0" xfId="10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horizontal="justify" wrapText="1"/>
    </xf>
    <xf numFmtId="0" fontId="67" fillId="0" borderId="0" xfId="96" applyFont="1">
      <alignment/>
      <protection/>
    </xf>
    <xf numFmtId="0" fontId="43" fillId="0" borderId="0" xfId="95" applyFont="1" applyBorder="1" applyAlignment="1" applyProtection="1">
      <alignment/>
      <protection/>
    </xf>
    <xf numFmtId="0" fontId="43" fillId="0" borderId="0" xfId="96" applyFont="1" applyAlignment="1">
      <alignment horizontal="left"/>
      <protection/>
    </xf>
    <xf numFmtId="0" fontId="42" fillId="0" borderId="0" xfId="96" applyFont="1" applyAlignment="1">
      <alignment horizontal="right"/>
      <protection/>
    </xf>
    <xf numFmtId="3" fontId="43" fillId="0" borderId="0" xfId="0" applyNumberFormat="1" applyFont="1" applyBorder="1" applyAlignment="1">
      <alignment horizontal="left" vertical="center"/>
    </xf>
    <xf numFmtId="0" fontId="31" fillId="0" borderId="15" xfId="95" applyFont="1" applyBorder="1">
      <alignment/>
      <protection/>
    </xf>
    <xf numFmtId="0" fontId="53" fillId="0" borderId="15" xfId="95" applyFont="1" applyBorder="1" applyAlignment="1">
      <alignment horizontal="left" indent="4"/>
      <protection/>
    </xf>
    <xf numFmtId="3" fontId="43" fillId="0" borderId="15" xfId="95" applyNumberFormat="1" applyFont="1" applyBorder="1">
      <alignment/>
      <protection/>
    </xf>
    <xf numFmtId="0" fontId="31" fillId="0" borderId="32" xfId="98" applyFont="1" applyBorder="1" applyAlignment="1">
      <alignment horizontal="center"/>
      <protection/>
    </xf>
    <xf numFmtId="0" fontId="31" fillId="0" borderId="33" xfId="98" applyFont="1" applyBorder="1" applyAlignment="1">
      <alignment horizontal="center"/>
      <protection/>
    </xf>
    <xf numFmtId="174" fontId="42" fillId="0" borderId="0" xfId="10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1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31" fillId="0" borderId="36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63" fillId="20" borderId="22" xfId="98" applyFont="1" applyFill="1" applyBorder="1" applyAlignment="1">
      <alignment horizontal="center"/>
      <protection/>
    </xf>
    <xf numFmtId="0" fontId="63" fillId="20" borderId="23" xfId="98" applyFont="1" applyFill="1" applyBorder="1" applyAlignment="1">
      <alignment horizontal="center"/>
      <protection/>
    </xf>
    <xf numFmtId="0" fontId="42" fillId="0" borderId="0" xfId="97" applyFont="1" applyAlignment="1">
      <alignment horizontal="center"/>
      <protection/>
    </xf>
    <xf numFmtId="0" fontId="31" fillId="0" borderId="37" xfId="98" applyFont="1" applyBorder="1" applyAlignment="1">
      <alignment horizontal="center" vertical="center" wrapText="1"/>
      <protection/>
    </xf>
    <xf numFmtId="0" fontId="31" fillId="0" borderId="38" xfId="98" applyFont="1" applyBorder="1" applyAlignment="1">
      <alignment horizontal="center" vertical="center" wrapText="1"/>
      <protection/>
    </xf>
    <xf numFmtId="0" fontId="31" fillId="0" borderId="32" xfId="98" applyFont="1" applyBorder="1" applyAlignment="1">
      <alignment horizontal="center" vertical="center"/>
      <protection/>
    </xf>
    <xf numFmtId="0" fontId="31" fillId="0" borderId="20" xfId="98" applyFont="1" applyBorder="1" applyAlignment="1">
      <alignment horizontal="center" vertical="center"/>
      <protection/>
    </xf>
  </cellXfs>
  <cellStyles count="9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Followed Hyperlink" xfId="91"/>
    <cellStyle name="Neutral" xfId="92"/>
    <cellStyle name="Normál 2" xfId="93"/>
    <cellStyle name="Normál 3" xfId="94"/>
    <cellStyle name="Normál_2010. ktgvetés JÓ LESZ ÚJ" xfId="95"/>
    <cellStyle name="Normál_2013 évi ktgvetés IV név mód 2013 12 05" xfId="96"/>
    <cellStyle name="Normál_2013 évi ktgvetés melléklete 2013 12 21 egységes" xfId="97"/>
    <cellStyle name="Normál_kovetetttam2009" xfId="98"/>
    <cellStyle name="Normal_KTRSZJ" xfId="99"/>
    <cellStyle name="Normál_KVRENMUNKA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zab&#243;%20Enik&#337;\2009.%20&#233;vi%20z&#225;rsz&#225;mad&#225;s\&#246;nkorm&#225;nyzatoknak%20kik&#252;ldeni\k&#252;ldeni%20Z&#225;r&#225;s%202009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91"/>
  <sheetViews>
    <sheetView view="pageBreakPreview" zoomScaleSheetLayoutView="100" workbookViewId="0" topLeftCell="A1">
      <selection activeCell="B13" sqref="B13"/>
    </sheetView>
  </sheetViews>
  <sheetFormatPr defaultColWidth="9.140625" defaultRowHeight="15"/>
  <cols>
    <col min="1" max="1" width="10.7109375" style="377" customWidth="1"/>
    <col min="2" max="2" width="81.00390625" style="377" customWidth="1"/>
    <col min="3" max="3" width="19.421875" style="379" customWidth="1"/>
    <col min="4" max="16384" width="9.140625" style="377" customWidth="1"/>
  </cols>
  <sheetData>
    <row r="1" ht="15.75">
      <c r="B1" s="378"/>
    </row>
    <row r="2" ht="15.75">
      <c r="C2" s="377"/>
    </row>
    <row r="3" spans="1:3" ht="18.75">
      <c r="A3" s="393" t="s">
        <v>459</v>
      </c>
      <c r="B3" s="393"/>
      <c r="C3" s="378"/>
    </row>
    <row r="4" ht="15.75">
      <c r="C4" s="378"/>
    </row>
    <row r="5" ht="12.75" customHeight="1"/>
    <row r="6" spans="1:2" ht="12.75" customHeight="1">
      <c r="A6" s="380"/>
      <c r="B6" s="380"/>
    </row>
    <row r="7" spans="1:2" ht="15.75">
      <c r="A7" s="392" t="s">
        <v>460</v>
      </c>
      <c r="B7" s="392"/>
    </row>
    <row r="9" ht="15.75">
      <c r="A9" s="382"/>
    </row>
    <row r="11" ht="15.75">
      <c r="B11" s="377" t="s">
        <v>748</v>
      </c>
    </row>
    <row r="12" ht="15.75">
      <c r="B12" s="377" t="s">
        <v>749</v>
      </c>
    </row>
    <row r="13" ht="15.75">
      <c r="B13" s="377" t="s">
        <v>104</v>
      </c>
    </row>
    <row r="14" ht="15.75">
      <c r="B14" s="377" t="s">
        <v>752</v>
      </c>
    </row>
    <row r="15" ht="15.75">
      <c r="B15" s="377" t="s">
        <v>810</v>
      </c>
    </row>
    <row r="16" ht="15.75">
      <c r="B16" s="377" t="s">
        <v>754</v>
      </c>
    </row>
    <row r="17" ht="15.75">
      <c r="B17" s="377" t="s">
        <v>755</v>
      </c>
    </row>
    <row r="18" ht="15.75">
      <c r="B18" s="383"/>
    </row>
    <row r="19" ht="15.75">
      <c r="B19" s="383"/>
    </row>
    <row r="20" ht="15.75">
      <c r="A20" s="382"/>
    </row>
    <row r="27" ht="15.75">
      <c r="B27" s="385" t="s">
        <v>490</v>
      </c>
    </row>
    <row r="28" ht="15.75">
      <c r="B28" s="381" t="s">
        <v>469</v>
      </c>
    </row>
    <row r="29" ht="63">
      <c r="B29" s="381" t="s">
        <v>470</v>
      </c>
    </row>
    <row r="30" ht="15.75">
      <c r="B30" s="381" t="s">
        <v>471</v>
      </c>
    </row>
    <row r="31" ht="15.75">
      <c r="B31" s="381" t="s">
        <v>472</v>
      </c>
    </row>
    <row r="32" ht="31.5">
      <c r="B32" s="381" t="s">
        <v>473</v>
      </c>
    </row>
    <row r="33" ht="15.75">
      <c r="B33" s="381" t="s">
        <v>474</v>
      </c>
    </row>
    <row r="34" ht="47.25">
      <c r="B34" s="381" t="s">
        <v>475</v>
      </c>
    </row>
    <row r="35" ht="15.75">
      <c r="B35" s="379" t="s">
        <v>489</v>
      </c>
    </row>
    <row r="36" ht="15.75">
      <c r="B36" s="381" t="s">
        <v>476</v>
      </c>
    </row>
    <row r="37" ht="31.5">
      <c r="B37" s="381" t="s">
        <v>477</v>
      </c>
    </row>
    <row r="38" ht="15.75">
      <c r="B38" s="381" t="s">
        <v>478</v>
      </c>
    </row>
    <row r="39" ht="15.75">
      <c r="B39" s="381" t="s">
        <v>479</v>
      </c>
    </row>
    <row r="40" ht="15.75">
      <c r="B40" s="381" t="s">
        <v>480</v>
      </c>
    </row>
    <row r="41" ht="31.5">
      <c r="B41" s="381" t="s">
        <v>481</v>
      </c>
    </row>
    <row r="42" ht="15.75">
      <c r="B42" s="381" t="s">
        <v>482</v>
      </c>
    </row>
    <row r="43" ht="15.75">
      <c r="B43" s="381" t="s">
        <v>483</v>
      </c>
    </row>
    <row r="44" ht="15.75">
      <c r="B44" s="381" t="s">
        <v>484</v>
      </c>
    </row>
    <row r="45" ht="15.75">
      <c r="B45" s="381" t="s">
        <v>485</v>
      </c>
    </row>
    <row r="46" ht="15.75">
      <c r="B46" s="381" t="s">
        <v>486</v>
      </c>
    </row>
    <row r="47" ht="15.75">
      <c r="B47" s="381" t="s">
        <v>487</v>
      </c>
    </row>
    <row r="48" ht="31.5">
      <c r="B48" s="381" t="s">
        <v>488</v>
      </c>
    </row>
    <row r="49" spans="2:3" ht="15.75">
      <c r="B49" s="362" t="s">
        <v>389</v>
      </c>
      <c r="C49" s="379" t="s">
        <v>496</v>
      </c>
    </row>
    <row r="50" ht="15.75">
      <c r="B50" s="362"/>
    </row>
    <row r="51" ht="15.75">
      <c r="B51" s="385" t="s">
        <v>748</v>
      </c>
    </row>
    <row r="52" spans="2:4" ht="15.75">
      <c r="B52" s="362" t="s">
        <v>388</v>
      </c>
      <c r="C52" s="379" t="s">
        <v>491</v>
      </c>
      <c r="D52" s="384" t="s">
        <v>810</v>
      </c>
    </row>
    <row r="53" ht="15.75">
      <c r="D53" s="384" t="s">
        <v>755</v>
      </c>
    </row>
    <row r="54" spans="2:4" ht="15.75">
      <c r="B54" s="362"/>
      <c r="D54" s="384" t="s">
        <v>754</v>
      </c>
    </row>
    <row r="55" spans="2:4" ht="15.75">
      <c r="B55" s="362"/>
      <c r="D55" s="384" t="s">
        <v>493</v>
      </c>
    </row>
    <row r="56" spans="3:4" ht="15.75">
      <c r="C56" s="379" t="s">
        <v>492</v>
      </c>
      <c r="D56" s="362"/>
    </row>
    <row r="57" spans="2:4" ht="15.75">
      <c r="B57" s="362" t="s">
        <v>389</v>
      </c>
      <c r="D57" s="362"/>
    </row>
    <row r="58" spans="2:4" ht="15.75">
      <c r="B58" s="362"/>
      <c r="D58" s="362"/>
    </row>
    <row r="59" ht="15.75">
      <c r="B59" s="385" t="s">
        <v>749</v>
      </c>
    </row>
    <row r="60" spans="2:3" ht="15.75">
      <c r="B60" s="362" t="s">
        <v>388</v>
      </c>
      <c r="C60" s="379" t="s">
        <v>442</v>
      </c>
    </row>
    <row r="61" spans="2:3" ht="15.75">
      <c r="B61" s="362"/>
      <c r="C61" s="379" t="s">
        <v>495</v>
      </c>
    </row>
    <row r="62" spans="2:3" ht="15.75">
      <c r="B62" s="362" t="s">
        <v>389</v>
      </c>
      <c r="C62" s="379" t="s">
        <v>494</v>
      </c>
    </row>
    <row r="63" spans="2:3" ht="15.75">
      <c r="B63" s="362"/>
      <c r="C63" s="379" t="s">
        <v>496</v>
      </c>
    </row>
    <row r="64" ht="15.75">
      <c r="B64" s="362"/>
    </row>
    <row r="65" ht="15.75">
      <c r="B65" s="385" t="s">
        <v>751</v>
      </c>
    </row>
    <row r="66" spans="2:3" ht="15.75">
      <c r="B66" s="362" t="s">
        <v>388</v>
      </c>
      <c r="C66" s="379" t="s">
        <v>503</v>
      </c>
    </row>
    <row r="67" spans="2:3" ht="15.75">
      <c r="B67" s="362" t="s">
        <v>389</v>
      </c>
      <c r="C67" s="379" t="s">
        <v>505</v>
      </c>
    </row>
    <row r="68" spans="2:3" ht="15.75">
      <c r="B68" s="362"/>
      <c r="C68" s="379" t="s">
        <v>506</v>
      </c>
    </row>
    <row r="69" spans="2:3" ht="15.75">
      <c r="B69" s="362"/>
      <c r="C69" s="379" t="s">
        <v>504</v>
      </c>
    </row>
    <row r="70" spans="2:3" ht="15.75">
      <c r="B70" s="362"/>
      <c r="C70" s="379" t="s">
        <v>507</v>
      </c>
    </row>
    <row r="71" ht="15.75">
      <c r="B71" s="362"/>
    </row>
    <row r="72" ht="15.75">
      <c r="B72" s="385" t="s">
        <v>752</v>
      </c>
    </row>
    <row r="73" spans="2:3" ht="15.75">
      <c r="B73" s="362" t="s">
        <v>388</v>
      </c>
      <c r="C73" s="379" t="s">
        <v>509</v>
      </c>
    </row>
    <row r="74" spans="2:3" ht="15.75">
      <c r="B74" s="362"/>
      <c r="C74" s="379" t="s">
        <v>510</v>
      </c>
    </row>
    <row r="75" spans="2:3" ht="15.75">
      <c r="B75" s="362"/>
      <c r="C75" s="379" t="s">
        <v>511</v>
      </c>
    </row>
    <row r="76" spans="2:3" ht="15.75">
      <c r="B76" s="362"/>
      <c r="C76" s="379" t="s">
        <v>381</v>
      </c>
    </row>
    <row r="77" spans="2:3" ht="15.75">
      <c r="B77" s="362" t="s">
        <v>389</v>
      </c>
      <c r="C77" s="379" t="s">
        <v>508</v>
      </c>
    </row>
    <row r="78" ht="15.75">
      <c r="B78" s="362"/>
    </row>
    <row r="79" ht="15.75">
      <c r="B79" s="385" t="s">
        <v>810</v>
      </c>
    </row>
    <row r="80" spans="2:3" ht="15.75">
      <c r="B80" s="362" t="s">
        <v>388</v>
      </c>
      <c r="C80" s="379" t="s">
        <v>502</v>
      </c>
    </row>
    <row r="81" spans="2:3" ht="15.75">
      <c r="B81" s="362"/>
      <c r="C81" s="379" t="s">
        <v>501</v>
      </c>
    </row>
    <row r="82" ht="15.75">
      <c r="B82" s="362" t="s">
        <v>389</v>
      </c>
    </row>
    <row r="83" ht="15.75">
      <c r="B83" s="362"/>
    </row>
    <row r="84" ht="15.75">
      <c r="B84" s="385" t="s">
        <v>754</v>
      </c>
    </row>
    <row r="85" spans="2:3" ht="15.75">
      <c r="B85" s="362" t="s">
        <v>388</v>
      </c>
      <c r="C85" s="379" t="s">
        <v>497</v>
      </c>
    </row>
    <row r="86" ht="15.75">
      <c r="B86" s="362" t="s">
        <v>389</v>
      </c>
    </row>
    <row r="87" ht="15.75">
      <c r="B87" s="362"/>
    </row>
    <row r="88" ht="15.75">
      <c r="B88" s="385" t="s">
        <v>755</v>
      </c>
    </row>
    <row r="89" spans="2:3" ht="15.75">
      <c r="B89" s="362" t="s">
        <v>388</v>
      </c>
      <c r="C89" s="379" t="s">
        <v>500</v>
      </c>
    </row>
    <row r="90" spans="2:3" ht="15.75">
      <c r="B90" s="362" t="s">
        <v>389</v>
      </c>
      <c r="C90" s="386" t="s">
        <v>498</v>
      </c>
    </row>
    <row r="91" ht="15.75">
      <c r="C91" s="386" t="s">
        <v>499</v>
      </c>
    </row>
  </sheetData>
  <sheetProtection selectLockedCells="1" selectUnlockedCells="1"/>
  <mergeCells count="2">
    <mergeCell ref="A7:B7"/>
    <mergeCell ref="A3:B3"/>
  </mergeCells>
  <printOptions horizontalCentered="1"/>
  <pageMargins left="0.7874015748031497" right="0.7874015748031497" top="0.984251968503937" bottom="0.8267716535433072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Y252"/>
  <sheetViews>
    <sheetView view="pageBreakPreview" zoomScaleSheetLayoutView="100" workbookViewId="0" topLeftCell="A1">
      <selection activeCell="F2" sqref="F2"/>
    </sheetView>
  </sheetViews>
  <sheetFormatPr defaultColWidth="9.140625" defaultRowHeight="15"/>
  <cols>
    <col min="1" max="1" width="9.140625" style="103" customWidth="1"/>
    <col min="2" max="2" width="74.7109375" style="103" customWidth="1"/>
    <col min="3" max="3" width="11.57421875" style="103" customWidth="1"/>
    <col min="4" max="4" width="11.8515625" style="103" customWidth="1"/>
    <col min="5" max="5" width="13.00390625" style="103" customWidth="1"/>
    <col min="6" max="6" width="12.7109375" style="110" customWidth="1"/>
    <col min="7" max="16384" width="9.140625" style="103" customWidth="1"/>
  </cols>
  <sheetData>
    <row r="1" s="4" customFormat="1" ht="15.75">
      <c r="F1" s="71" t="s">
        <v>24</v>
      </c>
    </row>
    <row r="2" spans="2:6" s="4" customFormat="1" ht="20.25">
      <c r="B2" s="68" t="s">
        <v>652</v>
      </c>
      <c r="F2" s="144" t="s">
        <v>68</v>
      </c>
    </row>
    <row r="3" spans="2:6" s="4" customFormat="1" ht="15.75">
      <c r="B3" s="85" t="s">
        <v>772</v>
      </c>
      <c r="C3" s="101"/>
      <c r="D3" s="101"/>
      <c r="E3" s="101"/>
      <c r="F3" s="98"/>
    </row>
    <row r="4" spans="2:6" s="4" customFormat="1" ht="15.75">
      <c r="B4" s="84" t="s">
        <v>390</v>
      </c>
      <c r="C4" s="97"/>
      <c r="D4" s="97"/>
      <c r="E4" s="97"/>
      <c r="F4" s="85"/>
    </row>
    <row r="5" spans="2:6" ht="15.75">
      <c r="B5" s="102"/>
      <c r="F5" s="103"/>
    </row>
    <row r="6" spans="2:6" ht="31.5">
      <c r="B6" s="72" t="s">
        <v>76</v>
      </c>
      <c r="C6" s="79" t="s">
        <v>77</v>
      </c>
      <c r="D6" s="104" t="s">
        <v>769</v>
      </c>
      <c r="E6" s="104" t="s">
        <v>770</v>
      </c>
      <c r="F6" s="105" t="s">
        <v>28</v>
      </c>
    </row>
    <row r="7" spans="2:6" ht="15.75">
      <c r="B7" s="106" t="s">
        <v>328</v>
      </c>
      <c r="C7" s="107" t="s">
        <v>112</v>
      </c>
      <c r="D7" s="92">
        <v>193801</v>
      </c>
      <c r="E7" s="92">
        <f>111236+2360</f>
        <v>113596</v>
      </c>
      <c r="F7" s="93">
        <f>+D7+E7</f>
        <v>307397</v>
      </c>
    </row>
    <row r="8" spans="2:6" ht="15.75">
      <c r="B8" s="82" t="s">
        <v>329</v>
      </c>
      <c r="C8" s="107" t="s">
        <v>113</v>
      </c>
      <c r="D8" s="92">
        <v>2542</v>
      </c>
      <c r="E8" s="92"/>
      <c r="F8" s="93">
        <f>+D8+E8</f>
        <v>2542</v>
      </c>
    </row>
    <row r="9" spans="2:6" ht="15.75">
      <c r="B9" s="108" t="s">
        <v>526</v>
      </c>
      <c r="C9" s="109" t="s">
        <v>114</v>
      </c>
      <c r="D9" s="93">
        <f>SUM(D7:D8)</f>
        <v>196343</v>
      </c>
      <c r="E9" s="93">
        <f>SUM(E7:E8)</f>
        <v>113596</v>
      </c>
      <c r="F9" s="93">
        <f>SUM(F7:F8)</f>
        <v>309939</v>
      </c>
    </row>
    <row r="10" spans="2:6" ht="15.75">
      <c r="B10" s="90" t="s">
        <v>553</v>
      </c>
      <c r="C10" s="109" t="s">
        <v>115</v>
      </c>
      <c r="D10" s="92">
        <v>43658</v>
      </c>
      <c r="E10" s="92">
        <f>20314+637</f>
        <v>20951</v>
      </c>
      <c r="F10" s="93">
        <f aca="true" t="shared" si="0" ref="F10:F15">+D10+E10</f>
        <v>64609</v>
      </c>
    </row>
    <row r="11" spans="2:6" ht="15.75">
      <c r="B11" s="82" t="s">
        <v>330</v>
      </c>
      <c r="C11" s="107" t="s">
        <v>116</v>
      </c>
      <c r="D11" s="92">
        <v>40457</v>
      </c>
      <c r="E11" s="92">
        <v>12643</v>
      </c>
      <c r="F11" s="93">
        <f t="shared" si="0"/>
        <v>53100</v>
      </c>
    </row>
    <row r="12" spans="2:6" ht="15.75">
      <c r="B12" s="82" t="s">
        <v>561</v>
      </c>
      <c r="C12" s="107" t="s">
        <v>117</v>
      </c>
      <c r="D12" s="92">
        <v>1845</v>
      </c>
      <c r="E12" s="92">
        <v>835</v>
      </c>
      <c r="F12" s="93">
        <f t="shared" si="0"/>
        <v>2680</v>
      </c>
    </row>
    <row r="13" spans="2:6" ht="15.75">
      <c r="B13" s="82" t="s">
        <v>331</v>
      </c>
      <c r="C13" s="107" t="s">
        <v>118</v>
      </c>
      <c r="D13" s="92">
        <v>22210</v>
      </c>
      <c r="E13" s="92">
        <v>47236</v>
      </c>
      <c r="F13" s="93">
        <f t="shared" si="0"/>
        <v>69446</v>
      </c>
    </row>
    <row r="14" spans="2:6" ht="15.75">
      <c r="B14" s="82" t="s">
        <v>332</v>
      </c>
      <c r="C14" s="107" t="s">
        <v>119</v>
      </c>
      <c r="D14" s="92">
        <v>200</v>
      </c>
      <c r="E14" s="92">
        <v>850</v>
      </c>
      <c r="F14" s="93">
        <f t="shared" si="0"/>
        <v>1050</v>
      </c>
    </row>
    <row r="15" spans="2:6" ht="15.75">
      <c r="B15" s="82" t="s">
        <v>333</v>
      </c>
      <c r="C15" s="107" t="s">
        <v>120</v>
      </c>
      <c r="D15" s="92">
        <v>16722</v>
      </c>
      <c r="E15" s="92">
        <v>42703</v>
      </c>
      <c r="F15" s="93">
        <f t="shared" si="0"/>
        <v>59425</v>
      </c>
    </row>
    <row r="16" spans="2:6" ht="15.75">
      <c r="B16" s="90" t="s">
        <v>525</v>
      </c>
      <c r="C16" s="109" t="s">
        <v>121</v>
      </c>
      <c r="D16" s="93">
        <f>SUM(D11:D15)</f>
        <v>81434</v>
      </c>
      <c r="E16" s="93">
        <f>SUM(E11:E15)</f>
        <v>104267</v>
      </c>
      <c r="F16" s="93">
        <f>SUM(F11:F15)</f>
        <v>185701</v>
      </c>
    </row>
    <row r="17" spans="2:6" ht="15.75">
      <c r="B17" s="78" t="s">
        <v>398</v>
      </c>
      <c r="C17" s="109" t="s">
        <v>128</v>
      </c>
      <c r="D17" s="92"/>
      <c r="E17" s="92"/>
      <c r="F17" s="93">
        <f aca="true" t="shared" si="1" ref="F17:F30">+D17+E17</f>
        <v>0</v>
      </c>
    </row>
    <row r="18" spans="2:6" ht="15.75">
      <c r="B18" s="88" t="s">
        <v>554</v>
      </c>
      <c r="C18" s="107" t="s">
        <v>129</v>
      </c>
      <c r="D18" s="92"/>
      <c r="E18" s="92"/>
      <c r="F18" s="93">
        <f t="shared" si="1"/>
        <v>0</v>
      </c>
    </row>
    <row r="19" spans="2:6" ht="15.75">
      <c r="B19" s="88" t="s">
        <v>130</v>
      </c>
      <c r="C19" s="107" t="s">
        <v>131</v>
      </c>
      <c r="D19" s="92">
        <v>4400</v>
      </c>
      <c r="E19" s="92">
        <v>2468</v>
      </c>
      <c r="F19" s="93">
        <f t="shared" si="1"/>
        <v>6868</v>
      </c>
    </row>
    <row r="20" spans="2:6" ht="15.75">
      <c r="B20" s="88" t="s">
        <v>803</v>
      </c>
      <c r="C20" s="107" t="s">
        <v>132</v>
      </c>
      <c r="D20" s="92"/>
      <c r="E20" s="92"/>
      <c r="F20" s="93">
        <f t="shared" si="1"/>
        <v>0</v>
      </c>
    </row>
    <row r="21" spans="2:6" ht="15.75">
      <c r="B21" s="88" t="s">
        <v>802</v>
      </c>
      <c r="C21" s="107" t="s">
        <v>133</v>
      </c>
      <c r="D21" s="92"/>
      <c r="E21" s="92"/>
      <c r="F21" s="93">
        <f t="shared" si="1"/>
        <v>0</v>
      </c>
    </row>
    <row r="22" spans="2:6" ht="15.75">
      <c r="B22" s="88" t="s">
        <v>801</v>
      </c>
      <c r="C22" s="107" t="s">
        <v>134</v>
      </c>
      <c r="D22" s="92"/>
      <c r="E22" s="92"/>
      <c r="F22" s="93">
        <f t="shared" si="1"/>
        <v>0</v>
      </c>
    </row>
    <row r="23" spans="2:6" ht="15.75">
      <c r="B23" s="88" t="s">
        <v>804</v>
      </c>
      <c r="C23" s="107" t="s">
        <v>135</v>
      </c>
      <c r="D23" s="92">
        <v>1100</v>
      </c>
      <c r="E23" s="92"/>
      <c r="F23" s="93">
        <f t="shared" si="1"/>
        <v>1100</v>
      </c>
    </row>
    <row r="24" spans="2:6" ht="15.75">
      <c r="B24" s="88" t="s">
        <v>799</v>
      </c>
      <c r="C24" s="107" t="s">
        <v>136</v>
      </c>
      <c r="D24" s="92"/>
      <c r="E24" s="92"/>
      <c r="F24" s="93">
        <f t="shared" si="1"/>
        <v>0</v>
      </c>
    </row>
    <row r="25" spans="2:6" ht="15.75">
      <c r="B25" s="88" t="s">
        <v>798</v>
      </c>
      <c r="C25" s="107" t="s">
        <v>137</v>
      </c>
      <c r="D25" s="92"/>
      <c r="E25" s="92"/>
      <c r="F25" s="93">
        <f t="shared" si="1"/>
        <v>0</v>
      </c>
    </row>
    <row r="26" spans="2:6" ht="15.75">
      <c r="B26" s="88" t="s">
        <v>138</v>
      </c>
      <c r="C26" s="107" t="s">
        <v>139</v>
      </c>
      <c r="D26" s="92"/>
      <c r="E26" s="92"/>
      <c r="F26" s="93">
        <f t="shared" si="1"/>
        <v>0</v>
      </c>
    </row>
    <row r="27" spans="2:6" ht="15.75">
      <c r="B27" s="87" t="s">
        <v>140</v>
      </c>
      <c r="C27" s="107" t="s">
        <v>141</v>
      </c>
      <c r="D27" s="92"/>
      <c r="E27" s="92"/>
      <c r="F27" s="93">
        <f t="shared" si="1"/>
        <v>0</v>
      </c>
    </row>
    <row r="28" spans="2:6" ht="15.75">
      <c r="B28" s="88" t="s">
        <v>555</v>
      </c>
      <c r="C28" s="107" t="s">
        <v>142</v>
      </c>
      <c r="D28" s="92"/>
      <c r="E28" s="92"/>
      <c r="F28" s="93">
        <f t="shared" si="1"/>
        <v>0</v>
      </c>
    </row>
    <row r="29" spans="2:6" ht="15.75">
      <c r="B29" s="87" t="s">
        <v>790</v>
      </c>
      <c r="C29" s="107" t="s">
        <v>143</v>
      </c>
      <c r="D29" s="92"/>
      <c r="E29" s="92"/>
      <c r="F29" s="93">
        <f t="shared" si="1"/>
        <v>0</v>
      </c>
    </row>
    <row r="30" spans="2:6" ht="15.75">
      <c r="B30" s="87" t="s">
        <v>791</v>
      </c>
      <c r="C30" s="107" t="s">
        <v>143</v>
      </c>
      <c r="D30" s="92"/>
      <c r="E30" s="92"/>
      <c r="F30" s="93">
        <f t="shared" si="1"/>
        <v>0</v>
      </c>
    </row>
    <row r="31" spans="2:6" s="110" customFormat="1" ht="15.75">
      <c r="B31" s="78" t="s">
        <v>524</v>
      </c>
      <c r="C31" s="109" t="s">
        <v>144</v>
      </c>
      <c r="D31" s="93">
        <f>SUM(D18:D30)</f>
        <v>5500</v>
      </c>
      <c r="E31" s="93">
        <f>SUM(E18:E30)</f>
        <v>2468</v>
      </c>
      <c r="F31" s="93">
        <f>SUM(F18:F30)</f>
        <v>7968</v>
      </c>
    </row>
    <row r="32" spans="2:6" ht="15.75">
      <c r="B32" s="111" t="s">
        <v>523</v>
      </c>
      <c r="C32" s="112" t="s">
        <v>673</v>
      </c>
      <c r="D32" s="113">
        <f>+D31+D17+D16+D10+D9</f>
        <v>326935</v>
      </c>
      <c r="E32" s="113">
        <f>+E31+E17+E16+E10+E9</f>
        <v>241282</v>
      </c>
      <c r="F32" s="113">
        <f>+F31+F17+F16+F10+F9</f>
        <v>568217</v>
      </c>
    </row>
    <row r="33" spans="2:9" ht="15.75">
      <c r="B33" s="114" t="s">
        <v>145</v>
      </c>
      <c r="C33" s="107" t="s">
        <v>146</v>
      </c>
      <c r="D33" s="92"/>
      <c r="E33" s="92"/>
      <c r="F33" s="93">
        <f aca="true" t="shared" si="2" ref="F33:F39">+D33+E33</f>
        <v>0</v>
      </c>
      <c r="I33" s="115"/>
    </row>
    <row r="34" spans="2:6" ht="15.75">
      <c r="B34" s="114" t="s">
        <v>556</v>
      </c>
      <c r="C34" s="107" t="s">
        <v>147</v>
      </c>
      <c r="D34" s="92"/>
      <c r="E34" s="92"/>
      <c r="F34" s="93">
        <f t="shared" si="2"/>
        <v>0</v>
      </c>
    </row>
    <row r="35" spans="2:6" ht="15.75">
      <c r="B35" s="114" t="s">
        <v>148</v>
      </c>
      <c r="C35" s="107" t="s">
        <v>149</v>
      </c>
      <c r="D35" s="92"/>
      <c r="E35" s="92"/>
      <c r="F35" s="93">
        <f t="shared" si="2"/>
        <v>0</v>
      </c>
    </row>
    <row r="36" spans="2:6" ht="15.75">
      <c r="B36" s="114" t="s">
        <v>150</v>
      </c>
      <c r="C36" s="107" t="s">
        <v>151</v>
      </c>
      <c r="D36" s="92">
        <v>9000</v>
      </c>
      <c r="E36" s="92"/>
      <c r="F36" s="93">
        <f t="shared" si="2"/>
        <v>9000</v>
      </c>
    </row>
    <row r="37" spans="2:6" ht="15.75">
      <c r="B37" s="81" t="s">
        <v>152</v>
      </c>
      <c r="C37" s="107" t="s">
        <v>153</v>
      </c>
      <c r="D37" s="92"/>
      <c r="E37" s="92"/>
      <c r="F37" s="93">
        <f t="shared" si="2"/>
        <v>0</v>
      </c>
    </row>
    <row r="38" spans="2:6" ht="15.75">
      <c r="B38" s="81" t="s">
        <v>154</v>
      </c>
      <c r="C38" s="107" t="s">
        <v>155</v>
      </c>
      <c r="D38" s="92"/>
      <c r="E38" s="92"/>
      <c r="F38" s="93">
        <f t="shared" si="2"/>
        <v>0</v>
      </c>
    </row>
    <row r="39" spans="2:6" ht="15.75">
      <c r="B39" s="81" t="s">
        <v>156</v>
      </c>
      <c r="C39" s="107" t="s">
        <v>157</v>
      </c>
      <c r="D39" s="92"/>
      <c r="E39" s="92"/>
      <c r="F39" s="93">
        <f t="shared" si="2"/>
        <v>0</v>
      </c>
    </row>
    <row r="40" spans="2:6" s="110" customFormat="1" ht="15.75">
      <c r="B40" s="83" t="s">
        <v>522</v>
      </c>
      <c r="C40" s="109" t="s">
        <v>158</v>
      </c>
      <c r="D40" s="93">
        <f>SUM(D33:D39)</f>
        <v>9000</v>
      </c>
      <c r="E40" s="93">
        <f>SUM(E33:E39)</f>
        <v>0</v>
      </c>
      <c r="F40" s="93">
        <f>SUM(F33:F39)</f>
        <v>9000</v>
      </c>
    </row>
    <row r="41" spans="2:6" ht="15.75">
      <c r="B41" s="80" t="s">
        <v>159</v>
      </c>
      <c r="C41" s="107" t="s">
        <v>160</v>
      </c>
      <c r="D41" s="92">
        <v>250</v>
      </c>
      <c r="E41" s="92">
        <v>6600</v>
      </c>
      <c r="F41" s="93">
        <f>+D41+E41</f>
        <v>6850</v>
      </c>
    </row>
    <row r="42" spans="2:6" ht="15.75">
      <c r="B42" s="80" t="s">
        <v>161</v>
      </c>
      <c r="C42" s="107" t="s">
        <v>162</v>
      </c>
      <c r="D42" s="92"/>
      <c r="E42" s="92"/>
      <c r="F42" s="93">
        <f>+D42+E42</f>
        <v>0</v>
      </c>
    </row>
    <row r="43" spans="2:6" ht="15.75">
      <c r="B43" s="80" t="s">
        <v>163</v>
      </c>
      <c r="C43" s="107" t="s">
        <v>164</v>
      </c>
      <c r="D43" s="92"/>
      <c r="E43" s="92"/>
      <c r="F43" s="93">
        <f>+D43+E43</f>
        <v>0</v>
      </c>
    </row>
    <row r="44" spans="2:6" ht="15.75">
      <c r="B44" s="80" t="s">
        <v>165</v>
      </c>
      <c r="C44" s="107" t="s">
        <v>166</v>
      </c>
      <c r="D44" s="92"/>
      <c r="E44" s="92"/>
      <c r="F44" s="93">
        <f>+D44+E44</f>
        <v>0</v>
      </c>
    </row>
    <row r="45" spans="2:6" s="110" customFormat="1" ht="15.75">
      <c r="B45" s="90" t="s">
        <v>521</v>
      </c>
      <c r="C45" s="109" t="s">
        <v>167</v>
      </c>
      <c r="D45" s="93">
        <f>SUM(D41:D44)</f>
        <v>250</v>
      </c>
      <c r="E45" s="93">
        <f>SUM(E41:E44)</f>
        <v>6600</v>
      </c>
      <c r="F45" s="93">
        <f>SUM(F41:F44)</f>
        <v>6850</v>
      </c>
    </row>
    <row r="46" spans="2:6" ht="15.75">
      <c r="B46" s="80" t="s">
        <v>793</v>
      </c>
      <c r="C46" s="107" t="s">
        <v>168</v>
      </c>
      <c r="D46" s="92"/>
      <c r="E46" s="92"/>
      <c r="F46" s="93">
        <f aca="true" t="shared" si="3" ref="F46:F53">+D46+E46</f>
        <v>0</v>
      </c>
    </row>
    <row r="47" spans="2:6" ht="15.75">
      <c r="B47" s="80" t="s">
        <v>794</v>
      </c>
      <c r="C47" s="107" t="s">
        <v>169</v>
      </c>
      <c r="D47" s="92"/>
      <c r="E47" s="92"/>
      <c r="F47" s="93">
        <f t="shared" si="3"/>
        <v>0</v>
      </c>
    </row>
    <row r="48" spans="2:6" ht="15.75">
      <c r="B48" s="80" t="s">
        <v>795</v>
      </c>
      <c r="C48" s="107" t="s">
        <v>170</v>
      </c>
      <c r="D48" s="92"/>
      <c r="E48" s="92"/>
      <c r="F48" s="93">
        <f t="shared" si="3"/>
        <v>0</v>
      </c>
    </row>
    <row r="49" spans="2:6" ht="15.75">
      <c r="B49" s="80" t="s">
        <v>805</v>
      </c>
      <c r="C49" s="107" t="s">
        <v>171</v>
      </c>
      <c r="D49" s="92"/>
      <c r="E49" s="92"/>
      <c r="F49" s="93">
        <f t="shared" si="3"/>
        <v>0</v>
      </c>
    </row>
    <row r="50" spans="2:6" ht="15.75">
      <c r="B50" s="80" t="s">
        <v>796</v>
      </c>
      <c r="C50" s="107" t="s">
        <v>172</v>
      </c>
      <c r="D50" s="92"/>
      <c r="E50" s="92"/>
      <c r="F50" s="93">
        <f t="shared" si="3"/>
        <v>0</v>
      </c>
    </row>
    <row r="51" spans="2:6" ht="15.75">
      <c r="B51" s="80" t="s">
        <v>797</v>
      </c>
      <c r="C51" s="107" t="s">
        <v>173</v>
      </c>
      <c r="D51" s="92"/>
      <c r="E51" s="92"/>
      <c r="F51" s="93">
        <f t="shared" si="3"/>
        <v>0</v>
      </c>
    </row>
    <row r="52" spans="2:6" ht="15.75">
      <c r="B52" s="80" t="s">
        <v>174</v>
      </c>
      <c r="C52" s="107" t="s">
        <v>175</v>
      </c>
      <c r="D52" s="92"/>
      <c r="E52" s="92"/>
      <c r="F52" s="93">
        <f t="shared" si="3"/>
        <v>0</v>
      </c>
    </row>
    <row r="53" spans="2:6" ht="15.75">
      <c r="B53" s="80" t="s">
        <v>557</v>
      </c>
      <c r="C53" s="107" t="s">
        <v>176</v>
      </c>
      <c r="D53" s="92"/>
      <c r="E53" s="92"/>
      <c r="F53" s="93">
        <f t="shared" si="3"/>
        <v>0</v>
      </c>
    </row>
    <row r="54" spans="2:6" s="110" customFormat="1" ht="15.75">
      <c r="B54" s="78" t="s">
        <v>520</v>
      </c>
      <c r="C54" s="109" t="s">
        <v>177</v>
      </c>
      <c r="D54" s="93">
        <f>SUM(D46:D53)</f>
        <v>0</v>
      </c>
      <c r="E54" s="93">
        <f>SUM(E46:E53)</f>
        <v>0</v>
      </c>
      <c r="F54" s="93">
        <f>SUM(F46:F53)</f>
        <v>0</v>
      </c>
    </row>
    <row r="55" spans="2:6" ht="15.75">
      <c r="B55" s="111" t="s">
        <v>519</v>
      </c>
      <c r="C55" s="112" t="s">
        <v>674</v>
      </c>
      <c r="D55" s="113">
        <f>+D54+D45+D40</f>
        <v>9250</v>
      </c>
      <c r="E55" s="113">
        <f>+E54+E45+E40</f>
        <v>6600</v>
      </c>
      <c r="F55" s="113">
        <f>+F54+F45+F40</f>
        <v>15850</v>
      </c>
    </row>
    <row r="56" spans="2:6" ht="15.75">
      <c r="B56" s="116" t="s">
        <v>518</v>
      </c>
      <c r="C56" s="117" t="s">
        <v>675</v>
      </c>
      <c r="D56" s="118">
        <f>+D54+D45+D40+D31+D17+D16+D10+D9</f>
        <v>336185</v>
      </c>
      <c r="E56" s="118">
        <f>+E54+E45+E40+E31+E17+E16+E10+E9</f>
        <v>247882</v>
      </c>
      <c r="F56" s="118">
        <f>+F54+F45+F40+F31+F17+F16+F10+F9</f>
        <v>584067</v>
      </c>
    </row>
    <row r="57" spans="2:25" ht="15.75">
      <c r="B57" s="125" t="s">
        <v>542</v>
      </c>
      <c r="C57" s="90" t="s">
        <v>204</v>
      </c>
      <c r="D57" s="188"/>
      <c r="E57" s="188"/>
      <c r="F57" s="93">
        <f>+D57+E57</f>
        <v>0</v>
      </c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0"/>
      <c r="Y57" s="120"/>
    </row>
    <row r="58" spans="2:25" ht="15.75">
      <c r="B58" s="125" t="s">
        <v>547</v>
      </c>
      <c r="C58" s="90" t="s">
        <v>214</v>
      </c>
      <c r="D58" s="188"/>
      <c r="E58" s="188"/>
      <c r="F58" s="93">
        <f>+D58+E58</f>
        <v>0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0"/>
      <c r="Y58" s="120"/>
    </row>
    <row r="59" spans="2:25" ht="15.75">
      <c r="B59" s="80" t="s">
        <v>215</v>
      </c>
      <c r="C59" s="82" t="s">
        <v>216</v>
      </c>
      <c r="D59" s="188"/>
      <c r="E59" s="188"/>
      <c r="F59" s="93">
        <f>+D59+E59</f>
        <v>0</v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20"/>
      <c r="Y59" s="120"/>
    </row>
    <row r="60" spans="2:25" ht="15.75">
      <c r="B60" s="128" t="s">
        <v>517</v>
      </c>
      <c r="C60" s="129" t="s">
        <v>217</v>
      </c>
      <c r="D60" s="130">
        <f>+D59+D58+D57</f>
        <v>0</v>
      </c>
      <c r="E60" s="130">
        <f>+E59+E58+E57</f>
        <v>0</v>
      </c>
      <c r="F60" s="130">
        <f>+F59+F58+F57</f>
        <v>0</v>
      </c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0"/>
      <c r="Y60" s="120"/>
    </row>
    <row r="61" spans="2:25" ht="15.75">
      <c r="B61" s="75" t="s">
        <v>771</v>
      </c>
      <c r="C61" s="75" t="s">
        <v>671</v>
      </c>
      <c r="D61" s="131">
        <f>+D56+D60</f>
        <v>336185</v>
      </c>
      <c r="E61" s="131">
        <f>+E56+E60</f>
        <v>247882</v>
      </c>
      <c r="F61" s="131">
        <f>+F56+F60</f>
        <v>584067</v>
      </c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</row>
    <row r="62" spans="2:25" ht="15.75">
      <c r="B62" s="4"/>
      <c r="C62" s="132"/>
      <c r="D62" s="133"/>
      <c r="E62" s="133"/>
      <c r="F62" s="134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</row>
    <row r="63" spans="2:25" ht="15.75">
      <c r="B63" s="4"/>
      <c r="C63" s="132"/>
      <c r="D63" s="133"/>
      <c r="E63" s="133"/>
      <c r="F63" s="134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</row>
    <row r="64" spans="2:25" ht="31.5">
      <c r="B64" s="72" t="s">
        <v>76</v>
      </c>
      <c r="C64" s="79" t="s">
        <v>31</v>
      </c>
      <c r="D64" s="135" t="s">
        <v>769</v>
      </c>
      <c r="E64" s="135" t="s">
        <v>770</v>
      </c>
      <c r="F64" s="136" t="s">
        <v>28</v>
      </c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</row>
    <row r="65" spans="2:25" ht="15.75">
      <c r="B65" s="90" t="s">
        <v>620</v>
      </c>
      <c r="C65" s="83" t="s">
        <v>230</v>
      </c>
      <c r="D65" s="93"/>
      <c r="E65" s="93"/>
      <c r="F65" s="93">
        <f aca="true" t="shared" si="4" ref="F65:F70">+E65+D65</f>
        <v>0</v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</row>
    <row r="66" spans="2:25" ht="15.75">
      <c r="B66" s="82" t="s">
        <v>231</v>
      </c>
      <c r="C66" s="81" t="s">
        <v>232</v>
      </c>
      <c r="D66" s="93"/>
      <c r="E66" s="93"/>
      <c r="F66" s="93">
        <f t="shared" si="4"/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</row>
    <row r="67" spans="2:25" ht="15.75">
      <c r="B67" s="82" t="s">
        <v>768</v>
      </c>
      <c r="C67" s="81" t="s">
        <v>233</v>
      </c>
      <c r="D67" s="93"/>
      <c r="E67" s="93"/>
      <c r="F67" s="93">
        <f t="shared" si="4"/>
        <v>0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</row>
    <row r="68" spans="2:25" ht="15.75">
      <c r="B68" s="82" t="s">
        <v>766</v>
      </c>
      <c r="C68" s="81" t="s">
        <v>234</v>
      </c>
      <c r="D68" s="93"/>
      <c r="E68" s="93"/>
      <c r="F68" s="93">
        <f t="shared" si="4"/>
        <v>0</v>
      </c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</row>
    <row r="69" spans="2:25" ht="15.75">
      <c r="B69" s="82" t="s">
        <v>767</v>
      </c>
      <c r="C69" s="81" t="s">
        <v>235</v>
      </c>
      <c r="D69" s="93"/>
      <c r="E69" s="93"/>
      <c r="F69" s="93">
        <f t="shared" si="4"/>
        <v>0</v>
      </c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</row>
    <row r="70" spans="2:25" ht="15.75">
      <c r="B70" s="82" t="s">
        <v>572</v>
      </c>
      <c r="C70" s="81" t="s">
        <v>236</v>
      </c>
      <c r="D70" s="92">
        <v>219542</v>
      </c>
      <c r="E70" s="92">
        <v>14329</v>
      </c>
      <c r="F70" s="93">
        <f t="shared" si="4"/>
        <v>233871</v>
      </c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</row>
    <row r="71" spans="2:25" ht="15.75">
      <c r="B71" s="90" t="s">
        <v>527</v>
      </c>
      <c r="C71" s="83" t="s">
        <v>237</v>
      </c>
      <c r="D71" s="93">
        <f>+D70+D69+D68+D67+D66+D65</f>
        <v>219542</v>
      </c>
      <c r="E71" s="93">
        <f>+E70+E69+E68+E67+E66+E65</f>
        <v>14329</v>
      </c>
      <c r="F71" s="93">
        <f>+F70+F69+F68+F67+F66+F65</f>
        <v>233871</v>
      </c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</row>
    <row r="72" spans="2:25" ht="15.75">
      <c r="B72" s="90" t="s">
        <v>622</v>
      </c>
      <c r="C72" s="83" t="s">
        <v>242</v>
      </c>
      <c r="D72" s="92"/>
      <c r="E72" s="92"/>
      <c r="F72" s="93">
        <f aca="true" t="shared" si="5" ref="F72:F78">+E72+D72</f>
        <v>0</v>
      </c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</row>
    <row r="73" spans="2:25" ht="15.75">
      <c r="B73" s="82" t="s">
        <v>623</v>
      </c>
      <c r="C73" s="81" t="s">
        <v>243</v>
      </c>
      <c r="D73" s="92"/>
      <c r="E73" s="92"/>
      <c r="F73" s="93">
        <f t="shared" si="5"/>
        <v>0</v>
      </c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</row>
    <row r="74" spans="2:25" ht="15.75">
      <c r="B74" s="82" t="s">
        <v>573</v>
      </c>
      <c r="C74" s="81" t="s">
        <v>244</v>
      </c>
      <c r="D74" s="92"/>
      <c r="E74" s="92"/>
      <c r="F74" s="93">
        <f t="shared" si="5"/>
        <v>0</v>
      </c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</row>
    <row r="75" spans="2:25" ht="15.75">
      <c r="B75" s="82" t="s">
        <v>574</v>
      </c>
      <c r="C75" s="81" t="s">
        <v>245</v>
      </c>
      <c r="D75" s="92"/>
      <c r="E75" s="92"/>
      <c r="F75" s="93">
        <f t="shared" si="5"/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</row>
    <row r="76" spans="2:25" ht="15.75">
      <c r="B76" s="82" t="s">
        <v>575</v>
      </c>
      <c r="C76" s="81" t="s">
        <v>246</v>
      </c>
      <c r="D76" s="92"/>
      <c r="E76" s="92"/>
      <c r="F76" s="93">
        <f t="shared" si="5"/>
        <v>0</v>
      </c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2:25" ht="15.75">
      <c r="B77" s="82" t="s">
        <v>624</v>
      </c>
      <c r="C77" s="81" t="s">
        <v>258</v>
      </c>
      <c r="D77" s="92"/>
      <c r="E77" s="92"/>
      <c r="F77" s="93">
        <f t="shared" si="5"/>
        <v>0</v>
      </c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2:25" ht="15.75">
      <c r="B78" s="82" t="s">
        <v>578</v>
      </c>
      <c r="C78" s="81" t="s">
        <v>259</v>
      </c>
      <c r="D78" s="92"/>
      <c r="E78" s="92"/>
      <c r="F78" s="93">
        <f t="shared" si="5"/>
        <v>0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2:25" ht="15.75">
      <c r="B79" s="90" t="s">
        <v>434</v>
      </c>
      <c r="C79" s="83" t="s">
        <v>260</v>
      </c>
      <c r="D79" s="93">
        <f>SUM(D73:D78)</f>
        <v>0</v>
      </c>
      <c r="E79" s="93">
        <f>SUM(E73:E78)</f>
        <v>0</v>
      </c>
      <c r="F79" s="93">
        <f>SUM(F73:F78)</f>
        <v>0</v>
      </c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2:25" ht="15.75">
      <c r="B80" s="80" t="s">
        <v>261</v>
      </c>
      <c r="C80" s="81" t="s">
        <v>262</v>
      </c>
      <c r="D80" s="92"/>
      <c r="E80" s="92"/>
      <c r="F80" s="93">
        <f aca="true" t="shared" si="6" ref="F80:F89">+E80+D80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2:25" ht="15.75">
      <c r="B81" s="80" t="s">
        <v>579</v>
      </c>
      <c r="C81" s="81" t="s">
        <v>263</v>
      </c>
      <c r="D81" s="92">
        <v>51150</v>
      </c>
      <c r="E81" s="92">
        <v>125087</v>
      </c>
      <c r="F81" s="93">
        <f t="shared" si="6"/>
        <v>176237</v>
      </c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2:25" ht="15.75">
      <c r="B82" s="80" t="s">
        <v>580</v>
      </c>
      <c r="C82" s="81" t="s">
        <v>264</v>
      </c>
      <c r="D82" s="92"/>
      <c r="E82" s="92"/>
      <c r="F82" s="93">
        <f t="shared" si="6"/>
        <v>0</v>
      </c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2:25" ht="15.75">
      <c r="B83" s="80" t="s">
        <v>581</v>
      </c>
      <c r="C83" s="81" t="s">
        <v>265</v>
      </c>
      <c r="D83" s="92"/>
      <c r="E83" s="92"/>
      <c r="F83" s="93">
        <f t="shared" si="6"/>
        <v>0</v>
      </c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2:25" ht="15.75">
      <c r="B84" s="80" t="s">
        <v>266</v>
      </c>
      <c r="C84" s="81" t="s">
        <v>267</v>
      </c>
      <c r="D84" s="92"/>
      <c r="E84" s="92"/>
      <c r="F84" s="93">
        <f t="shared" si="6"/>
        <v>0</v>
      </c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2:25" ht="15.75">
      <c r="B85" s="80" t="s">
        <v>268</v>
      </c>
      <c r="C85" s="81" t="s">
        <v>269</v>
      </c>
      <c r="D85" s="92"/>
      <c r="E85" s="92"/>
      <c r="F85" s="93">
        <f t="shared" si="6"/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2:25" ht="15.75">
      <c r="B86" s="80" t="s">
        <v>270</v>
      </c>
      <c r="C86" s="81" t="s">
        <v>271</v>
      </c>
      <c r="D86" s="92"/>
      <c r="E86" s="92"/>
      <c r="F86" s="93">
        <f t="shared" si="6"/>
        <v>0</v>
      </c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</row>
    <row r="87" spans="2:25" ht="15.75">
      <c r="B87" s="80" t="s">
        <v>582</v>
      </c>
      <c r="C87" s="81" t="s">
        <v>272</v>
      </c>
      <c r="D87" s="92"/>
      <c r="E87" s="92"/>
      <c r="F87" s="93">
        <f t="shared" si="6"/>
        <v>0</v>
      </c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</row>
    <row r="88" spans="2:25" ht="15.75">
      <c r="B88" s="80" t="s">
        <v>583</v>
      </c>
      <c r="C88" s="81" t="s">
        <v>273</v>
      </c>
      <c r="D88" s="92"/>
      <c r="E88" s="92"/>
      <c r="F88" s="93">
        <f t="shared" si="6"/>
        <v>0</v>
      </c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</row>
    <row r="89" spans="2:25" ht="15.75">
      <c r="B89" s="80" t="s">
        <v>584</v>
      </c>
      <c r="C89" s="81" t="s">
        <v>274</v>
      </c>
      <c r="D89" s="92"/>
      <c r="E89" s="92"/>
      <c r="F89" s="93">
        <f t="shared" si="6"/>
        <v>0</v>
      </c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</row>
    <row r="90" spans="2:25" ht="15.75">
      <c r="B90" s="78" t="s">
        <v>435</v>
      </c>
      <c r="C90" s="83" t="s">
        <v>275</v>
      </c>
      <c r="D90" s="93">
        <f>SUM(D80:D89)</f>
        <v>51150</v>
      </c>
      <c r="E90" s="93">
        <f>SUM(E80:E89)</f>
        <v>125087</v>
      </c>
      <c r="F90" s="93">
        <f>SUM(F80:F89)</f>
        <v>176237</v>
      </c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2:25" ht="15.75">
      <c r="B91" s="80" t="s">
        <v>585</v>
      </c>
      <c r="C91" s="81" t="s">
        <v>276</v>
      </c>
      <c r="D91" s="92"/>
      <c r="E91" s="92"/>
      <c r="F91" s="93">
        <f>+E91+D91</f>
        <v>0</v>
      </c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</row>
    <row r="92" spans="2:25" ht="15.75">
      <c r="B92" s="80" t="s">
        <v>586</v>
      </c>
      <c r="C92" s="81" t="s">
        <v>277</v>
      </c>
      <c r="D92" s="92"/>
      <c r="E92" s="92"/>
      <c r="F92" s="93">
        <f>+E92+D92</f>
        <v>0</v>
      </c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</row>
    <row r="93" spans="2:25" ht="15.75">
      <c r="B93" s="80" t="s">
        <v>278</v>
      </c>
      <c r="C93" s="81" t="s">
        <v>279</v>
      </c>
      <c r="D93" s="92"/>
      <c r="E93" s="92"/>
      <c r="F93" s="93">
        <f>+E93+D93</f>
        <v>0</v>
      </c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</row>
    <row r="94" spans="2:25" ht="15.75">
      <c r="B94" s="80" t="s">
        <v>587</v>
      </c>
      <c r="C94" s="81" t="s">
        <v>280</v>
      </c>
      <c r="D94" s="92"/>
      <c r="E94" s="92"/>
      <c r="F94" s="93">
        <f>+E94+D94</f>
        <v>0</v>
      </c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</row>
    <row r="95" spans="2:25" ht="15.75">
      <c r="B95" s="80" t="s">
        <v>281</v>
      </c>
      <c r="C95" s="81" t="s">
        <v>282</v>
      </c>
      <c r="D95" s="92"/>
      <c r="E95" s="92"/>
      <c r="F95" s="93">
        <f>+E95+D95</f>
        <v>0</v>
      </c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</row>
    <row r="96" spans="2:25" ht="15.75">
      <c r="B96" s="90" t="s">
        <v>693</v>
      </c>
      <c r="C96" s="83" t="s">
        <v>283</v>
      </c>
      <c r="D96" s="93">
        <f>SUM(D91:D95)</f>
        <v>0</v>
      </c>
      <c r="E96" s="93">
        <f>SUM(E91:E95)</f>
        <v>0</v>
      </c>
      <c r="F96" s="93">
        <f>SUM(F91:F95)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</row>
    <row r="97" spans="2:25" ht="15.75">
      <c r="B97" s="90" t="s">
        <v>628</v>
      </c>
      <c r="C97" s="83" t="s">
        <v>286</v>
      </c>
      <c r="D97" s="92"/>
      <c r="E97" s="92"/>
      <c r="F97" s="93">
        <f>+E97+D97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</row>
    <row r="98" spans="2:25" ht="15.75">
      <c r="B98" s="80" t="s">
        <v>808</v>
      </c>
      <c r="C98" s="81" t="s">
        <v>287</v>
      </c>
      <c r="D98" s="92"/>
      <c r="E98" s="92"/>
      <c r="F98" s="93">
        <f>+E98+D98</f>
        <v>0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</row>
    <row r="99" spans="2:25" ht="15.75">
      <c r="B99" s="82" t="s">
        <v>807</v>
      </c>
      <c r="C99" s="81" t="s">
        <v>288</v>
      </c>
      <c r="D99" s="92"/>
      <c r="E99" s="92"/>
      <c r="F99" s="93">
        <f>+E99+D99</f>
        <v>0</v>
      </c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</row>
    <row r="100" spans="2:25" ht="15.75">
      <c r="B100" s="80" t="s">
        <v>612</v>
      </c>
      <c r="C100" s="81" t="s">
        <v>289</v>
      </c>
      <c r="D100" s="92"/>
      <c r="E100" s="92"/>
      <c r="F100" s="93">
        <f>+E100+D100</f>
        <v>0</v>
      </c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</row>
    <row r="101" spans="2:25" ht="15.75">
      <c r="B101" s="90" t="s">
        <v>512</v>
      </c>
      <c r="C101" s="83" t="s">
        <v>290</v>
      </c>
      <c r="D101" s="93">
        <f>SUM(D98:D100)</f>
        <v>0</v>
      </c>
      <c r="E101" s="93">
        <f>SUM(E98:E100)</f>
        <v>0</v>
      </c>
      <c r="F101" s="93">
        <f>SUM(F98:F100)</f>
        <v>0</v>
      </c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</row>
    <row r="102" spans="2:25" ht="15.75">
      <c r="B102" s="137" t="s">
        <v>516</v>
      </c>
      <c r="C102" s="116" t="s">
        <v>672</v>
      </c>
      <c r="D102" s="118">
        <f>+D101+D97+D96+D90+D79+D72+D71</f>
        <v>270692</v>
      </c>
      <c r="E102" s="118">
        <f>+E101+E97+E96+E90+E79+E72+E71</f>
        <v>139416</v>
      </c>
      <c r="F102" s="118">
        <f>+F101+F97+F96+F90+F79+F72+F71</f>
        <v>410108</v>
      </c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</row>
    <row r="103" spans="2:25" ht="15.75">
      <c r="B103" s="138" t="s">
        <v>668</v>
      </c>
      <c r="C103" s="139"/>
      <c r="D103" s="140">
        <f>+D97+D90+D79+D71-D32</f>
        <v>-56243</v>
      </c>
      <c r="E103" s="140">
        <f>+E97+E90+E79+E71-E32</f>
        <v>-101866</v>
      </c>
      <c r="F103" s="140">
        <f aca="true" t="shared" si="7" ref="F103:F110">+E103+D103</f>
        <v>-158109</v>
      </c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</row>
    <row r="104" spans="2:25" ht="15.75">
      <c r="B104" s="138" t="s">
        <v>669</v>
      </c>
      <c r="C104" s="139"/>
      <c r="D104" s="140">
        <f>+D101+D96+D72-D55</f>
        <v>-9250</v>
      </c>
      <c r="E104" s="140">
        <f>+E101+E96+E72-E55</f>
        <v>-6600</v>
      </c>
      <c r="F104" s="140">
        <f t="shared" si="7"/>
        <v>-15850</v>
      </c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</row>
    <row r="105" spans="2:6" ht="15.75">
      <c r="B105" s="78" t="s">
        <v>631</v>
      </c>
      <c r="C105" s="90" t="s">
        <v>295</v>
      </c>
      <c r="D105" s="92">
        <v>45744</v>
      </c>
      <c r="E105" s="92">
        <v>13485</v>
      </c>
      <c r="F105" s="93">
        <f t="shared" si="7"/>
        <v>59229</v>
      </c>
    </row>
    <row r="106" spans="2:6" ht="15.75">
      <c r="B106" s="125" t="s">
        <v>632</v>
      </c>
      <c r="C106" s="90" t="s">
        <v>302</v>
      </c>
      <c r="D106" s="92">
        <v>45744</v>
      </c>
      <c r="E106" s="92">
        <v>13485</v>
      </c>
      <c r="F106" s="93">
        <f t="shared" si="7"/>
        <v>59229</v>
      </c>
    </row>
    <row r="107" spans="2:6" ht="15.75">
      <c r="B107" s="82" t="s">
        <v>788</v>
      </c>
      <c r="C107" s="82" t="s">
        <v>303</v>
      </c>
      <c r="D107" s="92">
        <v>45744</v>
      </c>
      <c r="E107" s="92">
        <v>13485</v>
      </c>
      <c r="F107" s="93">
        <f t="shared" si="7"/>
        <v>59229</v>
      </c>
    </row>
    <row r="108" spans="2:6" ht="15.75">
      <c r="B108" s="82" t="s">
        <v>789</v>
      </c>
      <c r="C108" s="82" t="s">
        <v>303</v>
      </c>
      <c r="D108" s="92"/>
      <c r="E108" s="92"/>
      <c r="F108" s="93">
        <f t="shared" si="7"/>
        <v>0</v>
      </c>
    </row>
    <row r="109" spans="2:6" ht="15.75">
      <c r="B109" s="82" t="s">
        <v>786</v>
      </c>
      <c r="C109" s="82" t="s">
        <v>304</v>
      </c>
      <c r="D109" s="92"/>
      <c r="E109" s="92"/>
      <c r="F109" s="93">
        <f t="shared" si="7"/>
        <v>0</v>
      </c>
    </row>
    <row r="110" spans="2:6" ht="15.75">
      <c r="B110" s="82" t="s">
        <v>787</v>
      </c>
      <c r="C110" s="82" t="s">
        <v>304</v>
      </c>
      <c r="D110" s="92"/>
      <c r="E110" s="92"/>
      <c r="F110" s="93">
        <f t="shared" si="7"/>
        <v>0</v>
      </c>
    </row>
    <row r="111" spans="2:6" ht="15.75">
      <c r="B111" s="90" t="s">
        <v>514</v>
      </c>
      <c r="C111" s="90" t="s">
        <v>305</v>
      </c>
      <c r="D111" s="93">
        <f>SUM(D107:D110)</f>
        <v>45744</v>
      </c>
      <c r="E111" s="93">
        <f>SUM(E107:E110)</f>
        <v>13485</v>
      </c>
      <c r="F111" s="93">
        <f>SUM(F107:F110)</f>
        <v>59229</v>
      </c>
    </row>
    <row r="112" spans="2:6" ht="15.75">
      <c r="B112" s="123" t="s">
        <v>306</v>
      </c>
      <c r="C112" s="82" t="s">
        <v>307</v>
      </c>
      <c r="D112" s="92"/>
      <c r="E112" s="92"/>
      <c r="F112" s="93">
        <f aca="true" t="shared" si="8" ref="F112:F118">+E112+D112</f>
        <v>0</v>
      </c>
    </row>
    <row r="113" spans="2:6" ht="15.75">
      <c r="B113" s="123" t="s">
        <v>308</v>
      </c>
      <c r="C113" s="82" t="s">
        <v>309</v>
      </c>
      <c r="D113" s="92"/>
      <c r="E113" s="92"/>
      <c r="F113" s="93">
        <f t="shared" si="8"/>
        <v>0</v>
      </c>
    </row>
    <row r="114" spans="2:6" ht="15.75">
      <c r="B114" s="123" t="s">
        <v>310</v>
      </c>
      <c r="C114" s="82" t="s">
        <v>311</v>
      </c>
      <c r="D114" s="92">
        <v>19749</v>
      </c>
      <c r="E114" s="92">
        <f>91984+2997</f>
        <v>94981</v>
      </c>
      <c r="F114" s="93">
        <f t="shared" si="8"/>
        <v>114730</v>
      </c>
    </row>
    <row r="115" spans="2:6" s="208" customFormat="1" ht="15.75">
      <c r="B115" s="204" t="s">
        <v>366</v>
      </c>
      <c r="C115" s="171"/>
      <c r="D115" s="151">
        <v>19749</v>
      </c>
      <c r="E115" s="151"/>
      <c r="F115" s="173">
        <f t="shared" si="8"/>
        <v>19749</v>
      </c>
    </row>
    <row r="116" spans="2:6" s="208" customFormat="1" ht="15.75">
      <c r="B116" s="206" t="s">
        <v>356</v>
      </c>
      <c r="C116" s="171"/>
      <c r="D116" s="151">
        <f>+D114-D115</f>
        <v>0</v>
      </c>
      <c r="E116" s="151">
        <f>+E114-E115</f>
        <v>94981</v>
      </c>
      <c r="F116" s="173">
        <f t="shared" si="8"/>
        <v>94981</v>
      </c>
    </row>
    <row r="117" spans="2:6" ht="15.75">
      <c r="B117" s="123" t="s">
        <v>312</v>
      </c>
      <c r="C117" s="82" t="s">
        <v>313</v>
      </c>
      <c r="D117" s="92"/>
      <c r="E117" s="92"/>
      <c r="F117" s="93">
        <f t="shared" si="8"/>
        <v>0</v>
      </c>
    </row>
    <row r="118" spans="2:6" ht="15.75">
      <c r="B118" s="80" t="s">
        <v>615</v>
      </c>
      <c r="C118" s="82" t="s">
        <v>314</v>
      </c>
      <c r="D118" s="92"/>
      <c r="E118" s="92"/>
      <c r="F118" s="93">
        <f t="shared" si="8"/>
        <v>0</v>
      </c>
    </row>
    <row r="119" spans="2:6" ht="15.75">
      <c r="B119" s="78" t="s">
        <v>428</v>
      </c>
      <c r="C119" s="90" t="s">
        <v>316</v>
      </c>
      <c r="D119" s="93">
        <f>SUM(D112:D118)+D111+D106+D105-D115-D116</f>
        <v>156981</v>
      </c>
      <c r="E119" s="93">
        <f>SUM(E112:E118)+E111+E106+E105-E115-E116</f>
        <v>135436</v>
      </c>
      <c r="F119" s="93">
        <f>SUM(F112:F118)+F111+F106+F105-F115-F116</f>
        <v>292417</v>
      </c>
    </row>
    <row r="120" spans="2:6" ht="15.75">
      <c r="B120" s="123" t="s">
        <v>635</v>
      </c>
      <c r="C120" s="82" t="s">
        <v>324</v>
      </c>
      <c r="D120" s="92"/>
      <c r="E120" s="92"/>
      <c r="F120" s="93">
        <f>+E120+D120</f>
        <v>0</v>
      </c>
    </row>
    <row r="121" spans="2:6" ht="15.75">
      <c r="B121" s="80" t="s">
        <v>325</v>
      </c>
      <c r="C121" s="82" t="s">
        <v>326</v>
      </c>
      <c r="D121" s="92"/>
      <c r="E121" s="92"/>
      <c r="F121" s="93">
        <f>+E121+D121</f>
        <v>0</v>
      </c>
    </row>
    <row r="122" spans="2:6" ht="15.75">
      <c r="B122" s="128" t="s">
        <v>515</v>
      </c>
      <c r="C122" s="129" t="s">
        <v>327</v>
      </c>
      <c r="D122" s="118">
        <f>+D121+D120+D119</f>
        <v>156981</v>
      </c>
      <c r="E122" s="118">
        <f>+E121+E120+E119</f>
        <v>135436</v>
      </c>
      <c r="F122" s="118">
        <f>+F121+F120+F119</f>
        <v>292417</v>
      </c>
    </row>
    <row r="123" spans="2:6" ht="15.75">
      <c r="B123" s="75" t="s">
        <v>654</v>
      </c>
      <c r="C123" s="75" t="s">
        <v>670</v>
      </c>
      <c r="D123" s="131">
        <f>+D102+D122</f>
        <v>427673</v>
      </c>
      <c r="E123" s="131">
        <f>+E102+E122</f>
        <v>274852</v>
      </c>
      <c r="F123" s="131">
        <f>+F102+F122</f>
        <v>702525</v>
      </c>
    </row>
    <row r="124" spans="2:6" ht="15.75">
      <c r="B124" s="4"/>
      <c r="C124" s="4"/>
      <c r="D124" s="141"/>
      <c r="E124" s="141"/>
      <c r="F124" s="142"/>
    </row>
    <row r="125" spans="2:6" ht="15.75">
      <c r="B125" s="74" t="s">
        <v>676</v>
      </c>
      <c r="C125" s="74"/>
      <c r="D125" s="93">
        <f>+D102-D56</f>
        <v>-65493</v>
      </c>
      <c r="E125" s="93">
        <f>+E102-E56</f>
        <v>-108466</v>
      </c>
      <c r="F125" s="93">
        <f>+F102-F56</f>
        <v>-173959</v>
      </c>
    </row>
    <row r="126" spans="2:6" ht="15.75">
      <c r="B126" s="74" t="s">
        <v>746</v>
      </c>
      <c r="C126" s="74"/>
      <c r="D126" s="93">
        <f>+D122-D60</f>
        <v>156981</v>
      </c>
      <c r="E126" s="93">
        <f>+E122-E60</f>
        <v>135436</v>
      </c>
      <c r="F126" s="93">
        <f>+F122-F60</f>
        <v>292417</v>
      </c>
    </row>
    <row r="127" spans="2:6" ht="15.75">
      <c r="B127" s="4"/>
      <c r="C127" s="4"/>
      <c r="D127" s="141"/>
      <c r="E127" s="141"/>
      <c r="F127" s="142"/>
    </row>
    <row r="128" spans="2:6" ht="15.75">
      <c r="B128" s="143" t="s">
        <v>756</v>
      </c>
      <c r="C128" s="4"/>
      <c r="D128" s="141">
        <f>+D123-D61</f>
        <v>91488</v>
      </c>
      <c r="E128" s="141">
        <f>+E123-E61</f>
        <v>26970</v>
      </c>
      <c r="F128" s="141">
        <f>+F123-F61</f>
        <v>118458</v>
      </c>
    </row>
    <row r="129" spans="2:6" ht="15.75">
      <c r="B129" s="4"/>
      <c r="C129" s="4"/>
      <c r="D129" s="141"/>
      <c r="E129" s="141"/>
      <c r="F129" s="142"/>
    </row>
    <row r="130" spans="2:6" ht="15.75">
      <c r="B130" s="4"/>
      <c r="C130" s="4"/>
      <c r="D130" s="141"/>
      <c r="E130" s="141"/>
      <c r="F130" s="142"/>
    </row>
    <row r="131" spans="2:6" ht="15.75">
      <c r="B131" s="4"/>
      <c r="C131" s="4"/>
      <c r="D131" s="141"/>
      <c r="E131" s="141"/>
      <c r="F131" s="142"/>
    </row>
    <row r="132" spans="2:6" ht="15.75">
      <c r="B132" s="4"/>
      <c r="C132" s="4"/>
      <c r="D132" s="141"/>
      <c r="E132" s="141"/>
      <c r="F132" s="142"/>
    </row>
    <row r="133" spans="2:6" ht="15.75">
      <c r="B133" s="4"/>
      <c r="C133" s="4"/>
      <c r="D133" s="141"/>
      <c r="E133" s="141"/>
      <c r="F133" s="142"/>
    </row>
    <row r="134" spans="2:6" ht="15.75">
      <c r="B134" s="4"/>
      <c r="C134" s="4"/>
      <c r="D134" s="141"/>
      <c r="E134" s="141"/>
      <c r="F134" s="142"/>
    </row>
    <row r="135" spans="2:6" ht="15.75">
      <c r="B135" s="4"/>
      <c r="C135" s="4"/>
      <c r="D135" s="141"/>
      <c r="E135" s="141"/>
      <c r="F135" s="142"/>
    </row>
    <row r="136" spans="2:6" ht="15.75">
      <c r="B136" s="4"/>
      <c r="C136" s="4"/>
      <c r="D136" s="141"/>
      <c r="E136" s="141"/>
      <c r="F136" s="142"/>
    </row>
    <row r="137" spans="2:6" ht="15.75">
      <c r="B137" s="4"/>
      <c r="C137" s="4"/>
      <c r="D137" s="141"/>
      <c r="E137" s="141"/>
      <c r="F137" s="142"/>
    </row>
    <row r="138" spans="2:6" ht="15.75">
      <c r="B138" s="4"/>
      <c r="C138" s="4"/>
      <c r="D138" s="141"/>
      <c r="E138" s="141"/>
      <c r="F138" s="142"/>
    </row>
    <row r="139" spans="2:6" ht="15.75">
      <c r="B139" s="4"/>
      <c r="C139" s="4"/>
      <c r="D139" s="141"/>
      <c r="E139" s="141"/>
      <c r="F139" s="142"/>
    </row>
    <row r="140" spans="2:6" ht="15.75">
      <c r="B140" s="4"/>
      <c r="C140" s="4"/>
      <c r="D140" s="141"/>
      <c r="E140" s="141"/>
      <c r="F140" s="142"/>
    </row>
    <row r="141" spans="2:6" ht="15.75">
      <c r="B141" s="4"/>
      <c r="C141" s="4"/>
      <c r="D141" s="141"/>
      <c r="E141" s="141"/>
      <c r="F141" s="142"/>
    </row>
    <row r="142" spans="2:6" ht="15.75">
      <c r="B142" s="4"/>
      <c r="C142" s="4"/>
      <c r="D142" s="141"/>
      <c r="E142" s="141"/>
      <c r="F142" s="142"/>
    </row>
    <row r="143" spans="2:6" ht="15.75">
      <c r="B143" s="4"/>
      <c r="C143" s="4"/>
      <c r="D143" s="141"/>
      <c r="E143" s="141"/>
      <c r="F143" s="142"/>
    </row>
    <row r="144" spans="2:6" ht="15.75">
      <c r="B144" s="4"/>
      <c r="C144" s="4"/>
      <c r="D144" s="141"/>
      <c r="E144" s="141"/>
      <c r="F144" s="142"/>
    </row>
    <row r="145" spans="2:6" ht="15.75">
      <c r="B145" s="4"/>
      <c r="C145" s="4"/>
      <c r="D145" s="141"/>
      <c r="E145" s="141"/>
      <c r="F145" s="142"/>
    </row>
    <row r="146" spans="2:6" ht="15.75">
      <c r="B146" s="4"/>
      <c r="C146" s="4"/>
      <c r="D146" s="141"/>
      <c r="E146" s="141"/>
      <c r="F146" s="142"/>
    </row>
    <row r="147" spans="2:6" ht="15.75">
      <c r="B147" s="4"/>
      <c r="C147" s="4"/>
      <c r="D147" s="141"/>
      <c r="E147" s="141"/>
      <c r="F147" s="142"/>
    </row>
    <row r="148" spans="2:6" ht="15.75">
      <c r="B148" s="4"/>
      <c r="C148" s="4"/>
      <c r="D148" s="141"/>
      <c r="E148" s="141"/>
      <c r="F148" s="142"/>
    </row>
    <row r="149" spans="2:6" ht="15.75">
      <c r="B149" s="4"/>
      <c r="C149" s="4"/>
      <c r="D149" s="141"/>
      <c r="E149" s="141"/>
      <c r="F149" s="142"/>
    </row>
    <row r="150" spans="2:6" ht="15.75">
      <c r="B150" s="4"/>
      <c r="C150" s="4"/>
      <c r="D150" s="141"/>
      <c r="E150" s="141"/>
      <c r="F150" s="142"/>
    </row>
    <row r="151" spans="2:6" ht="15.75">
      <c r="B151" s="4"/>
      <c r="C151" s="4"/>
      <c r="D151" s="141"/>
      <c r="E151" s="141"/>
      <c r="F151" s="142"/>
    </row>
    <row r="152" spans="2:6" ht="15.75">
      <c r="B152" s="4"/>
      <c r="C152" s="4"/>
      <c r="D152" s="141"/>
      <c r="E152" s="141"/>
      <c r="F152" s="142"/>
    </row>
    <row r="153" spans="2:6" ht="15.75">
      <c r="B153" s="4"/>
      <c r="C153" s="4"/>
      <c r="D153" s="141"/>
      <c r="E153" s="141"/>
      <c r="F153" s="142"/>
    </row>
    <row r="154" spans="2:6" ht="15.75">
      <c r="B154" s="4"/>
      <c r="C154" s="4"/>
      <c r="D154" s="141"/>
      <c r="E154" s="141"/>
      <c r="F154" s="142"/>
    </row>
    <row r="155" spans="2:6" ht="15.75">
      <c r="B155" s="4"/>
      <c r="C155" s="4"/>
      <c r="D155" s="141"/>
      <c r="E155" s="141"/>
      <c r="F155" s="142"/>
    </row>
    <row r="156" spans="2:6" ht="15.75">
      <c r="B156" s="4"/>
      <c r="C156" s="4"/>
      <c r="D156" s="141"/>
      <c r="E156" s="141"/>
      <c r="F156" s="142"/>
    </row>
    <row r="157" spans="2:6" ht="15.75">
      <c r="B157" s="4"/>
      <c r="C157" s="4"/>
      <c r="D157" s="141"/>
      <c r="E157" s="141"/>
      <c r="F157" s="142"/>
    </row>
    <row r="158" spans="2:6" ht="15.75">
      <c r="B158" s="4"/>
      <c r="C158" s="4"/>
      <c r="D158" s="141"/>
      <c r="E158" s="141"/>
      <c r="F158" s="142"/>
    </row>
    <row r="159" spans="2:6" ht="15.75">
      <c r="B159" s="4"/>
      <c r="C159" s="4"/>
      <c r="D159" s="141"/>
      <c r="E159" s="141"/>
      <c r="F159" s="142"/>
    </row>
    <row r="160" spans="2:6" ht="15.75">
      <c r="B160" s="4"/>
      <c r="C160" s="4"/>
      <c r="D160" s="141"/>
      <c r="E160" s="141"/>
      <c r="F160" s="142"/>
    </row>
    <row r="161" spans="2:6" ht="15.75">
      <c r="B161" s="4"/>
      <c r="C161" s="4"/>
      <c r="D161" s="141"/>
      <c r="E161" s="141"/>
      <c r="F161" s="142"/>
    </row>
    <row r="162" spans="2:6" ht="15.75">
      <c r="B162" s="4"/>
      <c r="C162" s="4"/>
      <c r="D162" s="141"/>
      <c r="E162" s="141"/>
      <c r="F162" s="142"/>
    </row>
    <row r="163" spans="2:6" ht="15.75">
      <c r="B163" s="4"/>
      <c r="C163" s="4"/>
      <c r="D163" s="141"/>
      <c r="E163" s="141"/>
      <c r="F163" s="142"/>
    </row>
    <row r="164" spans="2:6" ht="15.75">
      <c r="B164" s="4"/>
      <c r="C164" s="4"/>
      <c r="D164" s="141"/>
      <c r="E164" s="141"/>
      <c r="F164" s="142"/>
    </row>
    <row r="165" spans="2:6" ht="15.75">
      <c r="B165" s="4"/>
      <c r="C165" s="4"/>
      <c r="D165" s="141"/>
      <c r="E165" s="141"/>
      <c r="F165" s="142"/>
    </row>
    <row r="166" spans="2:6" ht="15.75">
      <c r="B166" s="4"/>
      <c r="C166" s="4"/>
      <c r="D166" s="141"/>
      <c r="E166" s="141"/>
      <c r="F166" s="142"/>
    </row>
    <row r="167" spans="2:6" ht="15.75">
      <c r="B167" s="4"/>
      <c r="C167" s="4"/>
      <c r="D167" s="141"/>
      <c r="E167" s="141"/>
      <c r="F167" s="142"/>
    </row>
    <row r="168" spans="2:6" ht="15.75">
      <c r="B168" s="4"/>
      <c r="C168" s="4"/>
      <c r="D168" s="141"/>
      <c r="E168" s="141"/>
      <c r="F168" s="142"/>
    </row>
    <row r="169" spans="2:6" ht="15.75">
      <c r="B169" s="4"/>
      <c r="C169" s="4"/>
      <c r="D169" s="141"/>
      <c r="E169" s="141"/>
      <c r="F169" s="142"/>
    </row>
    <row r="170" spans="2:6" ht="15.75">
      <c r="B170" s="4"/>
      <c r="C170" s="4"/>
      <c r="D170" s="141"/>
      <c r="E170" s="141"/>
      <c r="F170" s="142"/>
    </row>
    <row r="171" spans="2:6" ht="15.75">
      <c r="B171" s="4"/>
      <c r="C171" s="4"/>
      <c r="D171" s="141"/>
      <c r="E171" s="141"/>
      <c r="F171" s="142"/>
    </row>
    <row r="172" spans="2:6" ht="15.75">
      <c r="B172" s="4"/>
      <c r="C172" s="4"/>
      <c r="D172" s="141"/>
      <c r="E172" s="141"/>
      <c r="F172" s="142"/>
    </row>
    <row r="173" spans="2:6" ht="15.75">
      <c r="B173" s="4"/>
      <c r="C173" s="4"/>
      <c r="D173" s="141"/>
      <c r="E173" s="141"/>
      <c r="F173" s="142"/>
    </row>
    <row r="174" spans="2:6" ht="15.75">
      <c r="B174" s="4"/>
      <c r="C174" s="4"/>
      <c r="D174" s="141"/>
      <c r="E174" s="141"/>
      <c r="F174" s="142"/>
    </row>
    <row r="175" spans="2:6" ht="15.75">
      <c r="B175" s="4"/>
      <c r="C175" s="4"/>
      <c r="D175" s="141"/>
      <c r="E175" s="141"/>
      <c r="F175" s="142"/>
    </row>
    <row r="176" spans="2:6" ht="15.75">
      <c r="B176" s="4"/>
      <c r="C176" s="4"/>
      <c r="D176" s="141"/>
      <c r="E176" s="141"/>
      <c r="F176" s="142"/>
    </row>
    <row r="177" spans="2:6" ht="15.75">
      <c r="B177" s="4"/>
      <c r="C177" s="4"/>
      <c r="D177" s="141"/>
      <c r="E177" s="141"/>
      <c r="F177" s="142"/>
    </row>
    <row r="178" spans="2:6" ht="15.75">
      <c r="B178" s="4"/>
      <c r="C178" s="4"/>
      <c r="D178" s="141"/>
      <c r="E178" s="141"/>
      <c r="F178" s="142"/>
    </row>
    <row r="179" spans="2:6" ht="15.75">
      <c r="B179" s="4"/>
      <c r="C179" s="4"/>
      <c r="D179" s="141"/>
      <c r="E179" s="141"/>
      <c r="F179" s="142"/>
    </row>
    <row r="180" spans="2:6" ht="15.75">
      <c r="B180" s="4"/>
      <c r="C180" s="4"/>
      <c r="D180" s="141"/>
      <c r="E180" s="141"/>
      <c r="F180" s="142"/>
    </row>
    <row r="181" spans="2:6" ht="15.75">
      <c r="B181" s="4"/>
      <c r="C181" s="4"/>
      <c r="D181" s="141"/>
      <c r="E181" s="141"/>
      <c r="F181" s="142"/>
    </row>
    <row r="182" spans="2:6" ht="15.75">
      <c r="B182" s="4"/>
      <c r="C182" s="4"/>
      <c r="D182" s="141"/>
      <c r="E182" s="141"/>
      <c r="F182" s="142"/>
    </row>
    <row r="183" spans="2:6" ht="15.75">
      <c r="B183" s="4"/>
      <c r="C183" s="4"/>
      <c r="D183" s="141"/>
      <c r="E183" s="141"/>
      <c r="F183" s="142"/>
    </row>
    <row r="184" spans="2:6" ht="15.75">
      <c r="B184" s="4"/>
      <c r="C184" s="4"/>
      <c r="D184" s="141"/>
      <c r="E184" s="141"/>
      <c r="F184" s="142"/>
    </row>
    <row r="185" spans="2:6" ht="15.75">
      <c r="B185" s="4"/>
      <c r="C185" s="4"/>
      <c r="D185" s="141"/>
      <c r="E185" s="141"/>
      <c r="F185" s="142"/>
    </row>
    <row r="186" spans="2:6" ht="15.75">
      <c r="B186" s="4"/>
      <c r="C186" s="4"/>
      <c r="D186" s="141"/>
      <c r="E186" s="141"/>
      <c r="F186" s="142"/>
    </row>
    <row r="187" spans="2:6" ht="15.75">
      <c r="B187" s="4"/>
      <c r="C187" s="4"/>
      <c r="D187" s="4"/>
      <c r="E187" s="4"/>
      <c r="F187" s="3"/>
    </row>
    <row r="188" spans="2:6" ht="15.75">
      <c r="B188" s="4"/>
      <c r="C188" s="4"/>
      <c r="D188" s="4"/>
      <c r="E188" s="4"/>
      <c r="F188" s="3"/>
    </row>
    <row r="189" spans="2:6" ht="15.75">
      <c r="B189" s="4"/>
      <c r="C189" s="4"/>
      <c r="D189" s="4"/>
      <c r="E189" s="4"/>
      <c r="F189" s="3"/>
    </row>
    <row r="190" spans="2:6" ht="15.75">
      <c r="B190" s="4"/>
      <c r="C190" s="4"/>
      <c r="D190" s="4"/>
      <c r="E190" s="4"/>
      <c r="F190" s="3"/>
    </row>
    <row r="191" spans="2:6" ht="15.75">
      <c r="B191" s="4"/>
      <c r="C191" s="4"/>
      <c r="D191" s="4"/>
      <c r="E191" s="4"/>
      <c r="F191" s="3"/>
    </row>
    <row r="192" spans="2:6" ht="15.75">
      <c r="B192" s="4"/>
      <c r="C192" s="4"/>
      <c r="D192" s="4"/>
      <c r="E192" s="4"/>
      <c r="F192" s="3"/>
    </row>
    <row r="193" spans="2:6" ht="15.75">
      <c r="B193" s="4"/>
      <c r="C193" s="4"/>
      <c r="D193" s="4"/>
      <c r="E193" s="4"/>
      <c r="F193" s="3"/>
    </row>
    <row r="194" spans="2:6" ht="15.75">
      <c r="B194" s="4"/>
      <c r="C194" s="4"/>
      <c r="D194" s="4"/>
      <c r="E194" s="4"/>
      <c r="F194" s="3"/>
    </row>
    <row r="195" spans="2:6" ht="15.75">
      <c r="B195" s="4"/>
      <c r="C195" s="4"/>
      <c r="D195" s="4"/>
      <c r="E195" s="4"/>
      <c r="F195" s="3"/>
    </row>
    <row r="196" spans="2:6" ht="15.75">
      <c r="B196" s="4"/>
      <c r="C196" s="4"/>
      <c r="D196" s="4"/>
      <c r="E196" s="4"/>
      <c r="F196" s="3"/>
    </row>
    <row r="197" spans="2:6" ht="15.75">
      <c r="B197" s="4"/>
      <c r="C197" s="4"/>
      <c r="D197" s="4"/>
      <c r="E197" s="4"/>
      <c r="F197" s="3"/>
    </row>
    <row r="198" spans="2:6" ht="15.75">
      <c r="B198" s="4"/>
      <c r="C198" s="4"/>
      <c r="D198" s="4"/>
      <c r="E198" s="4"/>
      <c r="F198" s="3"/>
    </row>
    <row r="199" spans="2:6" ht="15.75">
      <c r="B199" s="4"/>
      <c r="C199" s="4"/>
      <c r="D199" s="4"/>
      <c r="E199" s="4"/>
      <c r="F199" s="3"/>
    </row>
    <row r="200" spans="2:6" ht="15.75">
      <c r="B200" s="4"/>
      <c r="C200" s="4"/>
      <c r="D200" s="4"/>
      <c r="E200" s="4"/>
      <c r="F200" s="3"/>
    </row>
    <row r="201" spans="2:6" ht="15.75">
      <c r="B201" s="4"/>
      <c r="C201" s="4"/>
      <c r="D201" s="4"/>
      <c r="E201" s="4"/>
      <c r="F201" s="3"/>
    </row>
    <row r="202" spans="2:6" ht="15.75">
      <c r="B202" s="4"/>
      <c r="C202" s="4"/>
      <c r="D202" s="4"/>
      <c r="E202" s="4"/>
      <c r="F202" s="3"/>
    </row>
    <row r="203" spans="2:6" ht="15.75">
      <c r="B203" s="4"/>
      <c r="C203" s="4"/>
      <c r="D203" s="4"/>
      <c r="E203" s="4"/>
      <c r="F203" s="3"/>
    </row>
    <row r="204" spans="2:6" ht="15.75">
      <c r="B204" s="4"/>
      <c r="C204" s="4"/>
      <c r="D204" s="4"/>
      <c r="E204" s="4"/>
      <c r="F204" s="3"/>
    </row>
    <row r="205" spans="2:6" ht="15.75">
      <c r="B205" s="4"/>
      <c r="C205" s="4"/>
      <c r="D205" s="4"/>
      <c r="E205" s="4"/>
      <c r="F205" s="3"/>
    </row>
    <row r="206" spans="2:6" ht="15.75">
      <c r="B206" s="4"/>
      <c r="C206" s="4"/>
      <c r="D206" s="4"/>
      <c r="E206" s="4"/>
      <c r="F206" s="3"/>
    </row>
    <row r="207" spans="2:6" ht="15.75">
      <c r="B207" s="4"/>
      <c r="C207" s="4"/>
      <c r="D207" s="4"/>
      <c r="E207" s="4"/>
      <c r="F207" s="3"/>
    </row>
    <row r="208" spans="2:6" ht="15.75">
      <c r="B208" s="4"/>
      <c r="C208" s="4"/>
      <c r="D208" s="4"/>
      <c r="E208" s="4"/>
      <c r="F208" s="3"/>
    </row>
    <row r="209" spans="2:6" ht="15.75">
      <c r="B209" s="4"/>
      <c r="C209" s="4"/>
      <c r="D209" s="4"/>
      <c r="E209" s="4"/>
      <c r="F209" s="3"/>
    </row>
    <row r="210" spans="2:6" ht="15.75">
      <c r="B210" s="4"/>
      <c r="C210" s="4"/>
      <c r="D210" s="4"/>
      <c r="E210" s="4"/>
      <c r="F210" s="3"/>
    </row>
    <row r="211" spans="2:6" ht="15.75">
      <c r="B211" s="4"/>
      <c r="C211" s="4"/>
      <c r="D211" s="4"/>
      <c r="E211" s="4"/>
      <c r="F211" s="3"/>
    </row>
    <row r="212" spans="2:6" ht="15.75">
      <c r="B212" s="4"/>
      <c r="C212" s="4"/>
      <c r="D212" s="4"/>
      <c r="E212" s="4"/>
      <c r="F212" s="3"/>
    </row>
    <row r="213" spans="2:6" ht="15.75">
      <c r="B213" s="4"/>
      <c r="C213" s="4"/>
      <c r="D213" s="4"/>
      <c r="E213" s="4"/>
      <c r="F213" s="3"/>
    </row>
    <row r="214" spans="2:6" ht="15.75">
      <c r="B214" s="4"/>
      <c r="C214" s="4"/>
      <c r="D214" s="4"/>
      <c r="E214" s="4"/>
      <c r="F214" s="3"/>
    </row>
    <row r="215" spans="2:6" ht="15.75">
      <c r="B215" s="4"/>
      <c r="C215" s="4"/>
      <c r="D215" s="4"/>
      <c r="E215" s="4"/>
      <c r="F215" s="3"/>
    </row>
    <row r="216" spans="2:6" ht="15.75">
      <c r="B216" s="4"/>
      <c r="C216" s="4"/>
      <c r="D216" s="4"/>
      <c r="E216" s="4"/>
      <c r="F216" s="3"/>
    </row>
    <row r="217" spans="2:6" ht="15.75">
      <c r="B217" s="4"/>
      <c r="C217" s="4"/>
      <c r="D217" s="4"/>
      <c r="E217" s="4"/>
      <c r="F217" s="3"/>
    </row>
    <row r="218" spans="2:6" ht="15.75">
      <c r="B218" s="4"/>
      <c r="C218" s="4"/>
      <c r="D218" s="4"/>
      <c r="E218" s="4"/>
      <c r="F218" s="3"/>
    </row>
    <row r="219" spans="2:6" ht="15.75">
      <c r="B219" s="4"/>
      <c r="C219" s="4"/>
      <c r="D219" s="4"/>
      <c r="E219" s="4"/>
      <c r="F219" s="3"/>
    </row>
    <row r="220" spans="2:6" ht="15.75">
      <c r="B220" s="4"/>
      <c r="C220" s="4"/>
      <c r="D220" s="4"/>
      <c r="E220" s="4"/>
      <c r="F220" s="3"/>
    </row>
    <row r="221" spans="2:6" ht="15.75">
      <c r="B221" s="4"/>
      <c r="C221" s="4"/>
      <c r="D221" s="4"/>
      <c r="E221" s="4"/>
      <c r="F221" s="3"/>
    </row>
    <row r="222" spans="2:6" ht="15.75">
      <c r="B222" s="4"/>
      <c r="C222" s="4"/>
      <c r="D222" s="4"/>
      <c r="E222" s="4"/>
      <c r="F222" s="3"/>
    </row>
    <row r="223" spans="2:6" ht="15.75">
      <c r="B223" s="4"/>
      <c r="C223" s="4"/>
      <c r="D223" s="4"/>
      <c r="E223" s="4"/>
      <c r="F223" s="3"/>
    </row>
    <row r="224" spans="2:6" ht="15.75">
      <c r="B224" s="4"/>
      <c r="C224" s="4"/>
      <c r="D224" s="4"/>
      <c r="E224" s="4"/>
      <c r="F224" s="3"/>
    </row>
    <row r="225" spans="2:6" ht="15.75">
      <c r="B225" s="4"/>
      <c r="C225" s="4"/>
      <c r="D225" s="4"/>
      <c r="E225" s="4"/>
      <c r="F225" s="3"/>
    </row>
    <row r="226" spans="2:6" ht="15.75">
      <c r="B226" s="4"/>
      <c r="C226" s="4"/>
      <c r="D226" s="4"/>
      <c r="E226" s="4"/>
      <c r="F226" s="3"/>
    </row>
    <row r="227" spans="2:6" ht="15.75">
      <c r="B227" s="4"/>
      <c r="C227" s="4"/>
      <c r="D227" s="4"/>
      <c r="E227" s="4"/>
      <c r="F227" s="3"/>
    </row>
    <row r="228" spans="2:6" ht="15.75">
      <c r="B228" s="4"/>
      <c r="C228" s="4"/>
      <c r="D228" s="4"/>
      <c r="E228" s="4"/>
      <c r="F228" s="3"/>
    </row>
    <row r="229" spans="2:6" ht="15.75">
      <c r="B229" s="4"/>
      <c r="C229" s="4"/>
      <c r="D229" s="4"/>
      <c r="E229" s="4"/>
      <c r="F229" s="3"/>
    </row>
    <row r="230" spans="2:6" ht="15.75">
      <c r="B230" s="4"/>
      <c r="C230" s="4"/>
      <c r="D230" s="4"/>
      <c r="E230" s="4"/>
      <c r="F230" s="3"/>
    </row>
    <row r="231" spans="2:6" ht="15.75">
      <c r="B231" s="4"/>
      <c r="C231" s="4"/>
      <c r="D231" s="4"/>
      <c r="E231" s="4"/>
      <c r="F231" s="3"/>
    </row>
    <row r="232" spans="2:6" ht="15.75">
      <c r="B232" s="4"/>
      <c r="C232" s="4"/>
      <c r="D232" s="4"/>
      <c r="E232" s="4"/>
      <c r="F232" s="3"/>
    </row>
    <row r="233" spans="2:6" ht="15.75">
      <c r="B233" s="4"/>
      <c r="C233" s="4"/>
      <c r="D233" s="4"/>
      <c r="E233" s="4"/>
      <c r="F233" s="3"/>
    </row>
    <row r="234" spans="2:6" ht="15.75">
      <c r="B234" s="4"/>
      <c r="C234" s="4"/>
      <c r="D234" s="4"/>
      <c r="E234" s="4"/>
      <c r="F234" s="3"/>
    </row>
    <row r="235" spans="2:6" ht="15.75">
      <c r="B235" s="4"/>
      <c r="C235" s="4"/>
      <c r="D235" s="4"/>
      <c r="E235" s="4"/>
      <c r="F235" s="3"/>
    </row>
    <row r="236" spans="2:6" ht="15.75">
      <c r="B236" s="4"/>
      <c r="C236" s="4"/>
      <c r="D236" s="4"/>
      <c r="E236" s="4"/>
      <c r="F236" s="3"/>
    </row>
    <row r="237" spans="2:6" ht="15.75">
      <c r="B237" s="4"/>
      <c r="C237" s="4"/>
      <c r="D237" s="4"/>
      <c r="E237" s="4"/>
      <c r="F237" s="3"/>
    </row>
    <row r="238" spans="2:6" ht="15.75">
      <c r="B238" s="4"/>
      <c r="C238" s="4"/>
      <c r="D238" s="4"/>
      <c r="E238" s="4"/>
      <c r="F238" s="3"/>
    </row>
    <row r="239" spans="2:6" ht="15.75">
      <c r="B239" s="4"/>
      <c r="C239" s="4"/>
      <c r="D239" s="4"/>
      <c r="E239" s="4"/>
      <c r="F239" s="3"/>
    </row>
    <row r="240" spans="2:6" ht="15.75">
      <c r="B240" s="4"/>
      <c r="C240" s="4"/>
      <c r="D240" s="4"/>
      <c r="E240" s="4"/>
      <c r="F240" s="3"/>
    </row>
    <row r="241" spans="2:6" ht="15.75">
      <c r="B241" s="4"/>
      <c r="C241" s="4"/>
      <c r="D241" s="4"/>
      <c r="E241" s="4"/>
      <c r="F241" s="3"/>
    </row>
    <row r="242" spans="2:6" ht="15.75">
      <c r="B242" s="4"/>
      <c r="C242" s="4"/>
      <c r="D242" s="4"/>
      <c r="E242" s="4"/>
      <c r="F242" s="3"/>
    </row>
    <row r="243" spans="2:6" ht="15.75">
      <c r="B243" s="4"/>
      <c r="C243" s="4"/>
      <c r="D243" s="4"/>
      <c r="E243" s="4"/>
      <c r="F243" s="3"/>
    </row>
    <row r="244" spans="2:6" ht="15.75">
      <c r="B244" s="4"/>
      <c r="C244" s="4"/>
      <c r="D244" s="4"/>
      <c r="E244" s="4"/>
      <c r="F244" s="3"/>
    </row>
    <row r="245" spans="2:6" ht="15.75">
      <c r="B245" s="4"/>
      <c r="C245" s="4"/>
      <c r="D245" s="4"/>
      <c r="E245" s="4"/>
      <c r="F245" s="3"/>
    </row>
    <row r="246" spans="2:6" ht="15.75">
      <c r="B246" s="4"/>
      <c r="C246" s="4"/>
      <c r="D246" s="4"/>
      <c r="E246" s="4"/>
      <c r="F246" s="3"/>
    </row>
    <row r="247" spans="2:6" ht="15.75">
      <c r="B247" s="4"/>
      <c r="C247" s="4"/>
      <c r="D247" s="4"/>
      <c r="E247" s="4"/>
      <c r="F247" s="3"/>
    </row>
    <row r="248" spans="2:6" ht="15.75">
      <c r="B248" s="4"/>
      <c r="C248" s="4"/>
      <c r="D248" s="4"/>
      <c r="E248" s="4"/>
      <c r="F248" s="3"/>
    </row>
    <row r="249" spans="2:6" ht="15.75">
      <c r="B249" s="4"/>
      <c r="C249" s="4"/>
      <c r="D249" s="4"/>
      <c r="E249" s="4"/>
      <c r="F249" s="3"/>
    </row>
    <row r="250" spans="2:6" ht="15.75">
      <c r="B250" s="4"/>
      <c r="C250" s="4"/>
      <c r="D250" s="4"/>
      <c r="E250" s="4"/>
      <c r="F250" s="3"/>
    </row>
    <row r="251" spans="2:6" ht="15.75">
      <c r="B251" s="4"/>
      <c r="C251" s="4"/>
      <c r="D251" s="4"/>
      <c r="E251" s="4"/>
      <c r="F251" s="3"/>
    </row>
    <row r="252" spans="2:6" ht="15.75">
      <c r="B252" s="4"/>
      <c r="C252" s="4"/>
      <c r="D252" s="4"/>
      <c r="E252" s="4"/>
      <c r="F252" s="3"/>
    </row>
  </sheetData>
  <sheetProtection/>
  <printOptions horizontalCentered="1"/>
  <pageMargins left="0.6692913385826772" right="0.3937007874015748" top="0.5905511811023623" bottom="0.5118110236220472" header="0.31496062992125984" footer="0.31496062992125984"/>
  <pageSetup horizontalDpi="300" verticalDpi="300" orientation="portrait" paperSize="9" scale="70" r:id="rId1"/>
  <headerFooter alignWithMargins="0">
    <oddFooter>&amp;R&amp;P</oddFooter>
  </headerFooter>
  <rowBreaks count="1" manualBreakCount="1">
    <brk id="63" min="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1:Y252"/>
  <sheetViews>
    <sheetView view="pageBreakPreview" zoomScaleSheetLayoutView="100" workbookViewId="0" topLeftCell="A1">
      <selection activeCell="F2" sqref="F2"/>
    </sheetView>
  </sheetViews>
  <sheetFormatPr defaultColWidth="9.140625" defaultRowHeight="15"/>
  <cols>
    <col min="1" max="1" width="9.140625" style="103" customWidth="1"/>
    <col min="2" max="2" width="74.8515625" style="103" customWidth="1"/>
    <col min="3" max="3" width="10.7109375" style="103" customWidth="1"/>
    <col min="4" max="4" width="11.7109375" style="103" customWidth="1"/>
    <col min="5" max="5" width="12.8515625" style="103" customWidth="1"/>
    <col min="6" max="6" width="12.8515625" style="110" customWidth="1"/>
    <col min="7" max="16384" width="9.140625" style="103" customWidth="1"/>
  </cols>
  <sheetData>
    <row r="1" s="4" customFormat="1" ht="15.75">
      <c r="F1" s="71" t="s">
        <v>23</v>
      </c>
    </row>
    <row r="2" spans="2:6" s="4" customFormat="1" ht="20.25">
      <c r="B2" s="68" t="s">
        <v>104</v>
      </c>
      <c r="F2" s="144" t="s">
        <v>68</v>
      </c>
    </row>
    <row r="3" spans="2:6" s="4" customFormat="1" ht="15.75">
      <c r="B3" s="85" t="s">
        <v>772</v>
      </c>
      <c r="C3" s="101"/>
      <c r="D3" s="101"/>
      <c r="E3" s="101"/>
      <c r="F3" s="98"/>
    </row>
    <row r="4" spans="2:6" s="4" customFormat="1" ht="15.75">
      <c r="B4" s="84" t="s">
        <v>390</v>
      </c>
      <c r="C4" s="97"/>
      <c r="D4" s="97"/>
      <c r="E4" s="97"/>
      <c r="F4" s="85"/>
    </row>
    <row r="5" spans="2:6" ht="15.75">
      <c r="B5" s="102"/>
      <c r="F5" s="103"/>
    </row>
    <row r="6" spans="2:6" ht="31.5">
      <c r="B6" s="72" t="s">
        <v>76</v>
      </c>
      <c r="C6" s="79" t="s">
        <v>77</v>
      </c>
      <c r="D6" s="104" t="s">
        <v>769</v>
      </c>
      <c r="E6" s="104" t="s">
        <v>770</v>
      </c>
      <c r="F6" s="105" t="s">
        <v>28</v>
      </c>
    </row>
    <row r="7" spans="2:6" ht="15.75">
      <c r="B7" s="106" t="s">
        <v>328</v>
      </c>
      <c r="C7" s="107" t="s">
        <v>112</v>
      </c>
      <c r="D7" s="92">
        <v>18036</v>
      </c>
      <c r="E7" s="92">
        <v>101097</v>
      </c>
      <c r="F7" s="93">
        <f>+D7+E7</f>
        <v>119133</v>
      </c>
    </row>
    <row r="8" spans="2:6" ht="15.75">
      <c r="B8" s="82" t="s">
        <v>329</v>
      </c>
      <c r="C8" s="107" t="s">
        <v>113</v>
      </c>
      <c r="D8" s="92"/>
      <c r="E8" s="92">
        <v>2195</v>
      </c>
      <c r="F8" s="93">
        <f>+D8+E8</f>
        <v>2195</v>
      </c>
    </row>
    <row r="9" spans="2:6" ht="15.75">
      <c r="B9" s="108" t="s">
        <v>526</v>
      </c>
      <c r="C9" s="109" t="s">
        <v>114</v>
      </c>
      <c r="D9" s="93">
        <f>SUM(D7:D8)</f>
        <v>18036</v>
      </c>
      <c r="E9" s="93">
        <f>SUM(E7:E8)</f>
        <v>103292</v>
      </c>
      <c r="F9" s="93">
        <f>SUM(F7:F8)</f>
        <v>121328</v>
      </c>
    </row>
    <row r="10" spans="2:6" ht="15.75">
      <c r="B10" s="90" t="s">
        <v>553</v>
      </c>
      <c r="C10" s="109" t="s">
        <v>115</v>
      </c>
      <c r="D10" s="92">
        <v>4533</v>
      </c>
      <c r="E10" s="92">
        <v>29167</v>
      </c>
      <c r="F10" s="93">
        <f aca="true" t="shared" si="0" ref="F10:F15">+D10+E10</f>
        <v>33700</v>
      </c>
    </row>
    <row r="11" spans="2:6" ht="15.75">
      <c r="B11" s="82" t="s">
        <v>330</v>
      </c>
      <c r="C11" s="107" t="s">
        <v>116</v>
      </c>
      <c r="D11" s="92">
        <v>200</v>
      </c>
      <c r="E11" s="92">
        <v>47339</v>
      </c>
      <c r="F11" s="93">
        <f t="shared" si="0"/>
        <v>47539</v>
      </c>
    </row>
    <row r="12" spans="2:6" ht="15.75">
      <c r="B12" s="82" t="s">
        <v>561</v>
      </c>
      <c r="C12" s="107" t="s">
        <v>117</v>
      </c>
      <c r="D12" s="92">
        <v>320</v>
      </c>
      <c r="E12" s="92">
        <v>6330</v>
      </c>
      <c r="F12" s="93">
        <f t="shared" si="0"/>
        <v>6650</v>
      </c>
    </row>
    <row r="13" spans="2:6" ht="15.75">
      <c r="B13" s="82" t="s">
        <v>331</v>
      </c>
      <c r="C13" s="107" t="s">
        <v>118</v>
      </c>
      <c r="D13" s="92">
        <v>4690</v>
      </c>
      <c r="E13" s="92">
        <v>138105</v>
      </c>
      <c r="F13" s="93">
        <f t="shared" si="0"/>
        <v>142795</v>
      </c>
    </row>
    <row r="14" spans="2:6" ht="15.75">
      <c r="B14" s="82" t="s">
        <v>332</v>
      </c>
      <c r="C14" s="107" t="s">
        <v>119</v>
      </c>
      <c r="D14" s="92">
        <v>300</v>
      </c>
      <c r="E14" s="92">
        <v>700</v>
      </c>
      <c r="F14" s="93">
        <f t="shared" si="0"/>
        <v>1000</v>
      </c>
    </row>
    <row r="15" spans="2:6" ht="15.75">
      <c r="B15" s="82" t="s">
        <v>333</v>
      </c>
      <c r="C15" s="107" t="s">
        <v>120</v>
      </c>
      <c r="D15" s="92">
        <v>450</v>
      </c>
      <c r="E15" s="92">
        <v>21210</v>
      </c>
      <c r="F15" s="93">
        <f t="shared" si="0"/>
        <v>21660</v>
      </c>
    </row>
    <row r="16" spans="2:6" ht="15.75">
      <c r="B16" s="90" t="s">
        <v>525</v>
      </c>
      <c r="C16" s="109" t="s">
        <v>121</v>
      </c>
      <c r="D16" s="93">
        <f>SUM(D11:D15)</f>
        <v>5960</v>
      </c>
      <c r="E16" s="93">
        <f>SUM(E11:E15)</f>
        <v>213684</v>
      </c>
      <c r="F16" s="93">
        <f>SUM(F11:F15)</f>
        <v>219644</v>
      </c>
    </row>
    <row r="17" spans="2:6" ht="15.75">
      <c r="B17" s="78" t="s">
        <v>398</v>
      </c>
      <c r="C17" s="109" t="s">
        <v>128</v>
      </c>
      <c r="D17" s="92"/>
      <c r="E17" s="92"/>
      <c r="F17" s="93">
        <f aca="true" t="shared" si="1" ref="F17:F30">+D17+E17</f>
        <v>0</v>
      </c>
    </row>
    <row r="18" spans="2:6" ht="15.75">
      <c r="B18" s="88" t="s">
        <v>554</v>
      </c>
      <c r="C18" s="107" t="s">
        <v>129</v>
      </c>
      <c r="D18" s="92"/>
      <c r="E18" s="92"/>
      <c r="F18" s="93">
        <f t="shared" si="1"/>
        <v>0</v>
      </c>
    </row>
    <row r="19" spans="2:6" ht="15.75">
      <c r="B19" s="88" t="s">
        <v>130</v>
      </c>
      <c r="C19" s="107" t="s">
        <v>131</v>
      </c>
      <c r="D19" s="92"/>
      <c r="E19" s="92"/>
      <c r="F19" s="93">
        <f t="shared" si="1"/>
        <v>0</v>
      </c>
    </row>
    <row r="20" spans="2:6" ht="15.75">
      <c r="B20" s="88" t="s">
        <v>803</v>
      </c>
      <c r="C20" s="107" t="s">
        <v>132</v>
      </c>
      <c r="D20" s="92"/>
      <c r="E20" s="92"/>
      <c r="F20" s="93">
        <f t="shared" si="1"/>
        <v>0</v>
      </c>
    </row>
    <row r="21" spans="2:6" ht="15.75">
      <c r="B21" s="88" t="s">
        <v>802</v>
      </c>
      <c r="C21" s="107" t="s">
        <v>133</v>
      </c>
      <c r="D21" s="92"/>
      <c r="E21" s="92"/>
      <c r="F21" s="93">
        <f t="shared" si="1"/>
        <v>0</v>
      </c>
    </row>
    <row r="22" spans="2:6" ht="15.75">
      <c r="B22" s="88" t="s">
        <v>801</v>
      </c>
      <c r="C22" s="107" t="s">
        <v>134</v>
      </c>
      <c r="D22" s="92"/>
      <c r="E22" s="92"/>
      <c r="F22" s="93">
        <f t="shared" si="1"/>
        <v>0</v>
      </c>
    </row>
    <row r="23" spans="2:6" ht="15.75">
      <c r="B23" s="88" t="s">
        <v>804</v>
      </c>
      <c r="C23" s="107" t="s">
        <v>135</v>
      </c>
      <c r="D23" s="92"/>
      <c r="E23" s="92"/>
      <c r="F23" s="93">
        <f t="shared" si="1"/>
        <v>0</v>
      </c>
    </row>
    <row r="24" spans="2:6" ht="15.75">
      <c r="B24" s="88" t="s">
        <v>799</v>
      </c>
      <c r="C24" s="107" t="s">
        <v>136</v>
      </c>
      <c r="D24" s="92"/>
      <c r="E24" s="92"/>
      <c r="F24" s="93">
        <f t="shared" si="1"/>
        <v>0</v>
      </c>
    </row>
    <row r="25" spans="2:6" ht="15.75">
      <c r="B25" s="88" t="s">
        <v>798</v>
      </c>
      <c r="C25" s="107" t="s">
        <v>137</v>
      </c>
      <c r="D25" s="92"/>
      <c r="E25" s="92"/>
      <c r="F25" s="93">
        <f t="shared" si="1"/>
        <v>0</v>
      </c>
    </row>
    <row r="26" spans="2:6" ht="15.75">
      <c r="B26" s="88" t="s">
        <v>138</v>
      </c>
      <c r="C26" s="107" t="s">
        <v>139</v>
      </c>
      <c r="D26" s="92"/>
      <c r="E26" s="92"/>
      <c r="F26" s="93">
        <f t="shared" si="1"/>
        <v>0</v>
      </c>
    </row>
    <row r="27" spans="2:6" ht="15.75">
      <c r="B27" s="87" t="s">
        <v>140</v>
      </c>
      <c r="C27" s="107" t="s">
        <v>141</v>
      </c>
      <c r="D27" s="92"/>
      <c r="E27" s="92"/>
      <c r="F27" s="93">
        <f t="shared" si="1"/>
        <v>0</v>
      </c>
    </row>
    <row r="28" spans="2:6" ht="15.75">
      <c r="B28" s="88" t="s">
        <v>555</v>
      </c>
      <c r="C28" s="107" t="s">
        <v>142</v>
      </c>
      <c r="D28" s="92"/>
      <c r="E28" s="92"/>
      <c r="F28" s="93">
        <f t="shared" si="1"/>
        <v>0</v>
      </c>
    </row>
    <row r="29" spans="2:6" ht="15.75">
      <c r="B29" s="87" t="s">
        <v>790</v>
      </c>
      <c r="C29" s="107" t="s">
        <v>143</v>
      </c>
      <c r="D29" s="92"/>
      <c r="E29" s="92"/>
      <c r="F29" s="93">
        <f t="shared" si="1"/>
        <v>0</v>
      </c>
    </row>
    <row r="30" spans="2:6" ht="15.75">
      <c r="B30" s="87" t="s">
        <v>791</v>
      </c>
      <c r="C30" s="107" t="s">
        <v>143</v>
      </c>
      <c r="D30" s="92"/>
      <c r="E30" s="92"/>
      <c r="F30" s="93">
        <f t="shared" si="1"/>
        <v>0</v>
      </c>
    </row>
    <row r="31" spans="2:6" s="110" customFormat="1" ht="15.75">
      <c r="B31" s="78" t="s">
        <v>524</v>
      </c>
      <c r="C31" s="109" t="s">
        <v>144</v>
      </c>
      <c r="D31" s="93">
        <f>SUM(D18:D30)</f>
        <v>0</v>
      </c>
      <c r="E31" s="93">
        <f>SUM(E18:E30)</f>
        <v>0</v>
      </c>
      <c r="F31" s="93">
        <f>SUM(F18:F30)</f>
        <v>0</v>
      </c>
    </row>
    <row r="32" spans="2:6" ht="15.75">
      <c r="B32" s="111" t="s">
        <v>523</v>
      </c>
      <c r="C32" s="112" t="s">
        <v>673</v>
      </c>
      <c r="D32" s="113">
        <f>+D31+D17+D16+D10+D9</f>
        <v>28529</v>
      </c>
      <c r="E32" s="113">
        <f>+E31+E17+E16+E10+E9</f>
        <v>346143</v>
      </c>
      <c r="F32" s="113">
        <f>+F31+F17+F16+F10+F9</f>
        <v>374672</v>
      </c>
    </row>
    <row r="33" spans="2:9" ht="15.75">
      <c r="B33" s="114" t="s">
        <v>145</v>
      </c>
      <c r="C33" s="107" t="s">
        <v>146</v>
      </c>
      <c r="D33" s="92"/>
      <c r="E33" s="92"/>
      <c r="F33" s="93">
        <f aca="true" t="shared" si="2" ref="F33:F39">+D33+E33</f>
        <v>0</v>
      </c>
      <c r="I33" s="115"/>
    </row>
    <row r="34" spans="2:6" ht="15.75">
      <c r="B34" s="114" t="s">
        <v>556</v>
      </c>
      <c r="C34" s="107" t="s">
        <v>147</v>
      </c>
      <c r="D34" s="92"/>
      <c r="E34" s="92"/>
      <c r="F34" s="93">
        <f t="shared" si="2"/>
        <v>0</v>
      </c>
    </row>
    <row r="35" spans="2:6" ht="15.75">
      <c r="B35" s="114" t="s">
        <v>148</v>
      </c>
      <c r="C35" s="107" t="s">
        <v>149</v>
      </c>
      <c r="D35" s="92"/>
      <c r="E35" s="92"/>
      <c r="F35" s="93">
        <f t="shared" si="2"/>
        <v>0</v>
      </c>
    </row>
    <row r="36" spans="2:6" ht="15.75">
      <c r="B36" s="114" t="s">
        <v>150</v>
      </c>
      <c r="C36" s="107" t="s">
        <v>151</v>
      </c>
      <c r="D36" s="92"/>
      <c r="E36" s="92">
        <v>11613</v>
      </c>
      <c r="F36" s="93">
        <f t="shared" si="2"/>
        <v>11613</v>
      </c>
    </row>
    <row r="37" spans="2:6" ht="15.75">
      <c r="B37" s="81" t="s">
        <v>152</v>
      </c>
      <c r="C37" s="107" t="s">
        <v>153</v>
      </c>
      <c r="D37" s="92"/>
      <c r="E37" s="92"/>
      <c r="F37" s="93">
        <f t="shared" si="2"/>
        <v>0</v>
      </c>
    </row>
    <row r="38" spans="2:6" ht="15.75">
      <c r="B38" s="81" t="s">
        <v>154</v>
      </c>
      <c r="C38" s="107" t="s">
        <v>155</v>
      </c>
      <c r="D38" s="92"/>
      <c r="E38" s="92"/>
      <c r="F38" s="93">
        <f t="shared" si="2"/>
        <v>0</v>
      </c>
    </row>
    <row r="39" spans="2:6" ht="15.75">
      <c r="B39" s="81" t="s">
        <v>156</v>
      </c>
      <c r="C39" s="107" t="s">
        <v>157</v>
      </c>
      <c r="D39" s="92"/>
      <c r="E39" s="92">
        <v>3136</v>
      </c>
      <c r="F39" s="93">
        <f t="shared" si="2"/>
        <v>3136</v>
      </c>
    </row>
    <row r="40" spans="2:6" s="110" customFormat="1" ht="15.75">
      <c r="B40" s="83" t="s">
        <v>522</v>
      </c>
      <c r="C40" s="109" t="s">
        <v>158</v>
      </c>
      <c r="D40" s="93">
        <f>SUM(D33:D39)</f>
        <v>0</v>
      </c>
      <c r="E40" s="93">
        <f>SUM(E33:E39)</f>
        <v>14749</v>
      </c>
      <c r="F40" s="93">
        <f>SUM(F33:F39)</f>
        <v>14749</v>
      </c>
    </row>
    <row r="41" spans="2:6" ht="15.75">
      <c r="B41" s="80" t="s">
        <v>159</v>
      </c>
      <c r="C41" s="107" t="s">
        <v>160</v>
      </c>
      <c r="D41" s="92"/>
      <c r="E41" s="92"/>
      <c r="F41" s="93">
        <f>+D41+E41</f>
        <v>0</v>
      </c>
    </row>
    <row r="42" spans="2:6" ht="15.75">
      <c r="B42" s="80" t="s">
        <v>161</v>
      </c>
      <c r="C42" s="107" t="s">
        <v>162</v>
      </c>
      <c r="D42" s="92"/>
      <c r="E42" s="92"/>
      <c r="F42" s="93">
        <f>+D42+E42</f>
        <v>0</v>
      </c>
    </row>
    <row r="43" spans="2:6" ht="15.75">
      <c r="B43" s="80" t="s">
        <v>163</v>
      </c>
      <c r="C43" s="107" t="s">
        <v>164</v>
      </c>
      <c r="D43" s="92"/>
      <c r="E43" s="92"/>
      <c r="F43" s="93">
        <f>+D43+E43</f>
        <v>0</v>
      </c>
    </row>
    <row r="44" spans="2:6" ht="15.75">
      <c r="B44" s="80" t="s">
        <v>165</v>
      </c>
      <c r="C44" s="107" t="s">
        <v>166</v>
      </c>
      <c r="D44" s="92"/>
      <c r="E44" s="92"/>
      <c r="F44" s="93">
        <f>+D44+E44</f>
        <v>0</v>
      </c>
    </row>
    <row r="45" spans="2:6" s="110" customFormat="1" ht="15.75">
      <c r="B45" s="90" t="s">
        <v>521</v>
      </c>
      <c r="C45" s="109" t="s">
        <v>167</v>
      </c>
      <c r="D45" s="93">
        <f>SUM(D41:D44)</f>
        <v>0</v>
      </c>
      <c r="E45" s="93">
        <f>SUM(E41:E44)</f>
        <v>0</v>
      </c>
      <c r="F45" s="93">
        <f>SUM(F41:F44)</f>
        <v>0</v>
      </c>
    </row>
    <row r="46" spans="2:6" ht="15.75">
      <c r="B46" s="80" t="s">
        <v>793</v>
      </c>
      <c r="C46" s="107" t="s">
        <v>168</v>
      </c>
      <c r="D46" s="92"/>
      <c r="E46" s="92"/>
      <c r="F46" s="93">
        <f aca="true" t="shared" si="3" ref="F46:F53">+D46+E46</f>
        <v>0</v>
      </c>
    </row>
    <row r="47" spans="2:6" ht="15.75">
      <c r="B47" s="80" t="s">
        <v>794</v>
      </c>
      <c r="C47" s="107" t="s">
        <v>169</v>
      </c>
      <c r="D47" s="92"/>
      <c r="E47" s="92"/>
      <c r="F47" s="93">
        <f t="shared" si="3"/>
        <v>0</v>
      </c>
    </row>
    <row r="48" spans="2:6" ht="15.75">
      <c r="B48" s="80" t="s">
        <v>795</v>
      </c>
      <c r="C48" s="107" t="s">
        <v>170</v>
      </c>
      <c r="D48" s="92"/>
      <c r="E48" s="92"/>
      <c r="F48" s="93">
        <f t="shared" si="3"/>
        <v>0</v>
      </c>
    </row>
    <row r="49" spans="2:6" ht="15.75">
      <c r="B49" s="80" t="s">
        <v>805</v>
      </c>
      <c r="C49" s="107" t="s">
        <v>171</v>
      </c>
      <c r="D49" s="92"/>
      <c r="E49" s="92"/>
      <c r="F49" s="93">
        <f t="shared" si="3"/>
        <v>0</v>
      </c>
    </row>
    <row r="50" spans="2:6" ht="15.75">
      <c r="B50" s="80" t="s">
        <v>796</v>
      </c>
      <c r="C50" s="107" t="s">
        <v>172</v>
      </c>
      <c r="D50" s="92"/>
      <c r="E50" s="92"/>
      <c r="F50" s="93">
        <f t="shared" si="3"/>
        <v>0</v>
      </c>
    </row>
    <row r="51" spans="2:6" ht="15.75">
      <c r="B51" s="80" t="s">
        <v>797</v>
      </c>
      <c r="C51" s="107" t="s">
        <v>173</v>
      </c>
      <c r="D51" s="92"/>
      <c r="E51" s="92"/>
      <c r="F51" s="93">
        <f t="shared" si="3"/>
        <v>0</v>
      </c>
    </row>
    <row r="52" spans="2:6" ht="15.75">
      <c r="B52" s="80" t="s">
        <v>174</v>
      </c>
      <c r="C52" s="107" t="s">
        <v>175</v>
      </c>
      <c r="D52" s="92"/>
      <c r="E52" s="92"/>
      <c r="F52" s="93">
        <f t="shared" si="3"/>
        <v>0</v>
      </c>
    </row>
    <row r="53" spans="2:6" ht="15.75">
      <c r="B53" s="80" t="s">
        <v>557</v>
      </c>
      <c r="C53" s="107" t="s">
        <v>176</v>
      </c>
      <c r="D53" s="92"/>
      <c r="E53" s="92"/>
      <c r="F53" s="93">
        <f t="shared" si="3"/>
        <v>0</v>
      </c>
    </row>
    <row r="54" spans="2:6" s="110" customFormat="1" ht="15.75">
      <c r="B54" s="78" t="s">
        <v>520</v>
      </c>
      <c r="C54" s="109" t="s">
        <v>177</v>
      </c>
      <c r="D54" s="93">
        <f>SUM(D46:D53)</f>
        <v>0</v>
      </c>
      <c r="E54" s="93">
        <f>SUM(E46:E53)</f>
        <v>0</v>
      </c>
      <c r="F54" s="93">
        <f>SUM(F46:F53)</f>
        <v>0</v>
      </c>
    </row>
    <row r="55" spans="2:6" ht="15.75">
      <c r="B55" s="111" t="s">
        <v>519</v>
      </c>
      <c r="C55" s="112" t="s">
        <v>674</v>
      </c>
      <c r="D55" s="113">
        <f>+D54+D45+D40</f>
        <v>0</v>
      </c>
      <c r="E55" s="113">
        <f>+E54+E45+E40</f>
        <v>14749</v>
      </c>
      <c r="F55" s="113">
        <f>+F54+F45+F40</f>
        <v>14749</v>
      </c>
    </row>
    <row r="56" spans="2:6" ht="15.75">
      <c r="B56" s="116" t="s">
        <v>518</v>
      </c>
      <c r="C56" s="117" t="s">
        <v>675</v>
      </c>
      <c r="D56" s="118">
        <f>+D54+D45+D40+D31+D17+D16+D10+D9</f>
        <v>28529</v>
      </c>
      <c r="E56" s="118">
        <f>+E54+E45+E40+E31+E17+E16+E10+E9</f>
        <v>360892</v>
      </c>
      <c r="F56" s="118">
        <f>+F54+F45+F40+F31+F17+F16+F10+F9</f>
        <v>389421</v>
      </c>
    </row>
    <row r="57" spans="2:25" ht="15.75">
      <c r="B57" s="125" t="s">
        <v>542</v>
      </c>
      <c r="C57" s="90" t="s">
        <v>204</v>
      </c>
      <c r="D57" s="188"/>
      <c r="E57" s="188"/>
      <c r="F57" s="93">
        <f>+D57+E57</f>
        <v>0</v>
      </c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0"/>
      <c r="Y57" s="120"/>
    </row>
    <row r="58" spans="2:25" ht="15.75">
      <c r="B58" s="125" t="s">
        <v>547</v>
      </c>
      <c r="C58" s="90" t="s">
        <v>214</v>
      </c>
      <c r="D58" s="188"/>
      <c r="E58" s="188"/>
      <c r="F58" s="93">
        <f>+D58+E58</f>
        <v>0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0"/>
      <c r="Y58" s="120"/>
    </row>
    <row r="59" spans="2:25" ht="15.75">
      <c r="B59" s="80" t="s">
        <v>215</v>
      </c>
      <c r="C59" s="82" t="s">
        <v>216</v>
      </c>
      <c r="D59" s="188"/>
      <c r="E59" s="188"/>
      <c r="F59" s="93">
        <f>+D59+E59</f>
        <v>0</v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20"/>
      <c r="Y59" s="120"/>
    </row>
    <row r="60" spans="2:25" ht="15.75">
      <c r="B60" s="128" t="s">
        <v>517</v>
      </c>
      <c r="C60" s="129" t="s">
        <v>217</v>
      </c>
      <c r="D60" s="130">
        <f>+D59+D58+D57</f>
        <v>0</v>
      </c>
      <c r="E60" s="130">
        <f>+E59+E58+E57</f>
        <v>0</v>
      </c>
      <c r="F60" s="130">
        <f>+F59+F58+F57</f>
        <v>0</v>
      </c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0"/>
      <c r="Y60" s="120"/>
    </row>
    <row r="61" spans="2:25" ht="15.75">
      <c r="B61" s="75" t="s">
        <v>771</v>
      </c>
      <c r="C61" s="75" t="s">
        <v>671</v>
      </c>
      <c r="D61" s="131">
        <f>+D56+D60</f>
        <v>28529</v>
      </c>
      <c r="E61" s="131">
        <f>+E56+E60</f>
        <v>360892</v>
      </c>
      <c r="F61" s="131">
        <f>+F56+F60</f>
        <v>389421</v>
      </c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</row>
    <row r="62" spans="2:25" ht="15.75">
      <c r="B62" s="4"/>
      <c r="C62" s="132"/>
      <c r="D62" s="133"/>
      <c r="E62" s="133"/>
      <c r="F62" s="134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</row>
    <row r="63" spans="2:25" ht="15.75">
      <c r="B63" s="4"/>
      <c r="C63" s="132"/>
      <c r="D63" s="133"/>
      <c r="E63" s="133"/>
      <c r="F63" s="134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</row>
    <row r="64" spans="2:25" ht="31.5">
      <c r="B64" s="72" t="s">
        <v>76</v>
      </c>
      <c r="C64" s="79" t="s">
        <v>31</v>
      </c>
      <c r="D64" s="135" t="s">
        <v>769</v>
      </c>
      <c r="E64" s="135" t="s">
        <v>770</v>
      </c>
      <c r="F64" s="136" t="s">
        <v>28</v>
      </c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</row>
    <row r="65" spans="2:25" ht="15.75">
      <c r="B65" s="90" t="s">
        <v>620</v>
      </c>
      <c r="C65" s="83" t="s">
        <v>230</v>
      </c>
      <c r="D65" s="93"/>
      <c r="E65" s="93"/>
      <c r="F65" s="93">
        <f aca="true" t="shared" si="4" ref="F65:F70">+E65+D65</f>
        <v>0</v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</row>
    <row r="66" spans="2:25" ht="15.75">
      <c r="B66" s="82" t="s">
        <v>231</v>
      </c>
      <c r="C66" s="81" t="s">
        <v>232</v>
      </c>
      <c r="D66" s="93"/>
      <c r="E66" s="93"/>
      <c r="F66" s="93">
        <f t="shared" si="4"/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</row>
    <row r="67" spans="2:25" ht="15.75">
      <c r="B67" s="82" t="s">
        <v>768</v>
      </c>
      <c r="C67" s="81" t="s">
        <v>233</v>
      </c>
      <c r="D67" s="93"/>
      <c r="E67" s="93"/>
      <c r="F67" s="93">
        <f t="shared" si="4"/>
        <v>0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</row>
    <row r="68" spans="2:25" ht="15.75">
      <c r="B68" s="82" t="s">
        <v>766</v>
      </c>
      <c r="C68" s="81" t="s">
        <v>234</v>
      </c>
      <c r="D68" s="93"/>
      <c r="E68" s="93"/>
      <c r="F68" s="93">
        <f t="shared" si="4"/>
        <v>0</v>
      </c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</row>
    <row r="69" spans="2:25" ht="15.75">
      <c r="B69" s="82" t="s">
        <v>767</v>
      </c>
      <c r="C69" s="81" t="s">
        <v>235</v>
      </c>
      <c r="D69" s="93"/>
      <c r="E69" s="93"/>
      <c r="F69" s="93">
        <f t="shared" si="4"/>
        <v>0</v>
      </c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</row>
    <row r="70" spans="2:25" ht="15.75">
      <c r="B70" s="82" t="s">
        <v>572</v>
      </c>
      <c r="C70" s="81" t="s">
        <v>236</v>
      </c>
      <c r="D70" s="92">
        <v>30587</v>
      </c>
      <c r="E70" s="92">
        <v>326484</v>
      </c>
      <c r="F70" s="93">
        <f t="shared" si="4"/>
        <v>357071</v>
      </c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</row>
    <row r="71" spans="2:25" ht="15.75">
      <c r="B71" s="90" t="s">
        <v>527</v>
      </c>
      <c r="C71" s="83" t="s">
        <v>237</v>
      </c>
      <c r="D71" s="93">
        <f>+D70+D69+D68+D67+D66+D65</f>
        <v>30587</v>
      </c>
      <c r="E71" s="93">
        <f>+E70+E69+E68+E67+E66+E65</f>
        <v>326484</v>
      </c>
      <c r="F71" s="93">
        <f>+F70+F69+F68+F67+F66+F65</f>
        <v>357071</v>
      </c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</row>
    <row r="72" spans="2:25" ht="15.75">
      <c r="B72" s="90" t="s">
        <v>622</v>
      </c>
      <c r="C72" s="83" t="s">
        <v>242</v>
      </c>
      <c r="D72" s="92"/>
      <c r="E72" s="92"/>
      <c r="F72" s="93">
        <f aca="true" t="shared" si="5" ref="F72:F78">+E72+D72</f>
        <v>0</v>
      </c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</row>
    <row r="73" spans="2:25" ht="15.75">
      <c r="B73" s="82" t="s">
        <v>623</v>
      </c>
      <c r="C73" s="81" t="s">
        <v>243</v>
      </c>
      <c r="D73" s="92"/>
      <c r="E73" s="92"/>
      <c r="F73" s="93">
        <f t="shared" si="5"/>
        <v>0</v>
      </c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</row>
    <row r="74" spans="2:25" ht="15.75">
      <c r="B74" s="82" t="s">
        <v>573</v>
      </c>
      <c r="C74" s="81" t="s">
        <v>244</v>
      </c>
      <c r="D74" s="92"/>
      <c r="E74" s="92"/>
      <c r="F74" s="93">
        <f t="shared" si="5"/>
        <v>0</v>
      </c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</row>
    <row r="75" spans="2:25" ht="15.75">
      <c r="B75" s="82" t="s">
        <v>574</v>
      </c>
      <c r="C75" s="81" t="s">
        <v>245</v>
      </c>
      <c r="D75" s="92"/>
      <c r="E75" s="92"/>
      <c r="F75" s="93">
        <f t="shared" si="5"/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</row>
    <row r="76" spans="2:25" ht="15.75">
      <c r="B76" s="82" t="s">
        <v>575</v>
      </c>
      <c r="C76" s="81" t="s">
        <v>246</v>
      </c>
      <c r="D76" s="92"/>
      <c r="E76" s="92"/>
      <c r="F76" s="93">
        <f t="shared" si="5"/>
        <v>0</v>
      </c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2:25" ht="15.75">
      <c r="B77" s="82" t="s">
        <v>624</v>
      </c>
      <c r="C77" s="81" t="s">
        <v>258</v>
      </c>
      <c r="D77" s="92"/>
      <c r="E77" s="92"/>
      <c r="F77" s="93">
        <f t="shared" si="5"/>
        <v>0</v>
      </c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2:25" ht="15.75">
      <c r="B78" s="82" t="s">
        <v>578</v>
      </c>
      <c r="C78" s="81" t="s">
        <v>259</v>
      </c>
      <c r="D78" s="92"/>
      <c r="E78" s="92"/>
      <c r="F78" s="93">
        <f t="shared" si="5"/>
        <v>0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2:25" ht="15.75">
      <c r="B79" s="90" t="s">
        <v>434</v>
      </c>
      <c r="C79" s="83" t="s">
        <v>260</v>
      </c>
      <c r="D79" s="93">
        <f>SUM(D73:D78)</f>
        <v>0</v>
      </c>
      <c r="E79" s="93">
        <f>SUM(E73:E78)</f>
        <v>0</v>
      </c>
      <c r="F79" s="93">
        <f>SUM(F73:F78)</f>
        <v>0</v>
      </c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2:25" ht="15.75">
      <c r="B80" s="80" t="s">
        <v>261</v>
      </c>
      <c r="C80" s="81" t="s">
        <v>262</v>
      </c>
      <c r="D80" s="92"/>
      <c r="E80" s="92">
        <v>200</v>
      </c>
      <c r="F80" s="93">
        <f aca="true" t="shared" si="6" ref="F80:F89">+E80+D80</f>
        <v>200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2:25" ht="15.75">
      <c r="B81" s="80" t="s">
        <v>579</v>
      </c>
      <c r="C81" s="81" t="s">
        <v>263</v>
      </c>
      <c r="D81" s="92"/>
      <c r="E81" s="92">
        <v>31700</v>
      </c>
      <c r="F81" s="93">
        <f t="shared" si="6"/>
        <v>31700</v>
      </c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2:25" ht="15.75">
      <c r="B82" s="80" t="s">
        <v>580</v>
      </c>
      <c r="C82" s="81" t="s">
        <v>264</v>
      </c>
      <c r="D82" s="92"/>
      <c r="E82" s="92">
        <v>400</v>
      </c>
      <c r="F82" s="93">
        <f t="shared" si="6"/>
        <v>400</v>
      </c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2:25" ht="15.75">
      <c r="B83" s="80" t="s">
        <v>581</v>
      </c>
      <c r="C83" s="81" t="s">
        <v>265</v>
      </c>
      <c r="D83" s="92"/>
      <c r="E83" s="92"/>
      <c r="F83" s="93">
        <f t="shared" si="6"/>
        <v>0</v>
      </c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2:25" ht="15.75">
      <c r="B84" s="80" t="s">
        <v>266</v>
      </c>
      <c r="C84" s="81" t="s">
        <v>267</v>
      </c>
      <c r="D84" s="92"/>
      <c r="E84" s="92"/>
      <c r="F84" s="93">
        <f t="shared" si="6"/>
        <v>0</v>
      </c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2:25" ht="15.75">
      <c r="B85" s="80" t="s">
        <v>268</v>
      </c>
      <c r="C85" s="81" t="s">
        <v>269</v>
      </c>
      <c r="D85" s="92"/>
      <c r="E85" s="92"/>
      <c r="F85" s="93">
        <f t="shared" si="6"/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2:25" ht="15.75">
      <c r="B86" s="80" t="s">
        <v>270</v>
      </c>
      <c r="C86" s="81" t="s">
        <v>271</v>
      </c>
      <c r="D86" s="92"/>
      <c r="E86" s="92"/>
      <c r="F86" s="93">
        <f t="shared" si="6"/>
        <v>0</v>
      </c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</row>
    <row r="87" spans="2:25" ht="15.75">
      <c r="B87" s="80" t="s">
        <v>582</v>
      </c>
      <c r="C87" s="81" t="s">
        <v>272</v>
      </c>
      <c r="D87" s="92"/>
      <c r="E87" s="92">
        <v>50</v>
      </c>
      <c r="F87" s="93">
        <f t="shared" si="6"/>
        <v>50</v>
      </c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</row>
    <row r="88" spans="2:25" ht="15.75">
      <c r="B88" s="80" t="s">
        <v>583</v>
      </c>
      <c r="C88" s="81" t="s">
        <v>273</v>
      </c>
      <c r="D88" s="92"/>
      <c r="E88" s="92"/>
      <c r="F88" s="93">
        <f t="shared" si="6"/>
        <v>0</v>
      </c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</row>
    <row r="89" spans="2:25" ht="15.75">
      <c r="B89" s="80" t="s">
        <v>584</v>
      </c>
      <c r="C89" s="81" t="s">
        <v>274</v>
      </c>
      <c r="D89" s="92"/>
      <c r="E89" s="92"/>
      <c r="F89" s="93">
        <f t="shared" si="6"/>
        <v>0</v>
      </c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</row>
    <row r="90" spans="2:25" ht="15.75">
      <c r="B90" s="78" t="s">
        <v>435</v>
      </c>
      <c r="C90" s="83" t="s">
        <v>275</v>
      </c>
      <c r="D90" s="93">
        <f>SUM(D80:D89)</f>
        <v>0</v>
      </c>
      <c r="E90" s="93">
        <f>SUM(E80:E89)</f>
        <v>32350</v>
      </c>
      <c r="F90" s="93">
        <f>SUM(F80:F89)</f>
        <v>32350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2:25" ht="15.75">
      <c r="B91" s="80" t="s">
        <v>585</v>
      </c>
      <c r="C91" s="81" t="s">
        <v>276</v>
      </c>
      <c r="D91" s="92"/>
      <c r="E91" s="92"/>
      <c r="F91" s="93">
        <f>+E91+D91</f>
        <v>0</v>
      </c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</row>
    <row r="92" spans="2:25" ht="15.75">
      <c r="B92" s="80" t="s">
        <v>586</v>
      </c>
      <c r="C92" s="81" t="s">
        <v>277</v>
      </c>
      <c r="D92" s="92"/>
      <c r="E92" s="92"/>
      <c r="F92" s="93">
        <f>+E92+D92</f>
        <v>0</v>
      </c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</row>
    <row r="93" spans="2:25" ht="15.75">
      <c r="B93" s="80" t="s">
        <v>278</v>
      </c>
      <c r="C93" s="81" t="s">
        <v>279</v>
      </c>
      <c r="D93" s="92"/>
      <c r="E93" s="92"/>
      <c r="F93" s="93">
        <f>+E93+D93</f>
        <v>0</v>
      </c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</row>
    <row r="94" spans="2:25" ht="15.75">
      <c r="B94" s="80" t="s">
        <v>587</v>
      </c>
      <c r="C94" s="81" t="s">
        <v>280</v>
      </c>
      <c r="D94" s="92"/>
      <c r="E94" s="92"/>
      <c r="F94" s="93">
        <f>+E94+D94</f>
        <v>0</v>
      </c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</row>
    <row r="95" spans="2:25" ht="15.75">
      <c r="B95" s="80" t="s">
        <v>281</v>
      </c>
      <c r="C95" s="81" t="s">
        <v>282</v>
      </c>
      <c r="D95" s="92"/>
      <c r="E95" s="92"/>
      <c r="F95" s="93">
        <f>+E95+D95</f>
        <v>0</v>
      </c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</row>
    <row r="96" spans="2:25" ht="15.75">
      <c r="B96" s="90" t="s">
        <v>693</v>
      </c>
      <c r="C96" s="83" t="s">
        <v>283</v>
      </c>
      <c r="D96" s="93">
        <f>SUM(D91:D95)</f>
        <v>0</v>
      </c>
      <c r="E96" s="93">
        <f>SUM(E91:E95)</f>
        <v>0</v>
      </c>
      <c r="F96" s="93">
        <f>SUM(F91:F95)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</row>
    <row r="97" spans="2:25" ht="15.75">
      <c r="B97" s="90" t="s">
        <v>628</v>
      </c>
      <c r="C97" s="83" t="s">
        <v>286</v>
      </c>
      <c r="D97" s="92"/>
      <c r="E97" s="92"/>
      <c r="F97" s="93">
        <f>+E97+D97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</row>
    <row r="98" spans="2:25" ht="15.75">
      <c r="B98" s="80" t="s">
        <v>808</v>
      </c>
      <c r="C98" s="81" t="s">
        <v>287</v>
      </c>
      <c r="D98" s="92"/>
      <c r="E98" s="92"/>
      <c r="F98" s="93">
        <f>+E98+D98</f>
        <v>0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</row>
    <row r="99" spans="2:25" ht="15.75">
      <c r="B99" s="82" t="s">
        <v>807</v>
      </c>
      <c r="C99" s="81" t="s">
        <v>288</v>
      </c>
      <c r="D99" s="92"/>
      <c r="E99" s="92"/>
      <c r="F99" s="93">
        <f>+E99+D99</f>
        <v>0</v>
      </c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</row>
    <row r="100" spans="2:25" ht="15.75">
      <c r="B100" s="80" t="s">
        <v>612</v>
      </c>
      <c r="C100" s="81" t="s">
        <v>289</v>
      </c>
      <c r="D100" s="92"/>
      <c r="E100" s="92"/>
      <c r="F100" s="93">
        <f>+E100+D100</f>
        <v>0</v>
      </c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</row>
    <row r="101" spans="2:25" ht="15.75">
      <c r="B101" s="90" t="s">
        <v>512</v>
      </c>
      <c r="C101" s="83" t="s">
        <v>290</v>
      </c>
      <c r="D101" s="93">
        <f>SUM(D98:D100)</f>
        <v>0</v>
      </c>
      <c r="E101" s="93">
        <f>SUM(E98:E100)</f>
        <v>0</v>
      </c>
      <c r="F101" s="93">
        <f>SUM(F98:F100)</f>
        <v>0</v>
      </c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</row>
    <row r="102" spans="2:25" ht="15.75">
      <c r="B102" s="137" t="s">
        <v>516</v>
      </c>
      <c r="C102" s="116" t="s">
        <v>672</v>
      </c>
      <c r="D102" s="118">
        <f>+D101+D97+D96+D90+D79+D72+D71</f>
        <v>30587</v>
      </c>
      <c r="E102" s="118">
        <f>+E101+E97+E96+E90+E79+E72+E71</f>
        <v>358834</v>
      </c>
      <c r="F102" s="118">
        <f>+F101+F97+F96+F90+F79+F72+F71</f>
        <v>389421</v>
      </c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</row>
    <row r="103" spans="2:25" ht="15.75">
      <c r="B103" s="138" t="s">
        <v>668</v>
      </c>
      <c r="C103" s="139"/>
      <c r="D103" s="140">
        <f>+D97+D90+D79+D71-D32</f>
        <v>2058</v>
      </c>
      <c r="E103" s="140">
        <f>+E97+E90+E79+E71-E32</f>
        <v>12691</v>
      </c>
      <c r="F103" s="140">
        <f aca="true" t="shared" si="7" ref="F103:F110">+E103+D103</f>
        <v>14749</v>
      </c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</row>
    <row r="104" spans="2:25" ht="15.75">
      <c r="B104" s="138" t="s">
        <v>669</v>
      </c>
      <c r="C104" s="139"/>
      <c r="D104" s="140">
        <f>+D101+D96+D72-D55</f>
        <v>0</v>
      </c>
      <c r="E104" s="140">
        <f>+E101+E96+E72-E55</f>
        <v>-14749</v>
      </c>
      <c r="F104" s="140">
        <f t="shared" si="7"/>
        <v>-14749</v>
      </c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</row>
    <row r="105" spans="2:6" ht="15.75">
      <c r="B105" s="78" t="s">
        <v>631</v>
      </c>
      <c r="C105" s="90" t="s">
        <v>295</v>
      </c>
      <c r="D105" s="92"/>
      <c r="E105" s="92"/>
      <c r="F105" s="93">
        <f t="shared" si="7"/>
        <v>0</v>
      </c>
    </row>
    <row r="106" spans="2:6" ht="15.75">
      <c r="B106" s="125" t="s">
        <v>632</v>
      </c>
      <c r="C106" s="90" t="s">
        <v>302</v>
      </c>
      <c r="D106" s="92"/>
      <c r="E106" s="92"/>
      <c r="F106" s="93">
        <f t="shared" si="7"/>
        <v>0</v>
      </c>
    </row>
    <row r="107" spans="2:6" ht="15.75">
      <c r="B107" s="82" t="s">
        <v>788</v>
      </c>
      <c r="C107" s="82" t="s">
        <v>303</v>
      </c>
      <c r="D107" s="92"/>
      <c r="E107" s="92"/>
      <c r="F107" s="93">
        <f t="shared" si="7"/>
        <v>0</v>
      </c>
    </row>
    <row r="108" spans="2:6" ht="15.75">
      <c r="B108" s="82" t="s">
        <v>789</v>
      </c>
      <c r="C108" s="82" t="s">
        <v>303</v>
      </c>
      <c r="D108" s="92"/>
      <c r="E108" s="92"/>
      <c r="F108" s="93">
        <f t="shared" si="7"/>
        <v>0</v>
      </c>
    </row>
    <row r="109" spans="2:6" ht="15.75">
      <c r="B109" s="82" t="s">
        <v>786</v>
      </c>
      <c r="C109" s="82" t="s">
        <v>304</v>
      </c>
      <c r="D109" s="92"/>
      <c r="E109" s="92"/>
      <c r="F109" s="93">
        <f t="shared" si="7"/>
        <v>0</v>
      </c>
    </row>
    <row r="110" spans="2:6" ht="15.75">
      <c r="B110" s="82" t="s">
        <v>787</v>
      </c>
      <c r="C110" s="82" t="s">
        <v>304</v>
      </c>
      <c r="D110" s="92"/>
      <c r="E110" s="92"/>
      <c r="F110" s="93">
        <f t="shared" si="7"/>
        <v>0</v>
      </c>
    </row>
    <row r="111" spans="2:6" ht="15.75">
      <c r="B111" s="90" t="s">
        <v>514</v>
      </c>
      <c r="C111" s="90" t="s">
        <v>305</v>
      </c>
      <c r="D111" s="93">
        <f>SUM(D107:D110)</f>
        <v>0</v>
      </c>
      <c r="E111" s="93">
        <f>SUM(E107:E110)</f>
        <v>0</v>
      </c>
      <c r="F111" s="93">
        <f>SUM(F107:F110)</f>
        <v>0</v>
      </c>
    </row>
    <row r="112" spans="2:6" ht="15.75">
      <c r="B112" s="123" t="s">
        <v>306</v>
      </c>
      <c r="C112" s="82" t="s">
        <v>307</v>
      </c>
      <c r="D112" s="92"/>
      <c r="E112" s="92"/>
      <c r="F112" s="93">
        <f aca="true" t="shared" si="8" ref="F112:F118">+E112+D112</f>
        <v>0</v>
      </c>
    </row>
    <row r="113" spans="2:6" ht="15.75">
      <c r="B113" s="123" t="s">
        <v>308</v>
      </c>
      <c r="C113" s="82" t="s">
        <v>309</v>
      </c>
      <c r="D113" s="92"/>
      <c r="E113" s="92"/>
      <c r="F113" s="93">
        <f t="shared" si="8"/>
        <v>0</v>
      </c>
    </row>
    <row r="114" spans="2:6" ht="15.75">
      <c r="B114" s="123" t="s">
        <v>310</v>
      </c>
      <c r="C114" s="82" t="s">
        <v>311</v>
      </c>
      <c r="D114" s="92"/>
      <c r="E114" s="92"/>
      <c r="F114" s="93">
        <f t="shared" si="8"/>
        <v>0</v>
      </c>
    </row>
    <row r="115" spans="2:6" s="208" customFormat="1" ht="15.75">
      <c r="B115" s="204" t="s">
        <v>366</v>
      </c>
      <c r="C115" s="171"/>
      <c r="D115" s="151"/>
      <c r="E115" s="151"/>
      <c r="F115" s="173">
        <f t="shared" si="8"/>
        <v>0</v>
      </c>
    </row>
    <row r="116" spans="2:6" s="208" customFormat="1" ht="15.75">
      <c r="B116" s="206" t="s">
        <v>356</v>
      </c>
      <c r="C116" s="171"/>
      <c r="D116" s="151">
        <f>+D114-D115</f>
        <v>0</v>
      </c>
      <c r="E116" s="151">
        <f>+E114-E115</f>
        <v>0</v>
      </c>
      <c r="F116" s="173">
        <f t="shared" si="8"/>
        <v>0</v>
      </c>
    </row>
    <row r="117" spans="2:6" ht="15.75">
      <c r="B117" s="123" t="s">
        <v>312</v>
      </c>
      <c r="C117" s="82" t="s">
        <v>313</v>
      </c>
      <c r="D117" s="92"/>
      <c r="E117" s="92"/>
      <c r="F117" s="93">
        <f t="shared" si="8"/>
        <v>0</v>
      </c>
    </row>
    <row r="118" spans="2:6" ht="15.75">
      <c r="B118" s="80" t="s">
        <v>615</v>
      </c>
      <c r="C118" s="82" t="s">
        <v>314</v>
      </c>
      <c r="D118" s="92"/>
      <c r="E118" s="92"/>
      <c r="F118" s="93">
        <f t="shared" si="8"/>
        <v>0</v>
      </c>
    </row>
    <row r="119" spans="2:6" ht="15.75">
      <c r="B119" s="78" t="s">
        <v>428</v>
      </c>
      <c r="C119" s="90" t="s">
        <v>316</v>
      </c>
      <c r="D119" s="93">
        <f>SUM(D112:D118)+D111+D106+D105-D115-D116</f>
        <v>0</v>
      </c>
      <c r="E119" s="93">
        <f>SUM(E112:E118)+E111+E106+E105-E115-E116</f>
        <v>0</v>
      </c>
      <c r="F119" s="93">
        <f>SUM(F112:F118)+F111+F106+F105-F115-F116</f>
        <v>0</v>
      </c>
    </row>
    <row r="120" spans="2:6" ht="15.75">
      <c r="B120" s="123" t="s">
        <v>635</v>
      </c>
      <c r="C120" s="82" t="s">
        <v>324</v>
      </c>
      <c r="D120" s="92"/>
      <c r="E120" s="92"/>
      <c r="F120" s="93">
        <f>+E120+D120</f>
        <v>0</v>
      </c>
    </row>
    <row r="121" spans="2:6" ht="15.75">
      <c r="B121" s="80" t="s">
        <v>325</v>
      </c>
      <c r="C121" s="82" t="s">
        <v>326</v>
      </c>
      <c r="D121" s="92"/>
      <c r="E121" s="92"/>
      <c r="F121" s="93">
        <f>+E121+D121</f>
        <v>0</v>
      </c>
    </row>
    <row r="122" spans="2:6" ht="15.75">
      <c r="B122" s="128" t="s">
        <v>515</v>
      </c>
      <c r="C122" s="129" t="s">
        <v>327</v>
      </c>
      <c r="D122" s="118">
        <f>+D121+D120+D119</f>
        <v>0</v>
      </c>
      <c r="E122" s="118">
        <f>+E121+E120+E119</f>
        <v>0</v>
      </c>
      <c r="F122" s="118">
        <f>+F121+F120+F119</f>
        <v>0</v>
      </c>
    </row>
    <row r="123" spans="2:6" ht="15.75">
      <c r="B123" s="75" t="s">
        <v>654</v>
      </c>
      <c r="C123" s="75" t="s">
        <v>670</v>
      </c>
      <c r="D123" s="131">
        <f>+D102+D122</f>
        <v>30587</v>
      </c>
      <c r="E123" s="131">
        <f>+E102+E122</f>
        <v>358834</v>
      </c>
      <c r="F123" s="131">
        <f>+F102+F122</f>
        <v>389421</v>
      </c>
    </row>
    <row r="124" spans="2:6" ht="15.75">
      <c r="B124" s="4"/>
      <c r="C124" s="4"/>
      <c r="D124" s="141"/>
      <c r="E124" s="141"/>
      <c r="F124" s="142"/>
    </row>
    <row r="125" spans="2:6" ht="15.75">
      <c r="B125" s="74" t="s">
        <v>676</v>
      </c>
      <c r="C125" s="74"/>
      <c r="D125" s="93">
        <f>+D102-D56</f>
        <v>2058</v>
      </c>
      <c r="E125" s="93">
        <f>+E102-E56</f>
        <v>-2058</v>
      </c>
      <c r="F125" s="93">
        <f>+F102-F56</f>
        <v>0</v>
      </c>
    </row>
    <row r="126" spans="2:6" ht="15.75">
      <c r="B126" s="74" t="s">
        <v>746</v>
      </c>
      <c r="C126" s="74"/>
      <c r="D126" s="93">
        <f>+D122-D60</f>
        <v>0</v>
      </c>
      <c r="E126" s="93">
        <f>+E122-E60</f>
        <v>0</v>
      </c>
      <c r="F126" s="93">
        <f>+F122-F60</f>
        <v>0</v>
      </c>
    </row>
    <row r="127" spans="2:6" ht="15.75">
      <c r="B127" s="4"/>
      <c r="C127" s="4"/>
      <c r="D127" s="141"/>
      <c r="E127" s="141"/>
      <c r="F127" s="142"/>
    </row>
    <row r="128" spans="2:6" ht="15.75">
      <c r="B128" s="143" t="s">
        <v>756</v>
      </c>
      <c r="C128" s="4"/>
      <c r="D128" s="141">
        <f>+D123-D61</f>
        <v>2058</v>
      </c>
      <c r="E128" s="141">
        <f>+E123-E61</f>
        <v>-2058</v>
      </c>
      <c r="F128" s="141">
        <f>+F123-F61</f>
        <v>0</v>
      </c>
    </row>
    <row r="129" spans="2:6" ht="15.75">
      <c r="B129" s="4"/>
      <c r="C129" s="4"/>
      <c r="D129" s="141"/>
      <c r="E129" s="141"/>
      <c r="F129" s="142"/>
    </row>
    <row r="130" spans="2:6" ht="15.75">
      <c r="B130" s="4"/>
      <c r="C130" s="4"/>
      <c r="D130" s="141"/>
      <c r="E130" s="141"/>
      <c r="F130" s="142"/>
    </row>
    <row r="131" spans="2:6" ht="15.75">
      <c r="B131" s="4"/>
      <c r="C131" s="4"/>
      <c r="D131" s="141"/>
      <c r="E131" s="141"/>
      <c r="F131" s="142"/>
    </row>
    <row r="132" spans="2:6" ht="15.75">
      <c r="B132" s="4"/>
      <c r="C132" s="4"/>
      <c r="D132" s="141"/>
      <c r="E132" s="141"/>
      <c r="F132" s="142"/>
    </row>
    <row r="133" spans="2:6" ht="15.75">
      <c r="B133" s="4"/>
      <c r="C133" s="4"/>
      <c r="D133" s="141"/>
      <c r="E133" s="141"/>
      <c r="F133" s="142"/>
    </row>
    <row r="134" spans="2:6" ht="15.75">
      <c r="B134" s="4"/>
      <c r="C134" s="4"/>
      <c r="D134" s="141"/>
      <c r="E134" s="141"/>
      <c r="F134" s="142"/>
    </row>
    <row r="135" spans="2:6" ht="15.75">
      <c r="B135" s="4"/>
      <c r="C135" s="4"/>
      <c r="D135" s="141"/>
      <c r="E135" s="141"/>
      <c r="F135" s="142"/>
    </row>
    <row r="136" spans="2:6" ht="15.75">
      <c r="B136" s="4"/>
      <c r="C136" s="4"/>
      <c r="D136" s="141"/>
      <c r="E136" s="141"/>
      <c r="F136" s="142"/>
    </row>
    <row r="137" spans="2:6" ht="15.75">
      <c r="B137" s="4"/>
      <c r="C137" s="4"/>
      <c r="D137" s="141"/>
      <c r="E137" s="141"/>
      <c r="F137" s="142"/>
    </row>
    <row r="138" spans="2:6" ht="15.75">
      <c r="B138" s="4"/>
      <c r="C138" s="4"/>
      <c r="D138" s="141"/>
      <c r="E138" s="141"/>
      <c r="F138" s="142"/>
    </row>
    <row r="139" spans="2:6" ht="15.75">
      <c r="B139" s="4"/>
      <c r="C139" s="4"/>
      <c r="D139" s="141"/>
      <c r="E139" s="141"/>
      <c r="F139" s="142"/>
    </row>
    <row r="140" spans="2:6" ht="15.75">
      <c r="B140" s="4"/>
      <c r="C140" s="4"/>
      <c r="D140" s="141"/>
      <c r="E140" s="141"/>
      <c r="F140" s="142"/>
    </row>
    <row r="141" spans="2:6" ht="15.75">
      <c r="B141" s="4"/>
      <c r="C141" s="4"/>
      <c r="D141" s="141"/>
      <c r="E141" s="141"/>
      <c r="F141" s="142"/>
    </row>
    <row r="142" spans="2:6" ht="15.75">
      <c r="B142" s="4"/>
      <c r="C142" s="4"/>
      <c r="D142" s="141"/>
      <c r="E142" s="141"/>
      <c r="F142" s="142"/>
    </row>
    <row r="143" spans="2:6" ht="15.75">
      <c r="B143" s="4"/>
      <c r="C143" s="4"/>
      <c r="D143" s="141"/>
      <c r="E143" s="141"/>
      <c r="F143" s="142"/>
    </row>
    <row r="144" spans="2:6" ht="15.75">
      <c r="B144" s="4"/>
      <c r="C144" s="4"/>
      <c r="D144" s="141"/>
      <c r="E144" s="141"/>
      <c r="F144" s="142"/>
    </row>
    <row r="145" spans="2:6" ht="15.75">
      <c r="B145" s="4"/>
      <c r="C145" s="4"/>
      <c r="D145" s="141"/>
      <c r="E145" s="141"/>
      <c r="F145" s="142"/>
    </row>
    <row r="146" spans="2:6" ht="15.75">
      <c r="B146" s="4"/>
      <c r="C146" s="4"/>
      <c r="D146" s="141"/>
      <c r="E146" s="141"/>
      <c r="F146" s="142"/>
    </row>
    <row r="147" spans="2:6" ht="15.75">
      <c r="B147" s="4"/>
      <c r="C147" s="4"/>
      <c r="D147" s="141"/>
      <c r="E147" s="141"/>
      <c r="F147" s="142"/>
    </row>
    <row r="148" spans="2:6" ht="15.75">
      <c r="B148" s="4"/>
      <c r="C148" s="4"/>
      <c r="D148" s="141"/>
      <c r="E148" s="141"/>
      <c r="F148" s="142"/>
    </row>
    <row r="149" spans="2:6" ht="15.75">
      <c r="B149" s="4"/>
      <c r="C149" s="4"/>
      <c r="D149" s="141"/>
      <c r="E149" s="141"/>
      <c r="F149" s="142"/>
    </row>
    <row r="150" spans="2:6" ht="15.75">
      <c r="B150" s="4"/>
      <c r="C150" s="4"/>
      <c r="D150" s="141"/>
      <c r="E150" s="141"/>
      <c r="F150" s="142"/>
    </row>
    <row r="151" spans="2:6" ht="15.75">
      <c r="B151" s="4"/>
      <c r="C151" s="4"/>
      <c r="D151" s="141"/>
      <c r="E151" s="141"/>
      <c r="F151" s="142"/>
    </row>
    <row r="152" spans="2:6" ht="15.75">
      <c r="B152" s="4"/>
      <c r="C152" s="4"/>
      <c r="D152" s="141"/>
      <c r="E152" s="141"/>
      <c r="F152" s="142"/>
    </row>
    <row r="153" spans="2:6" ht="15.75">
      <c r="B153" s="4"/>
      <c r="C153" s="4"/>
      <c r="D153" s="141"/>
      <c r="E153" s="141"/>
      <c r="F153" s="142"/>
    </row>
    <row r="154" spans="2:6" ht="15.75">
      <c r="B154" s="4"/>
      <c r="C154" s="4"/>
      <c r="D154" s="141"/>
      <c r="E154" s="141"/>
      <c r="F154" s="142"/>
    </row>
    <row r="155" spans="2:6" ht="15.75">
      <c r="B155" s="4"/>
      <c r="C155" s="4"/>
      <c r="D155" s="141"/>
      <c r="E155" s="141"/>
      <c r="F155" s="142"/>
    </row>
    <row r="156" spans="2:6" ht="15.75">
      <c r="B156" s="4"/>
      <c r="C156" s="4"/>
      <c r="D156" s="141"/>
      <c r="E156" s="141"/>
      <c r="F156" s="142"/>
    </row>
    <row r="157" spans="2:6" ht="15.75">
      <c r="B157" s="4"/>
      <c r="C157" s="4"/>
      <c r="D157" s="141"/>
      <c r="E157" s="141"/>
      <c r="F157" s="142"/>
    </row>
    <row r="158" spans="2:6" ht="15.75">
      <c r="B158" s="4"/>
      <c r="C158" s="4"/>
      <c r="D158" s="141"/>
      <c r="E158" s="141"/>
      <c r="F158" s="142"/>
    </row>
    <row r="159" spans="2:6" ht="15.75">
      <c r="B159" s="4"/>
      <c r="C159" s="4"/>
      <c r="D159" s="141"/>
      <c r="E159" s="141"/>
      <c r="F159" s="142"/>
    </row>
    <row r="160" spans="2:6" ht="15.75">
      <c r="B160" s="4"/>
      <c r="C160" s="4"/>
      <c r="D160" s="141"/>
      <c r="E160" s="141"/>
      <c r="F160" s="142"/>
    </row>
    <row r="161" spans="2:6" ht="15.75">
      <c r="B161" s="4"/>
      <c r="C161" s="4"/>
      <c r="D161" s="141"/>
      <c r="E161" s="141"/>
      <c r="F161" s="142"/>
    </row>
    <row r="162" spans="2:6" ht="15.75">
      <c r="B162" s="4"/>
      <c r="C162" s="4"/>
      <c r="D162" s="141"/>
      <c r="E162" s="141"/>
      <c r="F162" s="142"/>
    </row>
    <row r="163" spans="2:6" ht="15.75">
      <c r="B163" s="4"/>
      <c r="C163" s="4"/>
      <c r="D163" s="141"/>
      <c r="E163" s="141"/>
      <c r="F163" s="142"/>
    </row>
    <row r="164" spans="2:6" ht="15.75">
      <c r="B164" s="4"/>
      <c r="C164" s="4"/>
      <c r="D164" s="141"/>
      <c r="E164" s="141"/>
      <c r="F164" s="142"/>
    </row>
    <row r="165" spans="2:6" ht="15.75">
      <c r="B165" s="4"/>
      <c r="C165" s="4"/>
      <c r="D165" s="141"/>
      <c r="E165" s="141"/>
      <c r="F165" s="142"/>
    </row>
    <row r="166" spans="2:6" ht="15.75">
      <c r="B166" s="4"/>
      <c r="C166" s="4"/>
      <c r="D166" s="141"/>
      <c r="E166" s="141"/>
      <c r="F166" s="142"/>
    </row>
    <row r="167" spans="2:6" ht="15.75">
      <c r="B167" s="4"/>
      <c r="C167" s="4"/>
      <c r="D167" s="141"/>
      <c r="E167" s="141"/>
      <c r="F167" s="142"/>
    </row>
    <row r="168" spans="2:6" ht="15.75">
      <c r="B168" s="4"/>
      <c r="C168" s="4"/>
      <c r="D168" s="141"/>
      <c r="E168" s="141"/>
      <c r="F168" s="142"/>
    </row>
    <row r="169" spans="2:6" ht="15.75">
      <c r="B169" s="4"/>
      <c r="C169" s="4"/>
      <c r="D169" s="141"/>
      <c r="E169" s="141"/>
      <c r="F169" s="142"/>
    </row>
    <row r="170" spans="2:6" ht="15.75">
      <c r="B170" s="4"/>
      <c r="C170" s="4"/>
      <c r="D170" s="141"/>
      <c r="E170" s="141"/>
      <c r="F170" s="142"/>
    </row>
    <row r="171" spans="2:6" ht="15.75">
      <c r="B171" s="4"/>
      <c r="C171" s="4"/>
      <c r="D171" s="141"/>
      <c r="E171" s="141"/>
      <c r="F171" s="142"/>
    </row>
    <row r="172" spans="2:6" ht="15.75">
      <c r="B172" s="4"/>
      <c r="C172" s="4"/>
      <c r="D172" s="141"/>
      <c r="E172" s="141"/>
      <c r="F172" s="142"/>
    </row>
    <row r="173" spans="2:6" ht="15.75">
      <c r="B173" s="4"/>
      <c r="C173" s="4"/>
      <c r="D173" s="141"/>
      <c r="E173" s="141"/>
      <c r="F173" s="142"/>
    </row>
    <row r="174" spans="2:6" ht="15.75">
      <c r="B174" s="4"/>
      <c r="C174" s="4"/>
      <c r="D174" s="141"/>
      <c r="E174" s="141"/>
      <c r="F174" s="142"/>
    </row>
    <row r="175" spans="2:6" ht="15.75">
      <c r="B175" s="4"/>
      <c r="C175" s="4"/>
      <c r="D175" s="141"/>
      <c r="E175" s="141"/>
      <c r="F175" s="142"/>
    </row>
    <row r="176" spans="2:6" ht="15.75">
      <c r="B176" s="4"/>
      <c r="C176" s="4"/>
      <c r="D176" s="141"/>
      <c r="E176" s="141"/>
      <c r="F176" s="142"/>
    </row>
    <row r="177" spans="2:6" ht="15.75">
      <c r="B177" s="4"/>
      <c r="C177" s="4"/>
      <c r="D177" s="141"/>
      <c r="E177" s="141"/>
      <c r="F177" s="142"/>
    </row>
    <row r="178" spans="2:6" ht="15.75">
      <c r="B178" s="4"/>
      <c r="C178" s="4"/>
      <c r="D178" s="141"/>
      <c r="E178" s="141"/>
      <c r="F178" s="142"/>
    </row>
    <row r="179" spans="2:6" ht="15.75">
      <c r="B179" s="4"/>
      <c r="C179" s="4"/>
      <c r="D179" s="141"/>
      <c r="E179" s="141"/>
      <c r="F179" s="142"/>
    </row>
    <row r="180" spans="2:6" ht="15.75">
      <c r="B180" s="4"/>
      <c r="C180" s="4"/>
      <c r="D180" s="141"/>
      <c r="E180" s="141"/>
      <c r="F180" s="142"/>
    </row>
    <row r="181" spans="2:6" ht="15.75">
      <c r="B181" s="4"/>
      <c r="C181" s="4"/>
      <c r="D181" s="141"/>
      <c r="E181" s="141"/>
      <c r="F181" s="142"/>
    </row>
    <row r="182" spans="2:6" ht="15.75">
      <c r="B182" s="4"/>
      <c r="C182" s="4"/>
      <c r="D182" s="141"/>
      <c r="E182" s="141"/>
      <c r="F182" s="142"/>
    </row>
    <row r="183" spans="2:6" ht="15.75">
      <c r="B183" s="4"/>
      <c r="C183" s="4"/>
      <c r="D183" s="141"/>
      <c r="E183" s="141"/>
      <c r="F183" s="142"/>
    </row>
    <row r="184" spans="2:6" ht="15.75">
      <c r="B184" s="4"/>
      <c r="C184" s="4"/>
      <c r="D184" s="141"/>
      <c r="E184" s="141"/>
      <c r="F184" s="142"/>
    </row>
    <row r="185" spans="2:6" ht="15.75">
      <c r="B185" s="4"/>
      <c r="C185" s="4"/>
      <c r="D185" s="141"/>
      <c r="E185" s="141"/>
      <c r="F185" s="142"/>
    </row>
    <row r="186" spans="2:6" ht="15.75">
      <c r="B186" s="4"/>
      <c r="C186" s="4"/>
      <c r="D186" s="141"/>
      <c r="E186" s="141"/>
      <c r="F186" s="142"/>
    </row>
    <row r="187" spans="2:6" ht="15.75">
      <c r="B187" s="4"/>
      <c r="C187" s="4"/>
      <c r="D187" s="4"/>
      <c r="E187" s="4"/>
      <c r="F187" s="3"/>
    </row>
    <row r="188" spans="2:6" ht="15.75">
      <c r="B188" s="4"/>
      <c r="C188" s="4"/>
      <c r="D188" s="4"/>
      <c r="E188" s="4"/>
      <c r="F188" s="3"/>
    </row>
    <row r="189" spans="2:6" ht="15.75">
      <c r="B189" s="4"/>
      <c r="C189" s="4"/>
      <c r="D189" s="4"/>
      <c r="E189" s="4"/>
      <c r="F189" s="3"/>
    </row>
    <row r="190" spans="2:6" ht="15.75">
      <c r="B190" s="4"/>
      <c r="C190" s="4"/>
      <c r="D190" s="4"/>
      <c r="E190" s="4"/>
      <c r="F190" s="3"/>
    </row>
    <row r="191" spans="2:6" ht="15.75">
      <c r="B191" s="4"/>
      <c r="C191" s="4"/>
      <c r="D191" s="4"/>
      <c r="E191" s="4"/>
      <c r="F191" s="3"/>
    </row>
    <row r="192" spans="2:6" ht="15.75">
      <c r="B192" s="4"/>
      <c r="C192" s="4"/>
      <c r="D192" s="4"/>
      <c r="E192" s="4"/>
      <c r="F192" s="3"/>
    </row>
    <row r="193" spans="2:6" ht="15.75">
      <c r="B193" s="4"/>
      <c r="C193" s="4"/>
      <c r="D193" s="4"/>
      <c r="E193" s="4"/>
      <c r="F193" s="3"/>
    </row>
    <row r="194" spans="2:6" ht="15.75">
      <c r="B194" s="4"/>
      <c r="C194" s="4"/>
      <c r="D194" s="4"/>
      <c r="E194" s="4"/>
      <c r="F194" s="3"/>
    </row>
    <row r="195" spans="2:6" ht="15.75">
      <c r="B195" s="4"/>
      <c r="C195" s="4"/>
      <c r="D195" s="4"/>
      <c r="E195" s="4"/>
      <c r="F195" s="3"/>
    </row>
    <row r="196" spans="2:6" ht="15.75">
      <c r="B196" s="4"/>
      <c r="C196" s="4"/>
      <c r="D196" s="4"/>
      <c r="E196" s="4"/>
      <c r="F196" s="3"/>
    </row>
    <row r="197" spans="2:6" ht="15.75">
      <c r="B197" s="4"/>
      <c r="C197" s="4"/>
      <c r="D197" s="4"/>
      <c r="E197" s="4"/>
      <c r="F197" s="3"/>
    </row>
    <row r="198" spans="2:6" ht="15.75">
      <c r="B198" s="4"/>
      <c r="C198" s="4"/>
      <c r="D198" s="4"/>
      <c r="E198" s="4"/>
      <c r="F198" s="3"/>
    </row>
    <row r="199" spans="2:6" ht="15.75">
      <c r="B199" s="4"/>
      <c r="C199" s="4"/>
      <c r="D199" s="4"/>
      <c r="E199" s="4"/>
      <c r="F199" s="3"/>
    </row>
    <row r="200" spans="2:6" ht="15.75">
      <c r="B200" s="4"/>
      <c r="C200" s="4"/>
      <c r="D200" s="4"/>
      <c r="E200" s="4"/>
      <c r="F200" s="3"/>
    </row>
    <row r="201" spans="2:6" ht="15.75">
      <c r="B201" s="4"/>
      <c r="C201" s="4"/>
      <c r="D201" s="4"/>
      <c r="E201" s="4"/>
      <c r="F201" s="3"/>
    </row>
    <row r="202" spans="2:6" ht="15.75">
      <c r="B202" s="4"/>
      <c r="C202" s="4"/>
      <c r="D202" s="4"/>
      <c r="E202" s="4"/>
      <c r="F202" s="3"/>
    </row>
    <row r="203" spans="2:6" ht="15.75">
      <c r="B203" s="4"/>
      <c r="C203" s="4"/>
      <c r="D203" s="4"/>
      <c r="E203" s="4"/>
      <c r="F203" s="3"/>
    </row>
    <row r="204" spans="2:6" ht="15.75">
      <c r="B204" s="4"/>
      <c r="C204" s="4"/>
      <c r="D204" s="4"/>
      <c r="E204" s="4"/>
      <c r="F204" s="3"/>
    </row>
    <row r="205" spans="2:6" ht="15.75">
      <c r="B205" s="4"/>
      <c r="C205" s="4"/>
      <c r="D205" s="4"/>
      <c r="E205" s="4"/>
      <c r="F205" s="3"/>
    </row>
    <row r="206" spans="2:6" ht="15.75">
      <c r="B206" s="4"/>
      <c r="C206" s="4"/>
      <c r="D206" s="4"/>
      <c r="E206" s="4"/>
      <c r="F206" s="3"/>
    </row>
    <row r="207" spans="2:6" ht="15.75">
      <c r="B207" s="4"/>
      <c r="C207" s="4"/>
      <c r="D207" s="4"/>
      <c r="E207" s="4"/>
      <c r="F207" s="3"/>
    </row>
    <row r="208" spans="2:6" ht="15.75">
      <c r="B208" s="4"/>
      <c r="C208" s="4"/>
      <c r="D208" s="4"/>
      <c r="E208" s="4"/>
      <c r="F208" s="3"/>
    </row>
    <row r="209" spans="2:6" ht="15.75">
      <c r="B209" s="4"/>
      <c r="C209" s="4"/>
      <c r="D209" s="4"/>
      <c r="E209" s="4"/>
      <c r="F209" s="3"/>
    </row>
    <row r="210" spans="2:6" ht="15.75">
      <c r="B210" s="4"/>
      <c r="C210" s="4"/>
      <c r="D210" s="4"/>
      <c r="E210" s="4"/>
      <c r="F210" s="3"/>
    </row>
    <row r="211" spans="2:6" ht="15.75">
      <c r="B211" s="4"/>
      <c r="C211" s="4"/>
      <c r="D211" s="4"/>
      <c r="E211" s="4"/>
      <c r="F211" s="3"/>
    </row>
    <row r="212" spans="2:6" ht="15.75">
      <c r="B212" s="4"/>
      <c r="C212" s="4"/>
      <c r="D212" s="4"/>
      <c r="E212" s="4"/>
      <c r="F212" s="3"/>
    </row>
    <row r="213" spans="2:6" ht="15.75">
      <c r="B213" s="4"/>
      <c r="C213" s="4"/>
      <c r="D213" s="4"/>
      <c r="E213" s="4"/>
      <c r="F213" s="3"/>
    </row>
    <row r="214" spans="2:6" ht="15.75">
      <c r="B214" s="4"/>
      <c r="C214" s="4"/>
      <c r="D214" s="4"/>
      <c r="E214" s="4"/>
      <c r="F214" s="3"/>
    </row>
    <row r="215" spans="2:6" ht="15.75">
      <c r="B215" s="4"/>
      <c r="C215" s="4"/>
      <c r="D215" s="4"/>
      <c r="E215" s="4"/>
      <c r="F215" s="3"/>
    </row>
    <row r="216" spans="2:6" ht="15.75">
      <c r="B216" s="4"/>
      <c r="C216" s="4"/>
      <c r="D216" s="4"/>
      <c r="E216" s="4"/>
      <c r="F216" s="3"/>
    </row>
    <row r="217" spans="2:6" ht="15.75">
      <c r="B217" s="4"/>
      <c r="C217" s="4"/>
      <c r="D217" s="4"/>
      <c r="E217" s="4"/>
      <c r="F217" s="3"/>
    </row>
    <row r="218" spans="2:6" ht="15.75">
      <c r="B218" s="4"/>
      <c r="C218" s="4"/>
      <c r="D218" s="4"/>
      <c r="E218" s="4"/>
      <c r="F218" s="3"/>
    </row>
    <row r="219" spans="2:6" ht="15.75">
      <c r="B219" s="4"/>
      <c r="C219" s="4"/>
      <c r="D219" s="4"/>
      <c r="E219" s="4"/>
      <c r="F219" s="3"/>
    </row>
    <row r="220" spans="2:6" ht="15.75">
      <c r="B220" s="4"/>
      <c r="C220" s="4"/>
      <c r="D220" s="4"/>
      <c r="E220" s="4"/>
      <c r="F220" s="3"/>
    </row>
    <row r="221" spans="2:6" ht="15.75">
      <c r="B221" s="4"/>
      <c r="C221" s="4"/>
      <c r="D221" s="4"/>
      <c r="E221" s="4"/>
      <c r="F221" s="3"/>
    </row>
    <row r="222" spans="2:6" ht="15.75">
      <c r="B222" s="4"/>
      <c r="C222" s="4"/>
      <c r="D222" s="4"/>
      <c r="E222" s="4"/>
      <c r="F222" s="3"/>
    </row>
    <row r="223" spans="2:6" ht="15.75">
      <c r="B223" s="4"/>
      <c r="C223" s="4"/>
      <c r="D223" s="4"/>
      <c r="E223" s="4"/>
      <c r="F223" s="3"/>
    </row>
    <row r="224" spans="2:6" ht="15.75">
      <c r="B224" s="4"/>
      <c r="C224" s="4"/>
      <c r="D224" s="4"/>
      <c r="E224" s="4"/>
      <c r="F224" s="3"/>
    </row>
    <row r="225" spans="2:6" ht="15.75">
      <c r="B225" s="4"/>
      <c r="C225" s="4"/>
      <c r="D225" s="4"/>
      <c r="E225" s="4"/>
      <c r="F225" s="3"/>
    </row>
    <row r="226" spans="2:6" ht="15.75">
      <c r="B226" s="4"/>
      <c r="C226" s="4"/>
      <c r="D226" s="4"/>
      <c r="E226" s="4"/>
      <c r="F226" s="3"/>
    </row>
    <row r="227" spans="2:6" ht="15.75">
      <c r="B227" s="4"/>
      <c r="C227" s="4"/>
      <c r="D227" s="4"/>
      <c r="E227" s="4"/>
      <c r="F227" s="3"/>
    </row>
    <row r="228" spans="2:6" ht="15.75">
      <c r="B228" s="4"/>
      <c r="C228" s="4"/>
      <c r="D228" s="4"/>
      <c r="E228" s="4"/>
      <c r="F228" s="3"/>
    </row>
    <row r="229" spans="2:6" ht="15.75">
      <c r="B229" s="4"/>
      <c r="C229" s="4"/>
      <c r="D229" s="4"/>
      <c r="E229" s="4"/>
      <c r="F229" s="3"/>
    </row>
    <row r="230" spans="2:6" ht="15.75">
      <c r="B230" s="4"/>
      <c r="C230" s="4"/>
      <c r="D230" s="4"/>
      <c r="E230" s="4"/>
      <c r="F230" s="3"/>
    </row>
    <row r="231" spans="2:6" ht="15.75">
      <c r="B231" s="4"/>
      <c r="C231" s="4"/>
      <c r="D231" s="4"/>
      <c r="E231" s="4"/>
      <c r="F231" s="3"/>
    </row>
    <row r="232" spans="2:6" ht="15.75">
      <c r="B232" s="4"/>
      <c r="C232" s="4"/>
      <c r="D232" s="4"/>
      <c r="E232" s="4"/>
      <c r="F232" s="3"/>
    </row>
    <row r="233" spans="2:6" ht="15.75">
      <c r="B233" s="4"/>
      <c r="C233" s="4"/>
      <c r="D233" s="4"/>
      <c r="E233" s="4"/>
      <c r="F233" s="3"/>
    </row>
    <row r="234" spans="2:6" ht="15.75">
      <c r="B234" s="4"/>
      <c r="C234" s="4"/>
      <c r="D234" s="4"/>
      <c r="E234" s="4"/>
      <c r="F234" s="3"/>
    </row>
    <row r="235" spans="2:6" ht="15.75">
      <c r="B235" s="4"/>
      <c r="C235" s="4"/>
      <c r="D235" s="4"/>
      <c r="E235" s="4"/>
      <c r="F235" s="3"/>
    </row>
    <row r="236" spans="2:6" ht="15.75">
      <c r="B236" s="4"/>
      <c r="C236" s="4"/>
      <c r="D236" s="4"/>
      <c r="E236" s="4"/>
      <c r="F236" s="3"/>
    </row>
    <row r="237" spans="2:6" ht="15.75">
      <c r="B237" s="4"/>
      <c r="C237" s="4"/>
      <c r="D237" s="4"/>
      <c r="E237" s="4"/>
      <c r="F237" s="3"/>
    </row>
    <row r="238" spans="2:6" ht="15.75">
      <c r="B238" s="4"/>
      <c r="C238" s="4"/>
      <c r="D238" s="4"/>
      <c r="E238" s="4"/>
      <c r="F238" s="3"/>
    </row>
    <row r="239" spans="2:6" ht="15.75">
      <c r="B239" s="4"/>
      <c r="C239" s="4"/>
      <c r="D239" s="4"/>
      <c r="E239" s="4"/>
      <c r="F239" s="3"/>
    </row>
    <row r="240" spans="2:6" ht="15.75">
      <c r="B240" s="4"/>
      <c r="C240" s="4"/>
      <c r="D240" s="4"/>
      <c r="E240" s="4"/>
      <c r="F240" s="3"/>
    </row>
    <row r="241" spans="2:6" ht="15.75">
      <c r="B241" s="4"/>
      <c r="C241" s="4"/>
      <c r="D241" s="4"/>
      <c r="E241" s="4"/>
      <c r="F241" s="3"/>
    </row>
    <row r="242" spans="2:6" ht="15.75">
      <c r="B242" s="4"/>
      <c r="C242" s="4"/>
      <c r="D242" s="4"/>
      <c r="E242" s="4"/>
      <c r="F242" s="3"/>
    </row>
    <row r="243" spans="2:6" ht="15.75">
      <c r="B243" s="4"/>
      <c r="C243" s="4"/>
      <c r="D243" s="4"/>
      <c r="E243" s="4"/>
      <c r="F243" s="3"/>
    </row>
    <row r="244" spans="2:6" ht="15.75">
      <c r="B244" s="4"/>
      <c r="C244" s="4"/>
      <c r="D244" s="4"/>
      <c r="E244" s="4"/>
      <c r="F244" s="3"/>
    </row>
    <row r="245" spans="2:6" ht="15.75">
      <c r="B245" s="4"/>
      <c r="C245" s="4"/>
      <c r="D245" s="4"/>
      <c r="E245" s="4"/>
      <c r="F245" s="3"/>
    </row>
    <row r="246" spans="2:6" ht="15.75">
      <c r="B246" s="4"/>
      <c r="C246" s="4"/>
      <c r="D246" s="4"/>
      <c r="E246" s="4"/>
      <c r="F246" s="3"/>
    </row>
    <row r="247" spans="2:6" ht="15.75">
      <c r="B247" s="4"/>
      <c r="C247" s="4"/>
      <c r="D247" s="4"/>
      <c r="E247" s="4"/>
      <c r="F247" s="3"/>
    </row>
    <row r="248" spans="2:6" ht="15.75">
      <c r="B248" s="4"/>
      <c r="C248" s="4"/>
      <c r="D248" s="4"/>
      <c r="E248" s="4"/>
      <c r="F248" s="3"/>
    </row>
    <row r="249" spans="2:6" ht="15.75">
      <c r="B249" s="4"/>
      <c r="C249" s="4"/>
      <c r="D249" s="4"/>
      <c r="E249" s="4"/>
      <c r="F249" s="3"/>
    </row>
    <row r="250" spans="2:6" ht="15.75">
      <c r="B250" s="4"/>
      <c r="C250" s="4"/>
      <c r="D250" s="4"/>
      <c r="E250" s="4"/>
      <c r="F250" s="3"/>
    </row>
    <row r="251" spans="2:6" ht="15.75">
      <c r="B251" s="4"/>
      <c r="C251" s="4"/>
      <c r="D251" s="4"/>
      <c r="E251" s="4"/>
      <c r="F251" s="3"/>
    </row>
    <row r="252" spans="2:6" ht="15.75">
      <c r="B252" s="4"/>
      <c r="C252" s="4"/>
      <c r="D252" s="4"/>
      <c r="E252" s="4"/>
      <c r="F252" s="3"/>
    </row>
  </sheetData>
  <sheetProtection/>
  <printOptions horizontalCentered="1"/>
  <pageMargins left="0.6692913385826772" right="0.3937007874015748" top="0.5905511811023623" bottom="0.5118110236220472" header="0.31496062992125984" footer="0.31496062992125984"/>
  <pageSetup horizontalDpi="300" verticalDpi="300" orientation="portrait" paperSize="9" scale="70" r:id="rId1"/>
  <headerFooter alignWithMargins="0">
    <oddFooter>&amp;R&amp;P</oddFooter>
  </headerFooter>
  <rowBreaks count="1" manualBreakCount="1">
    <brk id="63" min="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1:Y252"/>
  <sheetViews>
    <sheetView view="pageBreakPreview" zoomScaleSheetLayoutView="100" workbookViewId="0" topLeftCell="A1">
      <selection activeCell="F2" sqref="F2"/>
    </sheetView>
  </sheetViews>
  <sheetFormatPr defaultColWidth="9.140625" defaultRowHeight="15"/>
  <cols>
    <col min="1" max="1" width="9.140625" style="103" customWidth="1"/>
    <col min="2" max="2" width="75.57421875" style="103" customWidth="1"/>
    <col min="3" max="3" width="11.140625" style="103" customWidth="1"/>
    <col min="4" max="4" width="10.8515625" style="103" customWidth="1"/>
    <col min="5" max="5" width="12.8515625" style="103" customWidth="1"/>
    <col min="6" max="6" width="12.57421875" style="110" customWidth="1"/>
    <col min="7" max="16384" width="9.140625" style="103" customWidth="1"/>
  </cols>
  <sheetData>
    <row r="1" s="4" customFormat="1" ht="15.75">
      <c r="F1" s="71" t="s">
        <v>22</v>
      </c>
    </row>
    <row r="2" spans="2:6" s="4" customFormat="1" ht="20.25">
      <c r="B2" s="68" t="s">
        <v>752</v>
      </c>
      <c r="F2" s="144" t="s">
        <v>68</v>
      </c>
    </row>
    <row r="3" spans="2:6" s="4" customFormat="1" ht="15.75">
      <c r="B3" s="85" t="s">
        <v>772</v>
      </c>
      <c r="C3" s="101"/>
      <c r="D3" s="101"/>
      <c r="E3" s="101"/>
      <c r="F3" s="98"/>
    </row>
    <row r="4" spans="2:6" s="4" customFormat="1" ht="15.75">
      <c r="B4" s="84" t="s">
        <v>390</v>
      </c>
      <c r="C4" s="97"/>
      <c r="D4" s="97"/>
      <c r="E4" s="97"/>
      <c r="F4" s="85"/>
    </row>
    <row r="5" spans="2:6" ht="15.75">
      <c r="B5" s="102"/>
      <c r="F5" s="103"/>
    </row>
    <row r="6" spans="2:6" ht="31.5">
      <c r="B6" s="72" t="s">
        <v>76</v>
      </c>
      <c r="C6" s="79" t="s">
        <v>77</v>
      </c>
      <c r="D6" s="104" t="s">
        <v>769</v>
      </c>
      <c r="E6" s="104" t="s">
        <v>770</v>
      </c>
      <c r="F6" s="105" t="s">
        <v>28</v>
      </c>
    </row>
    <row r="7" spans="2:6" ht="15.75">
      <c r="B7" s="106" t="s">
        <v>328</v>
      </c>
      <c r="C7" s="107" t="s">
        <v>112</v>
      </c>
      <c r="D7" s="92">
        <v>170574</v>
      </c>
      <c r="E7" s="92">
        <v>6399</v>
      </c>
      <c r="F7" s="93">
        <f>+D7+E7</f>
        <v>176973</v>
      </c>
    </row>
    <row r="8" spans="2:6" ht="15.75">
      <c r="B8" s="82" t="s">
        <v>329</v>
      </c>
      <c r="C8" s="107" t="s">
        <v>113</v>
      </c>
      <c r="D8" s="92">
        <v>5245</v>
      </c>
      <c r="E8" s="92"/>
      <c r="F8" s="93">
        <f>+D8+E8</f>
        <v>5245</v>
      </c>
    </row>
    <row r="9" spans="2:6" ht="15.75">
      <c r="B9" s="108" t="s">
        <v>526</v>
      </c>
      <c r="C9" s="109" t="s">
        <v>114</v>
      </c>
      <c r="D9" s="93">
        <f>SUM(D7:D8)</f>
        <v>175819</v>
      </c>
      <c r="E9" s="93">
        <f>SUM(E7:E8)</f>
        <v>6399</v>
      </c>
      <c r="F9" s="93">
        <f>SUM(F7:F8)</f>
        <v>182218</v>
      </c>
    </row>
    <row r="10" spans="2:6" ht="15.75">
      <c r="B10" s="90" t="s">
        <v>553</v>
      </c>
      <c r="C10" s="109" t="s">
        <v>115</v>
      </c>
      <c r="D10" s="92">
        <v>45909</v>
      </c>
      <c r="E10" s="92">
        <v>1519</v>
      </c>
      <c r="F10" s="93">
        <f aca="true" t="shared" si="0" ref="F10:F15">+D10+E10</f>
        <v>47428</v>
      </c>
    </row>
    <row r="11" spans="2:6" ht="15.75">
      <c r="B11" s="82" t="s">
        <v>330</v>
      </c>
      <c r="C11" s="107" t="s">
        <v>116</v>
      </c>
      <c r="D11" s="92">
        <v>78182</v>
      </c>
      <c r="E11" s="92">
        <v>342</v>
      </c>
      <c r="F11" s="93">
        <f t="shared" si="0"/>
        <v>78524</v>
      </c>
    </row>
    <row r="12" spans="2:6" ht="15.75">
      <c r="B12" s="82" t="s">
        <v>561</v>
      </c>
      <c r="C12" s="107" t="s">
        <v>117</v>
      </c>
      <c r="D12" s="92">
        <v>1498</v>
      </c>
      <c r="E12" s="92">
        <v>25</v>
      </c>
      <c r="F12" s="93">
        <f t="shared" si="0"/>
        <v>1523</v>
      </c>
    </row>
    <row r="13" spans="2:6" ht="15.75">
      <c r="B13" s="82" t="s">
        <v>331</v>
      </c>
      <c r="C13" s="107" t="s">
        <v>118</v>
      </c>
      <c r="D13" s="92">
        <v>52766</v>
      </c>
      <c r="E13" s="92">
        <v>837</v>
      </c>
      <c r="F13" s="93">
        <f t="shared" si="0"/>
        <v>53603</v>
      </c>
    </row>
    <row r="14" spans="2:6" ht="15.75">
      <c r="B14" s="82" t="s">
        <v>332</v>
      </c>
      <c r="C14" s="107" t="s">
        <v>119</v>
      </c>
      <c r="D14" s="92">
        <v>110</v>
      </c>
      <c r="E14" s="92">
        <v>80</v>
      </c>
      <c r="F14" s="93">
        <f t="shared" si="0"/>
        <v>190</v>
      </c>
    </row>
    <row r="15" spans="2:6" ht="15.75">
      <c r="B15" s="82" t="s">
        <v>333</v>
      </c>
      <c r="C15" s="107" t="s">
        <v>120</v>
      </c>
      <c r="D15" s="92">
        <v>39985</v>
      </c>
      <c r="E15" s="92">
        <v>715</v>
      </c>
      <c r="F15" s="93">
        <f t="shared" si="0"/>
        <v>40700</v>
      </c>
    </row>
    <row r="16" spans="2:6" ht="15.75">
      <c r="B16" s="90" t="s">
        <v>525</v>
      </c>
      <c r="C16" s="109" t="s">
        <v>121</v>
      </c>
      <c r="D16" s="93">
        <f>SUM(D11:D15)</f>
        <v>172541</v>
      </c>
      <c r="E16" s="93">
        <f>SUM(E11:E15)</f>
        <v>1999</v>
      </c>
      <c r="F16" s="93">
        <f>SUM(F11:F15)</f>
        <v>174540</v>
      </c>
    </row>
    <row r="17" spans="2:6" ht="15.75">
      <c r="B17" s="78" t="s">
        <v>398</v>
      </c>
      <c r="C17" s="109" t="s">
        <v>128</v>
      </c>
      <c r="D17" s="92"/>
      <c r="E17" s="92"/>
      <c r="F17" s="93">
        <f aca="true" t="shared" si="1" ref="F17:F30">+D17+E17</f>
        <v>0</v>
      </c>
    </row>
    <row r="18" spans="2:6" ht="15.75">
      <c r="B18" s="88" t="s">
        <v>554</v>
      </c>
      <c r="C18" s="107" t="s">
        <v>129</v>
      </c>
      <c r="D18" s="92"/>
      <c r="E18" s="92"/>
      <c r="F18" s="93">
        <f t="shared" si="1"/>
        <v>0</v>
      </c>
    </row>
    <row r="19" spans="2:6" ht="15.75">
      <c r="B19" s="88" t="s">
        <v>130</v>
      </c>
      <c r="C19" s="107" t="s">
        <v>131</v>
      </c>
      <c r="D19" s="92"/>
      <c r="E19" s="92"/>
      <c r="F19" s="93">
        <f t="shared" si="1"/>
        <v>0</v>
      </c>
    </row>
    <row r="20" spans="2:6" ht="15.75">
      <c r="B20" s="88" t="s">
        <v>803</v>
      </c>
      <c r="C20" s="107" t="s">
        <v>132</v>
      </c>
      <c r="D20" s="92"/>
      <c r="E20" s="92"/>
      <c r="F20" s="93">
        <f t="shared" si="1"/>
        <v>0</v>
      </c>
    </row>
    <row r="21" spans="2:6" ht="15.75">
      <c r="B21" s="88" t="s">
        <v>802</v>
      </c>
      <c r="C21" s="107" t="s">
        <v>133</v>
      </c>
      <c r="D21" s="92"/>
      <c r="E21" s="92"/>
      <c r="F21" s="93">
        <f t="shared" si="1"/>
        <v>0</v>
      </c>
    </row>
    <row r="22" spans="2:6" ht="15.75">
      <c r="B22" s="88" t="s">
        <v>801</v>
      </c>
      <c r="C22" s="107" t="s">
        <v>134</v>
      </c>
      <c r="D22" s="92"/>
      <c r="E22" s="92"/>
      <c r="F22" s="93">
        <f t="shared" si="1"/>
        <v>0</v>
      </c>
    </row>
    <row r="23" spans="2:6" ht="15.75">
      <c r="B23" s="88" t="s">
        <v>804</v>
      </c>
      <c r="C23" s="107" t="s">
        <v>135</v>
      </c>
      <c r="D23" s="92"/>
      <c r="E23" s="92"/>
      <c r="F23" s="93">
        <f t="shared" si="1"/>
        <v>0</v>
      </c>
    </row>
    <row r="24" spans="2:6" ht="15.75">
      <c r="B24" s="88" t="s">
        <v>799</v>
      </c>
      <c r="C24" s="107" t="s">
        <v>136</v>
      </c>
      <c r="D24" s="92"/>
      <c r="E24" s="92"/>
      <c r="F24" s="93">
        <f t="shared" si="1"/>
        <v>0</v>
      </c>
    </row>
    <row r="25" spans="2:6" ht="15.75">
      <c r="B25" s="88" t="s">
        <v>798</v>
      </c>
      <c r="C25" s="107" t="s">
        <v>137</v>
      </c>
      <c r="D25" s="92"/>
      <c r="E25" s="92"/>
      <c r="F25" s="93">
        <f t="shared" si="1"/>
        <v>0</v>
      </c>
    </row>
    <row r="26" spans="2:6" ht="15.75">
      <c r="B26" s="88" t="s">
        <v>138</v>
      </c>
      <c r="C26" s="107" t="s">
        <v>139</v>
      </c>
      <c r="D26" s="92"/>
      <c r="E26" s="92"/>
      <c r="F26" s="93">
        <f t="shared" si="1"/>
        <v>0</v>
      </c>
    </row>
    <row r="27" spans="2:6" ht="15.75">
      <c r="B27" s="87" t="s">
        <v>140</v>
      </c>
      <c r="C27" s="107" t="s">
        <v>141</v>
      </c>
      <c r="D27" s="92"/>
      <c r="E27" s="92"/>
      <c r="F27" s="93">
        <f t="shared" si="1"/>
        <v>0</v>
      </c>
    </row>
    <row r="28" spans="2:6" ht="15.75">
      <c r="B28" s="88" t="s">
        <v>555</v>
      </c>
      <c r="C28" s="107" t="s">
        <v>142</v>
      </c>
      <c r="D28" s="92"/>
      <c r="E28" s="92"/>
      <c r="F28" s="93">
        <f t="shared" si="1"/>
        <v>0</v>
      </c>
    </row>
    <row r="29" spans="2:6" ht="15.75">
      <c r="B29" s="87" t="s">
        <v>790</v>
      </c>
      <c r="C29" s="107" t="s">
        <v>143</v>
      </c>
      <c r="D29" s="92"/>
      <c r="E29" s="92"/>
      <c r="F29" s="93">
        <f t="shared" si="1"/>
        <v>0</v>
      </c>
    </row>
    <row r="30" spans="2:6" ht="15.75">
      <c r="B30" s="87" t="s">
        <v>791</v>
      </c>
      <c r="C30" s="107" t="s">
        <v>143</v>
      </c>
      <c r="D30" s="92"/>
      <c r="E30" s="92"/>
      <c r="F30" s="93">
        <f t="shared" si="1"/>
        <v>0</v>
      </c>
    </row>
    <row r="31" spans="2:6" s="110" customFormat="1" ht="15.75">
      <c r="B31" s="78" t="s">
        <v>524</v>
      </c>
      <c r="C31" s="109" t="s">
        <v>144</v>
      </c>
      <c r="D31" s="93">
        <f>SUM(D18:D30)</f>
        <v>0</v>
      </c>
      <c r="E31" s="93">
        <f>SUM(E18:E30)</f>
        <v>0</v>
      </c>
      <c r="F31" s="93">
        <f>SUM(F18:F30)</f>
        <v>0</v>
      </c>
    </row>
    <row r="32" spans="2:6" ht="15.75">
      <c r="B32" s="111" t="s">
        <v>523</v>
      </c>
      <c r="C32" s="112" t="s">
        <v>673</v>
      </c>
      <c r="D32" s="113">
        <f>+D31+D17+D16+D10+D9</f>
        <v>394269</v>
      </c>
      <c r="E32" s="113">
        <f>+E31+E17+E16+E10+E9</f>
        <v>9917</v>
      </c>
      <c r="F32" s="113">
        <f>+F31+F17+F16+F10+F9</f>
        <v>404186</v>
      </c>
    </row>
    <row r="33" spans="2:9" ht="15.75">
      <c r="B33" s="114" t="s">
        <v>145</v>
      </c>
      <c r="C33" s="107" t="s">
        <v>146</v>
      </c>
      <c r="D33" s="92"/>
      <c r="E33" s="92"/>
      <c r="F33" s="93">
        <f aca="true" t="shared" si="2" ref="F33:F39">+D33+E33</f>
        <v>0</v>
      </c>
      <c r="I33" s="115"/>
    </row>
    <row r="34" spans="2:6" ht="15.75">
      <c r="B34" s="114" t="s">
        <v>556</v>
      </c>
      <c r="C34" s="107" t="s">
        <v>147</v>
      </c>
      <c r="D34" s="92"/>
      <c r="E34" s="92"/>
      <c r="F34" s="93">
        <f t="shared" si="2"/>
        <v>0</v>
      </c>
    </row>
    <row r="35" spans="2:6" ht="15.75">
      <c r="B35" s="114" t="s">
        <v>148</v>
      </c>
      <c r="C35" s="107" t="s">
        <v>149</v>
      </c>
      <c r="D35" s="92"/>
      <c r="E35" s="92"/>
      <c r="F35" s="93">
        <f t="shared" si="2"/>
        <v>0</v>
      </c>
    </row>
    <row r="36" spans="2:6" ht="15.75">
      <c r="B36" s="114" t="s">
        <v>150</v>
      </c>
      <c r="C36" s="107" t="s">
        <v>151</v>
      </c>
      <c r="D36" s="92"/>
      <c r="E36" s="92"/>
      <c r="F36" s="93">
        <f t="shared" si="2"/>
        <v>0</v>
      </c>
    </row>
    <row r="37" spans="2:6" ht="15.75">
      <c r="B37" s="81" t="s">
        <v>152</v>
      </c>
      <c r="C37" s="107" t="s">
        <v>153</v>
      </c>
      <c r="D37" s="92"/>
      <c r="E37" s="92"/>
      <c r="F37" s="93">
        <f t="shared" si="2"/>
        <v>0</v>
      </c>
    </row>
    <row r="38" spans="2:6" ht="15.75">
      <c r="B38" s="81" t="s">
        <v>154</v>
      </c>
      <c r="C38" s="107" t="s">
        <v>155</v>
      </c>
      <c r="D38" s="92"/>
      <c r="E38" s="92"/>
      <c r="F38" s="93">
        <f t="shared" si="2"/>
        <v>0</v>
      </c>
    </row>
    <row r="39" spans="2:6" ht="15.75">
      <c r="B39" s="81" t="s">
        <v>156</v>
      </c>
      <c r="C39" s="107" t="s">
        <v>157</v>
      </c>
      <c r="D39" s="92"/>
      <c r="E39" s="92"/>
      <c r="F39" s="93">
        <f t="shared" si="2"/>
        <v>0</v>
      </c>
    </row>
    <row r="40" spans="2:6" s="110" customFormat="1" ht="15.75">
      <c r="B40" s="83" t="s">
        <v>522</v>
      </c>
      <c r="C40" s="109" t="s">
        <v>158</v>
      </c>
      <c r="D40" s="93">
        <f>SUM(D33:D39)</f>
        <v>0</v>
      </c>
      <c r="E40" s="93">
        <f>SUM(E33:E39)</f>
        <v>0</v>
      </c>
      <c r="F40" s="93">
        <f>SUM(F33:F39)</f>
        <v>0</v>
      </c>
    </row>
    <row r="41" spans="2:6" ht="15.75">
      <c r="B41" s="80" t="s">
        <v>159</v>
      </c>
      <c r="C41" s="107" t="s">
        <v>160</v>
      </c>
      <c r="D41" s="92"/>
      <c r="E41" s="92"/>
      <c r="F41" s="93">
        <f>+D41+E41</f>
        <v>0</v>
      </c>
    </row>
    <row r="42" spans="2:6" ht="15.75">
      <c r="B42" s="80" t="s">
        <v>161</v>
      </c>
      <c r="C42" s="107" t="s">
        <v>162</v>
      </c>
      <c r="D42" s="92"/>
      <c r="E42" s="92"/>
      <c r="F42" s="93">
        <f>+D42+E42</f>
        <v>0</v>
      </c>
    </row>
    <row r="43" spans="2:6" ht="15.75">
      <c r="B43" s="80" t="s">
        <v>163</v>
      </c>
      <c r="C43" s="107" t="s">
        <v>164</v>
      </c>
      <c r="D43" s="92"/>
      <c r="E43" s="92"/>
      <c r="F43" s="93">
        <f>+D43+E43</f>
        <v>0</v>
      </c>
    </row>
    <row r="44" spans="2:6" ht="15.75">
      <c r="B44" s="80" t="s">
        <v>165</v>
      </c>
      <c r="C44" s="107" t="s">
        <v>166</v>
      </c>
      <c r="D44" s="92"/>
      <c r="E44" s="92"/>
      <c r="F44" s="93">
        <f>+D44+E44</f>
        <v>0</v>
      </c>
    </row>
    <row r="45" spans="2:6" s="110" customFormat="1" ht="15.75">
      <c r="B45" s="90" t="s">
        <v>521</v>
      </c>
      <c r="C45" s="109" t="s">
        <v>167</v>
      </c>
      <c r="D45" s="93">
        <f>SUM(D41:D44)</f>
        <v>0</v>
      </c>
      <c r="E45" s="93">
        <f>SUM(E41:E44)</f>
        <v>0</v>
      </c>
      <c r="F45" s="93">
        <f>SUM(F41:F44)</f>
        <v>0</v>
      </c>
    </row>
    <row r="46" spans="2:6" ht="15.75">
      <c r="B46" s="80" t="s">
        <v>793</v>
      </c>
      <c r="C46" s="107" t="s">
        <v>168</v>
      </c>
      <c r="D46" s="92"/>
      <c r="E46" s="92"/>
      <c r="F46" s="93">
        <f aca="true" t="shared" si="3" ref="F46:F53">+D46+E46</f>
        <v>0</v>
      </c>
    </row>
    <row r="47" spans="2:6" ht="15.75">
      <c r="B47" s="80" t="s">
        <v>794</v>
      </c>
      <c r="C47" s="107" t="s">
        <v>169</v>
      </c>
      <c r="D47" s="92"/>
      <c r="E47" s="92"/>
      <c r="F47" s="93">
        <f t="shared" si="3"/>
        <v>0</v>
      </c>
    </row>
    <row r="48" spans="2:6" ht="15.75">
      <c r="B48" s="80" t="s">
        <v>795</v>
      </c>
      <c r="C48" s="107" t="s">
        <v>170</v>
      </c>
      <c r="D48" s="92"/>
      <c r="E48" s="92"/>
      <c r="F48" s="93">
        <f t="shared" si="3"/>
        <v>0</v>
      </c>
    </row>
    <row r="49" spans="2:6" ht="15.75">
      <c r="B49" s="80" t="s">
        <v>805</v>
      </c>
      <c r="C49" s="107" t="s">
        <v>171</v>
      </c>
      <c r="D49" s="92"/>
      <c r="E49" s="92"/>
      <c r="F49" s="93">
        <f t="shared" si="3"/>
        <v>0</v>
      </c>
    </row>
    <row r="50" spans="2:6" ht="15.75">
      <c r="B50" s="80" t="s">
        <v>796</v>
      </c>
      <c r="C50" s="107" t="s">
        <v>172</v>
      </c>
      <c r="D50" s="92"/>
      <c r="E50" s="92"/>
      <c r="F50" s="93">
        <f t="shared" si="3"/>
        <v>0</v>
      </c>
    </row>
    <row r="51" spans="2:6" ht="15.75">
      <c r="B51" s="80" t="s">
        <v>797</v>
      </c>
      <c r="C51" s="107" t="s">
        <v>173</v>
      </c>
      <c r="D51" s="92"/>
      <c r="E51" s="92"/>
      <c r="F51" s="93">
        <f t="shared" si="3"/>
        <v>0</v>
      </c>
    </row>
    <row r="52" spans="2:6" ht="15.75">
      <c r="B52" s="80" t="s">
        <v>174</v>
      </c>
      <c r="C52" s="107" t="s">
        <v>175</v>
      </c>
      <c r="D52" s="92"/>
      <c r="E52" s="92"/>
      <c r="F52" s="93">
        <f t="shared" si="3"/>
        <v>0</v>
      </c>
    </row>
    <row r="53" spans="2:6" ht="15.75">
      <c r="B53" s="80" t="s">
        <v>557</v>
      </c>
      <c r="C53" s="107" t="s">
        <v>176</v>
      </c>
      <c r="D53" s="92"/>
      <c r="E53" s="92"/>
      <c r="F53" s="93">
        <f t="shared" si="3"/>
        <v>0</v>
      </c>
    </row>
    <row r="54" spans="2:6" s="110" customFormat="1" ht="15.75">
      <c r="B54" s="78" t="s">
        <v>520</v>
      </c>
      <c r="C54" s="109" t="s">
        <v>177</v>
      </c>
      <c r="D54" s="93">
        <f>SUM(D46:D53)</f>
        <v>0</v>
      </c>
      <c r="E54" s="93">
        <f>SUM(E46:E53)</f>
        <v>0</v>
      </c>
      <c r="F54" s="93">
        <f>SUM(F46:F53)</f>
        <v>0</v>
      </c>
    </row>
    <row r="55" spans="2:6" ht="15.75">
      <c r="B55" s="111" t="s">
        <v>519</v>
      </c>
      <c r="C55" s="112" t="s">
        <v>674</v>
      </c>
      <c r="D55" s="113">
        <f>+D54+D45+D40</f>
        <v>0</v>
      </c>
      <c r="E55" s="113">
        <f>+E54+E45+E40</f>
        <v>0</v>
      </c>
      <c r="F55" s="113">
        <f>+F54+F45+F40</f>
        <v>0</v>
      </c>
    </row>
    <row r="56" spans="2:6" ht="15.75">
      <c r="B56" s="116" t="s">
        <v>518</v>
      </c>
      <c r="C56" s="117" t="s">
        <v>675</v>
      </c>
      <c r="D56" s="118">
        <f>+D54+D45+D40+D31+D17+D16+D10+D9</f>
        <v>394269</v>
      </c>
      <c r="E56" s="118">
        <f>+E54+E45+E40+E31+E17+E16+E10+E9</f>
        <v>9917</v>
      </c>
      <c r="F56" s="118">
        <f>+F54+F45+F40+F31+F17+F16+F10+F9</f>
        <v>404186</v>
      </c>
    </row>
    <row r="57" spans="2:25" ht="15.75">
      <c r="B57" s="125" t="s">
        <v>542</v>
      </c>
      <c r="C57" s="90" t="s">
        <v>204</v>
      </c>
      <c r="D57" s="188"/>
      <c r="E57" s="188"/>
      <c r="F57" s="93">
        <f>+D57+E57</f>
        <v>0</v>
      </c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0"/>
      <c r="Y57" s="120"/>
    </row>
    <row r="58" spans="2:25" ht="15.75">
      <c r="B58" s="125" t="s">
        <v>547</v>
      </c>
      <c r="C58" s="90" t="s">
        <v>214</v>
      </c>
      <c r="D58" s="188"/>
      <c r="E58" s="188"/>
      <c r="F58" s="93">
        <f>+D58+E58</f>
        <v>0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0"/>
      <c r="Y58" s="120"/>
    </row>
    <row r="59" spans="2:25" ht="15.75">
      <c r="B59" s="80" t="s">
        <v>215</v>
      </c>
      <c r="C59" s="82" t="s">
        <v>216</v>
      </c>
      <c r="D59" s="188"/>
      <c r="E59" s="188"/>
      <c r="F59" s="93">
        <f>+D59+E59</f>
        <v>0</v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20"/>
      <c r="Y59" s="120"/>
    </row>
    <row r="60" spans="2:25" ht="15.75">
      <c r="B60" s="128" t="s">
        <v>517</v>
      </c>
      <c r="C60" s="129" t="s">
        <v>217</v>
      </c>
      <c r="D60" s="130">
        <f>+D59+D58+D57</f>
        <v>0</v>
      </c>
      <c r="E60" s="130">
        <f>+E59+E58+E57</f>
        <v>0</v>
      </c>
      <c r="F60" s="130">
        <f>+F59+F58+F57</f>
        <v>0</v>
      </c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0"/>
      <c r="Y60" s="120"/>
    </row>
    <row r="61" spans="2:25" ht="15.75">
      <c r="B61" s="75" t="s">
        <v>771</v>
      </c>
      <c r="C61" s="75" t="s">
        <v>671</v>
      </c>
      <c r="D61" s="131">
        <f>+D56+D60</f>
        <v>394269</v>
      </c>
      <c r="E61" s="131">
        <f>+E56+E60</f>
        <v>9917</v>
      </c>
      <c r="F61" s="131">
        <f>+F56+F60</f>
        <v>404186</v>
      </c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</row>
    <row r="62" spans="2:25" ht="15.75">
      <c r="B62" s="4"/>
      <c r="C62" s="132"/>
      <c r="D62" s="133"/>
      <c r="E62" s="133"/>
      <c r="F62" s="134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</row>
    <row r="63" spans="2:25" ht="15.75">
      <c r="B63" s="4"/>
      <c r="C63" s="132"/>
      <c r="D63" s="133"/>
      <c r="E63" s="133"/>
      <c r="F63" s="134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</row>
    <row r="64" spans="2:25" ht="31.5">
      <c r="B64" s="72" t="s">
        <v>76</v>
      </c>
      <c r="C64" s="79" t="s">
        <v>31</v>
      </c>
      <c r="D64" s="135" t="s">
        <v>769</v>
      </c>
      <c r="E64" s="135" t="s">
        <v>770</v>
      </c>
      <c r="F64" s="136" t="s">
        <v>28</v>
      </c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</row>
    <row r="65" spans="2:25" ht="15.75">
      <c r="B65" s="90" t="s">
        <v>620</v>
      </c>
      <c r="C65" s="83" t="s">
        <v>230</v>
      </c>
      <c r="D65" s="93"/>
      <c r="E65" s="93"/>
      <c r="F65" s="93">
        <f aca="true" t="shared" si="4" ref="F65:F70">+E65+D65</f>
        <v>0</v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</row>
    <row r="66" spans="2:25" ht="15.75">
      <c r="B66" s="82" t="s">
        <v>231</v>
      </c>
      <c r="C66" s="81" t="s">
        <v>232</v>
      </c>
      <c r="D66" s="93"/>
      <c r="E66" s="93"/>
      <c r="F66" s="93">
        <f t="shared" si="4"/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</row>
    <row r="67" spans="2:25" ht="15.75">
      <c r="B67" s="82" t="s">
        <v>768</v>
      </c>
      <c r="C67" s="81" t="s">
        <v>233</v>
      </c>
      <c r="D67" s="93"/>
      <c r="E67" s="93"/>
      <c r="F67" s="93">
        <f t="shared" si="4"/>
        <v>0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</row>
    <row r="68" spans="2:25" ht="15.75">
      <c r="B68" s="82" t="s">
        <v>766</v>
      </c>
      <c r="C68" s="81" t="s">
        <v>234</v>
      </c>
      <c r="D68" s="93"/>
      <c r="E68" s="93"/>
      <c r="F68" s="93">
        <f t="shared" si="4"/>
        <v>0</v>
      </c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</row>
    <row r="69" spans="2:25" ht="15.75">
      <c r="B69" s="82" t="s">
        <v>767</v>
      </c>
      <c r="C69" s="81" t="s">
        <v>235</v>
      </c>
      <c r="D69" s="93"/>
      <c r="E69" s="93"/>
      <c r="F69" s="93">
        <f t="shared" si="4"/>
        <v>0</v>
      </c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</row>
    <row r="70" spans="2:25" ht="15.75">
      <c r="B70" s="82" t="s">
        <v>572</v>
      </c>
      <c r="C70" s="81" t="s">
        <v>236</v>
      </c>
      <c r="D70" s="92"/>
      <c r="E70" s="92"/>
      <c r="F70" s="93">
        <f t="shared" si="4"/>
        <v>0</v>
      </c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</row>
    <row r="71" spans="2:25" ht="15.75">
      <c r="B71" s="90" t="s">
        <v>527</v>
      </c>
      <c r="C71" s="83" t="s">
        <v>237</v>
      </c>
      <c r="D71" s="93">
        <f>+D70+D69+D68+D67+D66+D65</f>
        <v>0</v>
      </c>
      <c r="E71" s="93">
        <f>+E70+E69+E68+E67+E66+E65</f>
        <v>0</v>
      </c>
      <c r="F71" s="93">
        <f>+F70+F69+F68+F67+F66+F65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</row>
    <row r="72" spans="2:25" ht="15.75">
      <c r="B72" s="90" t="s">
        <v>622</v>
      </c>
      <c r="C72" s="83" t="s">
        <v>242</v>
      </c>
      <c r="D72" s="92"/>
      <c r="E72" s="92"/>
      <c r="F72" s="93">
        <f aca="true" t="shared" si="5" ref="F72:F78">+E72+D72</f>
        <v>0</v>
      </c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</row>
    <row r="73" spans="2:25" ht="15.75">
      <c r="B73" s="82" t="s">
        <v>623</v>
      </c>
      <c r="C73" s="81" t="s">
        <v>243</v>
      </c>
      <c r="D73" s="92"/>
      <c r="E73" s="92"/>
      <c r="F73" s="93">
        <f t="shared" si="5"/>
        <v>0</v>
      </c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</row>
    <row r="74" spans="2:25" ht="15.75">
      <c r="B74" s="82" t="s">
        <v>573</v>
      </c>
      <c r="C74" s="81" t="s">
        <v>244</v>
      </c>
      <c r="D74" s="92"/>
      <c r="E74" s="92"/>
      <c r="F74" s="93">
        <f t="shared" si="5"/>
        <v>0</v>
      </c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</row>
    <row r="75" spans="2:25" ht="15.75">
      <c r="B75" s="82" t="s">
        <v>574</v>
      </c>
      <c r="C75" s="81" t="s">
        <v>245</v>
      </c>
      <c r="D75" s="92"/>
      <c r="E75" s="92"/>
      <c r="F75" s="93">
        <f t="shared" si="5"/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</row>
    <row r="76" spans="2:25" ht="15.75">
      <c r="B76" s="82" t="s">
        <v>575</v>
      </c>
      <c r="C76" s="81" t="s">
        <v>246</v>
      </c>
      <c r="D76" s="92"/>
      <c r="E76" s="92"/>
      <c r="F76" s="93">
        <f t="shared" si="5"/>
        <v>0</v>
      </c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2:25" ht="15.75">
      <c r="B77" s="82" t="s">
        <v>624</v>
      </c>
      <c r="C77" s="81" t="s">
        <v>258</v>
      </c>
      <c r="D77" s="92"/>
      <c r="E77" s="92"/>
      <c r="F77" s="93">
        <f t="shared" si="5"/>
        <v>0</v>
      </c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2:25" ht="15.75">
      <c r="B78" s="82" t="s">
        <v>578</v>
      </c>
      <c r="C78" s="81" t="s">
        <v>259</v>
      </c>
      <c r="D78" s="92"/>
      <c r="E78" s="92"/>
      <c r="F78" s="93">
        <f t="shared" si="5"/>
        <v>0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2:25" ht="15.75">
      <c r="B79" s="90" t="s">
        <v>434</v>
      </c>
      <c r="C79" s="83" t="s">
        <v>260</v>
      </c>
      <c r="D79" s="93">
        <f>SUM(D73:D78)</f>
        <v>0</v>
      </c>
      <c r="E79" s="93">
        <f>SUM(E73:E78)</f>
        <v>0</v>
      </c>
      <c r="F79" s="93">
        <f>SUM(F73:F78)</f>
        <v>0</v>
      </c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2:25" ht="15.75">
      <c r="B80" s="80" t="s">
        <v>261</v>
      </c>
      <c r="C80" s="81" t="s">
        <v>262</v>
      </c>
      <c r="D80" s="92">
        <v>19100</v>
      </c>
      <c r="E80" s="92"/>
      <c r="F80" s="93">
        <f aca="true" t="shared" si="6" ref="F80:F89">+E80+D80</f>
        <v>19100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2:25" ht="15.75">
      <c r="B81" s="80" t="s">
        <v>579</v>
      </c>
      <c r="C81" s="81" t="s">
        <v>263</v>
      </c>
      <c r="D81" s="92"/>
      <c r="E81" s="92">
        <v>1575</v>
      </c>
      <c r="F81" s="93">
        <f t="shared" si="6"/>
        <v>1575</v>
      </c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2:25" ht="15.75">
      <c r="B82" s="80" t="s">
        <v>580</v>
      </c>
      <c r="C82" s="81" t="s">
        <v>264</v>
      </c>
      <c r="D82" s="92"/>
      <c r="E82" s="92"/>
      <c r="F82" s="93">
        <f t="shared" si="6"/>
        <v>0</v>
      </c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2:25" ht="15.75">
      <c r="B83" s="80" t="s">
        <v>581</v>
      </c>
      <c r="C83" s="81" t="s">
        <v>265</v>
      </c>
      <c r="D83" s="92"/>
      <c r="E83" s="92"/>
      <c r="F83" s="93">
        <f t="shared" si="6"/>
        <v>0</v>
      </c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2:25" ht="15.75">
      <c r="B84" s="80" t="s">
        <v>266</v>
      </c>
      <c r="C84" s="81" t="s">
        <v>267</v>
      </c>
      <c r="D84" s="92">
        <v>115890</v>
      </c>
      <c r="E84" s="92"/>
      <c r="F84" s="93">
        <f t="shared" si="6"/>
        <v>115890</v>
      </c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2:25" ht="15.75">
      <c r="B85" s="80" t="s">
        <v>268</v>
      </c>
      <c r="C85" s="81" t="s">
        <v>269</v>
      </c>
      <c r="D85" s="92">
        <v>9842</v>
      </c>
      <c r="E85" s="92">
        <v>425</v>
      </c>
      <c r="F85" s="93">
        <f t="shared" si="6"/>
        <v>10267</v>
      </c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2:25" ht="15.75">
      <c r="B86" s="80" t="s">
        <v>270</v>
      </c>
      <c r="C86" s="81" t="s">
        <v>271</v>
      </c>
      <c r="D86" s="92"/>
      <c r="E86" s="92"/>
      <c r="F86" s="93">
        <f t="shared" si="6"/>
        <v>0</v>
      </c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</row>
    <row r="87" spans="2:25" ht="15.75">
      <c r="B87" s="80" t="s">
        <v>582</v>
      </c>
      <c r="C87" s="81" t="s">
        <v>272</v>
      </c>
      <c r="D87" s="92"/>
      <c r="E87" s="92"/>
      <c r="F87" s="93">
        <f t="shared" si="6"/>
        <v>0</v>
      </c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</row>
    <row r="88" spans="2:25" ht="15.75">
      <c r="B88" s="80" t="s">
        <v>583</v>
      </c>
      <c r="C88" s="81" t="s">
        <v>273</v>
      </c>
      <c r="D88" s="92"/>
      <c r="E88" s="92"/>
      <c r="F88" s="93">
        <f t="shared" si="6"/>
        <v>0</v>
      </c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</row>
    <row r="89" spans="2:25" ht="15.75">
      <c r="B89" s="80" t="s">
        <v>584</v>
      </c>
      <c r="C89" s="81" t="s">
        <v>274</v>
      </c>
      <c r="D89" s="92"/>
      <c r="E89" s="92"/>
      <c r="F89" s="93">
        <f t="shared" si="6"/>
        <v>0</v>
      </c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</row>
    <row r="90" spans="2:25" ht="15.75">
      <c r="B90" s="78" t="s">
        <v>435</v>
      </c>
      <c r="C90" s="83" t="s">
        <v>275</v>
      </c>
      <c r="D90" s="93">
        <f>SUM(D80:D89)</f>
        <v>144832</v>
      </c>
      <c r="E90" s="93">
        <f>SUM(E80:E89)</f>
        <v>2000</v>
      </c>
      <c r="F90" s="93">
        <f>SUM(F80:F89)</f>
        <v>146832</v>
      </c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2:25" ht="15.75">
      <c r="B91" s="80" t="s">
        <v>585</v>
      </c>
      <c r="C91" s="81" t="s">
        <v>276</v>
      </c>
      <c r="D91" s="92"/>
      <c r="E91" s="92"/>
      <c r="F91" s="93">
        <f>+E91+D91</f>
        <v>0</v>
      </c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</row>
    <row r="92" spans="2:25" ht="15.75">
      <c r="B92" s="80" t="s">
        <v>586</v>
      </c>
      <c r="C92" s="81" t="s">
        <v>277</v>
      </c>
      <c r="D92" s="92"/>
      <c r="E92" s="92"/>
      <c r="F92" s="93">
        <f>+E92+D92</f>
        <v>0</v>
      </c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</row>
    <row r="93" spans="2:25" ht="15.75">
      <c r="B93" s="80" t="s">
        <v>278</v>
      </c>
      <c r="C93" s="81" t="s">
        <v>279</v>
      </c>
      <c r="D93" s="92"/>
      <c r="E93" s="92"/>
      <c r="F93" s="93">
        <f>+E93+D93</f>
        <v>0</v>
      </c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</row>
    <row r="94" spans="2:25" ht="15.75">
      <c r="B94" s="80" t="s">
        <v>587</v>
      </c>
      <c r="C94" s="81" t="s">
        <v>280</v>
      </c>
      <c r="D94" s="92"/>
      <c r="E94" s="92"/>
      <c r="F94" s="93">
        <f>+E94+D94</f>
        <v>0</v>
      </c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</row>
    <row r="95" spans="2:25" ht="15.75">
      <c r="B95" s="80" t="s">
        <v>281</v>
      </c>
      <c r="C95" s="81" t="s">
        <v>282</v>
      </c>
      <c r="D95" s="92"/>
      <c r="E95" s="92"/>
      <c r="F95" s="93">
        <f>+E95+D95</f>
        <v>0</v>
      </c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</row>
    <row r="96" spans="2:25" ht="15.75">
      <c r="B96" s="90" t="s">
        <v>693</v>
      </c>
      <c r="C96" s="83" t="s">
        <v>283</v>
      </c>
      <c r="D96" s="93">
        <f>SUM(D91:D95)</f>
        <v>0</v>
      </c>
      <c r="E96" s="93">
        <f>SUM(E91:E95)</f>
        <v>0</v>
      </c>
      <c r="F96" s="93">
        <f>SUM(F91:F95)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</row>
    <row r="97" spans="2:25" ht="15.75">
      <c r="B97" s="90" t="s">
        <v>628</v>
      </c>
      <c r="C97" s="83" t="s">
        <v>286</v>
      </c>
      <c r="D97" s="92"/>
      <c r="E97" s="92"/>
      <c r="F97" s="93">
        <f>+E97+D97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</row>
    <row r="98" spans="2:25" ht="15.75">
      <c r="B98" s="80" t="s">
        <v>808</v>
      </c>
      <c r="C98" s="81" t="s">
        <v>287</v>
      </c>
      <c r="D98" s="92"/>
      <c r="E98" s="92"/>
      <c r="F98" s="93">
        <f>+E98+D98</f>
        <v>0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</row>
    <row r="99" spans="2:25" ht="15.75">
      <c r="B99" s="82" t="s">
        <v>807</v>
      </c>
      <c r="C99" s="81" t="s">
        <v>288</v>
      </c>
      <c r="D99" s="92"/>
      <c r="E99" s="92"/>
      <c r="F99" s="93">
        <f>+E99+D99</f>
        <v>0</v>
      </c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</row>
    <row r="100" spans="2:25" ht="15.75">
      <c r="B100" s="80" t="s">
        <v>612</v>
      </c>
      <c r="C100" s="81" t="s">
        <v>289</v>
      </c>
      <c r="D100" s="92"/>
      <c r="E100" s="92"/>
      <c r="F100" s="93">
        <f>+E100+D100</f>
        <v>0</v>
      </c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</row>
    <row r="101" spans="2:25" ht="15.75">
      <c r="B101" s="90" t="s">
        <v>512</v>
      </c>
      <c r="C101" s="83" t="s">
        <v>290</v>
      </c>
      <c r="D101" s="93">
        <f>SUM(D98:D100)</f>
        <v>0</v>
      </c>
      <c r="E101" s="93">
        <f>SUM(E98:E100)</f>
        <v>0</v>
      </c>
      <c r="F101" s="93">
        <f>SUM(F98:F100)</f>
        <v>0</v>
      </c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</row>
    <row r="102" spans="2:25" ht="15.75">
      <c r="B102" s="137" t="s">
        <v>516</v>
      </c>
      <c r="C102" s="116" t="s">
        <v>672</v>
      </c>
      <c r="D102" s="118">
        <f>+D101+D97+D96+D90+D79+D72+D71</f>
        <v>144832</v>
      </c>
      <c r="E102" s="118">
        <f>+E101+E97+E96+E90+E79+E72+E71</f>
        <v>2000</v>
      </c>
      <c r="F102" s="118">
        <f>+F101+F97+F96+F90+F79+F72+F71</f>
        <v>146832</v>
      </c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</row>
    <row r="103" spans="2:25" ht="15.75">
      <c r="B103" s="138" t="s">
        <v>668</v>
      </c>
      <c r="C103" s="139"/>
      <c r="D103" s="140">
        <f>+D97+D90+D79+D71-D32</f>
        <v>-249437</v>
      </c>
      <c r="E103" s="140">
        <f>+E97+E90+E79+E71-E32</f>
        <v>-7917</v>
      </c>
      <c r="F103" s="140">
        <f aca="true" t="shared" si="7" ref="F103:F110">+E103+D103</f>
        <v>-257354</v>
      </c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</row>
    <row r="104" spans="2:25" ht="15.75">
      <c r="B104" s="138" t="s">
        <v>669</v>
      </c>
      <c r="C104" s="139"/>
      <c r="D104" s="140">
        <f>+D101+D96+D72-D55</f>
        <v>0</v>
      </c>
      <c r="E104" s="140">
        <f>+E101+E96+E72-E55</f>
        <v>0</v>
      </c>
      <c r="F104" s="140">
        <f t="shared" si="7"/>
        <v>0</v>
      </c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</row>
    <row r="105" spans="2:6" ht="15.75">
      <c r="B105" s="78" t="s">
        <v>631</v>
      </c>
      <c r="C105" s="90" t="s">
        <v>295</v>
      </c>
      <c r="D105" s="92"/>
      <c r="E105" s="92"/>
      <c r="F105" s="93">
        <f t="shared" si="7"/>
        <v>0</v>
      </c>
    </row>
    <row r="106" spans="2:6" ht="15.75">
      <c r="B106" s="125" t="s">
        <v>632</v>
      </c>
      <c r="C106" s="90" t="s">
        <v>302</v>
      </c>
      <c r="D106" s="92"/>
      <c r="E106" s="92"/>
      <c r="F106" s="93">
        <f t="shared" si="7"/>
        <v>0</v>
      </c>
    </row>
    <row r="107" spans="2:6" ht="15.75">
      <c r="B107" s="82" t="s">
        <v>788</v>
      </c>
      <c r="C107" s="82" t="s">
        <v>303</v>
      </c>
      <c r="D107" s="92"/>
      <c r="E107" s="92"/>
      <c r="F107" s="93">
        <f t="shared" si="7"/>
        <v>0</v>
      </c>
    </row>
    <row r="108" spans="2:6" ht="15.75">
      <c r="B108" s="82" t="s">
        <v>789</v>
      </c>
      <c r="C108" s="82" t="s">
        <v>303</v>
      </c>
      <c r="D108" s="92"/>
      <c r="E108" s="92"/>
      <c r="F108" s="93">
        <f t="shared" si="7"/>
        <v>0</v>
      </c>
    </row>
    <row r="109" spans="2:6" ht="15.75">
      <c r="B109" s="82" t="s">
        <v>786</v>
      </c>
      <c r="C109" s="82" t="s">
        <v>304</v>
      </c>
      <c r="D109" s="92"/>
      <c r="E109" s="92"/>
      <c r="F109" s="93">
        <f t="shared" si="7"/>
        <v>0</v>
      </c>
    </row>
    <row r="110" spans="2:6" ht="15.75">
      <c r="B110" s="82" t="s">
        <v>787</v>
      </c>
      <c r="C110" s="82" t="s">
        <v>304</v>
      </c>
      <c r="D110" s="92"/>
      <c r="E110" s="92"/>
      <c r="F110" s="93">
        <f t="shared" si="7"/>
        <v>0</v>
      </c>
    </row>
    <row r="111" spans="2:6" ht="15.75">
      <c r="B111" s="90" t="s">
        <v>514</v>
      </c>
      <c r="C111" s="90" t="s">
        <v>305</v>
      </c>
      <c r="D111" s="93">
        <f>SUM(D107:D110)</f>
        <v>0</v>
      </c>
      <c r="E111" s="93">
        <f>SUM(E107:E110)</f>
        <v>0</v>
      </c>
      <c r="F111" s="93">
        <f>SUM(F107:F110)</f>
        <v>0</v>
      </c>
    </row>
    <row r="112" spans="2:6" ht="15.75">
      <c r="B112" s="123" t="s">
        <v>306</v>
      </c>
      <c r="C112" s="82" t="s">
        <v>307</v>
      </c>
      <c r="D112" s="92"/>
      <c r="E112" s="92"/>
      <c r="F112" s="93">
        <f aca="true" t="shared" si="8" ref="F112:F118">+E112+D112</f>
        <v>0</v>
      </c>
    </row>
    <row r="113" spans="2:6" ht="15.75">
      <c r="B113" s="123" t="s">
        <v>308</v>
      </c>
      <c r="C113" s="82" t="s">
        <v>309</v>
      </c>
      <c r="D113" s="92"/>
      <c r="E113" s="92"/>
      <c r="F113" s="93">
        <f t="shared" si="8"/>
        <v>0</v>
      </c>
    </row>
    <row r="114" spans="2:6" ht="15.75">
      <c r="B114" s="123" t="s">
        <v>310</v>
      </c>
      <c r="C114" s="82" t="s">
        <v>311</v>
      </c>
      <c r="D114" s="92">
        <v>249437</v>
      </c>
      <c r="E114" s="92">
        <v>7917</v>
      </c>
      <c r="F114" s="93">
        <f t="shared" si="8"/>
        <v>257354</v>
      </c>
    </row>
    <row r="115" spans="2:6" s="208" customFormat="1" ht="15.75">
      <c r="B115" s="204" t="s">
        <v>366</v>
      </c>
      <c r="C115" s="171"/>
      <c r="D115" s="151">
        <f>217261+9903</f>
        <v>227164</v>
      </c>
      <c r="E115" s="151">
        <v>8000</v>
      </c>
      <c r="F115" s="173">
        <f t="shared" si="8"/>
        <v>235164</v>
      </c>
    </row>
    <row r="116" spans="2:6" s="208" customFormat="1" ht="15.75">
      <c r="B116" s="206" t="s">
        <v>356</v>
      </c>
      <c r="C116" s="171"/>
      <c r="D116" s="151">
        <f>+D114-D115</f>
        <v>22273</v>
      </c>
      <c r="E116" s="151">
        <f>+E114-E115</f>
        <v>-83</v>
      </c>
      <c r="F116" s="173">
        <f t="shared" si="8"/>
        <v>22190</v>
      </c>
    </row>
    <row r="117" spans="2:6" ht="15.75">
      <c r="B117" s="123" t="s">
        <v>312</v>
      </c>
      <c r="C117" s="82" t="s">
        <v>313</v>
      </c>
      <c r="D117" s="92"/>
      <c r="E117" s="92"/>
      <c r="F117" s="93">
        <f t="shared" si="8"/>
        <v>0</v>
      </c>
    </row>
    <row r="118" spans="2:6" ht="15.75">
      <c r="B118" s="80" t="s">
        <v>615</v>
      </c>
      <c r="C118" s="82" t="s">
        <v>314</v>
      </c>
      <c r="D118" s="92"/>
      <c r="E118" s="92"/>
      <c r="F118" s="93">
        <f t="shared" si="8"/>
        <v>0</v>
      </c>
    </row>
    <row r="119" spans="2:6" ht="15.75">
      <c r="B119" s="78" t="s">
        <v>428</v>
      </c>
      <c r="C119" s="90" t="s">
        <v>316</v>
      </c>
      <c r="D119" s="93">
        <f>SUM(D112:D118)+D111+D106+D105-D115-D116</f>
        <v>249437</v>
      </c>
      <c r="E119" s="93">
        <f>SUM(E112:E118)+E111+E106+E105-E115-E116</f>
        <v>7917</v>
      </c>
      <c r="F119" s="93">
        <f>SUM(F112:F118)+F111+F106+F105-F115-F116</f>
        <v>257354</v>
      </c>
    </row>
    <row r="120" spans="2:6" ht="15.75">
      <c r="B120" s="123" t="s">
        <v>635</v>
      </c>
      <c r="C120" s="82" t="s">
        <v>324</v>
      </c>
      <c r="D120" s="92"/>
      <c r="E120" s="92"/>
      <c r="F120" s="93">
        <f>+E120+D120</f>
        <v>0</v>
      </c>
    </row>
    <row r="121" spans="2:6" ht="15.75">
      <c r="B121" s="80" t="s">
        <v>325</v>
      </c>
      <c r="C121" s="82" t="s">
        <v>326</v>
      </c>
      <c r="D121" s="92"/>
      <c r="E121" s="92"/>
      <c r="F121" s="93">
        <f>+E121+D121</f>
        <v>0</v>
      </c>
    </row>
    <row r="122" spans="2:6" ht="15.75">
      <c r="B122" s="128" t="s">
        <v>515</v>
      </c>
      <c r="C122" s="129" t="s">
        <v>327</v>
      </c>
      <c r="D122" s="118">
        <f>+D121+D120+D119</f>
        <v>249437</v>
      </c>
      <c r="E122" s="118">
        <f>+E121+E120+E119</f>
        <v>7917</v>
      </c>
      <c r="F122" s="118">
        <f>+F121+F120+F119</f>
        <v>257354</v>
      </c>
    </row>
    <row r="123" spans="2:6" ht="15.75">
      <c r="B123" s="75" t="s">
        <v>654</v>
      </c>
      <c r="C123" s="75" t="s">
        <v>670</v>
      </c>
      <c r="D123" s="131">
        <f>+D102+D122</f>
        <v>394269</v>
      </c>
      <c r="E123" s="131">
        <f>+E102+E122</f>
        <v>9917</v>
      </c>
      <c r="F123" s="131">
        <f>+F102+F122</f>
        <v>404186</v>
      </c>
    </row>
    <row r="124" spans="2:6" ht="15.75">
      <c r="B124" s="4"/>
      <c r="C124" s="4"/>
      <c r="D124" s="141"/>
      <c r="E124" s="141"/>
      <c r="F124" s="142"/>
    </row>
    <row r="125" spans="2:6" ht="15.75">
      <c r="B125" s="74" t="s">
        <v>676</v>
      </c>
      <c r="C125" s="74"/>
      <c r="D125" s="93">
        <f>+D102-D56</f>
        <v>-249437</v>
      </c>
      <c r="E125" s="93">
        <f>+E102-E56</f>
        <v>-7917</v>
      </c>
      <c r="F125" s="93">
        <f>+F102-F56</f>
        <v>-257354</v>
      </c>
    </row>
    <row r="126" spans="2:6" ht="15.75">
      <c r="B126" s="74" t="s">
        <v>746</v>
      </c>
      <c r="C126" s="74"/>
      <c r="D126" s="93">
        <f>+D122-D60</f>
        <v>249437</v>
      </c>
      <c r="E126" s="93">
        <f>+E122-E60</f>
        <v>7917</v>
      </c>
      <c r="F126" s="93">
        <f>+F122-F60</f>
        <v>257354</v>
      </c>
    </row>
    <row r="127" spans="2:6" ht="15.75">
      <c r="B127" s="4"/>
      <c r="C127" s="4"/>
      <c r="D127" s="141"/>
      <c r="E127" s="141"/>
      <c r="F127" s="142"/>
    </row>
    <row r="128" spans="2:6" ht="15.75">
      <c r="B128" s="143" t="s">
        <v>756</v>
      </c>
      <c r="C128" s="4"/>
      <c r="D128" s="141">
        <f>+D123-D61</f>
        <v>0</v>
      </c>
      <c r="E128" s="141">
        <f>+E123-E61</f>
        <v>0</v>
      </c>
      <c r="F128" s="141">
        <f>+F123-F61</f>
        <v>0</v>
      </c>
    </row>
    <row r="129" spans="2:6" ht="15.75">
      <c r="B129" s="4"/>
      <c r="C129" s="4"/>
      <c r="D129" s="141"/>
      <c r="E129" s="141"/>
      <c r="F129" s="142"/>
    </row>
    <row r="130" spans="2:6" ht="15.75">
      <c r="B130" s="4"/>
      <c r="C130" s="4"/>
      <c r="D130" s="141"/>
      <c r="E130" s="141"/>
      <c r="F130" s="142"/>
    </row>
    <row r="131" spans="2:6" ht="15.75">
      <c r="B131" s="4"/>
      <c r="C131" s="4"/>
      <c r="D131" s="141"/>
      <c r="E131" s="141"/>
      <c r="F131" s="142"/>
    </row>
    <row r="132" spans="2:6" ht="15.75">
      <c r="B132" s="4"/>
      <c r="C132" s="4"/>
      <c r="D132" s="141"/>
      <c r="E132" s="141"/>
      <c r="F132" s="142"/>
    </row>
    <row r="133" spans="2:6" ht="15.75">
      <c r="B133" s="4"/>
      <c r="C133" s="4"/>
      <c r="D133" s="141"/>
      <c r="E133" s="141"/>
      <c r="F133" s="142"/>
    </row>
    <row r="134" spans="2:6" ht="15.75">
      <c r="B134" s="4"/>
      <c r="C134" s="4"/>
      <c r="D134" s="141"/>
      <c r="E134" s="141"/>
      <c r="F134" s="142"/>
    </row>
    <row r="135" spans="2:6" ht="15.75">
      <c r="B135" s="4"/>
      <c r="C135" s="4"/>
      <c r="D135" s="141"/>
      <c r="E135" s="141"/>
      <c r="F135" s="142"/>
    </row>
    <row r="136" spans="2:6" ht="15.75">
      <c r="B136" s="4"/>
      <c r="C136" s="4"/>
      <c r="D136" s="141"/>
      <c r="E136" s="141"/>
      <c r="F136" s="142"/>
    </row>
    <row r="137" spans="2:6" ht="15.75">
      <c r="B137" s="4"/>
      <c r="C137" s="4"/>
      <c r="D137" s="141"/>
      <c r="E137" s="141"/>
      <c r="F137" s="142"/>
    </row>
    <row r="138" spans="2:6" ht="15.75">
      <c r="B138" s="4"/>
      <c r="C138" s="4"/>
      <c r="D138" s="141"/>
      <c r="E138" s="141"/>
      <c r="F138" s="142"/>
    </row>
    <row r="139" spans="2:6" ht="15.75">
      <c r="B139" s="4"/>
      <c r="C139" s="4"/>
      <c r="D139" s="141"/>
      <c r="E139" s="141"/>
      <c r="F139" s="142"/>
    </row>
    <row r="140" spans="2:6" ht="15.75">
      <c r="B140" s="4"/>
      <c r="C140" s="4"/>
      <c r="D140" s="141"/>
      <c r="E140" s="141"/>
      <c r="F140" s="142"/>
    </row>
    <row r="141" spans="2:6" ht="15.75">
      <c r="B141" s="4"/>
      <c r="C141" s="4"/>
      <c r="D141" s="141"/>
      <c r="E141" s="141"/>
      <c r="F141" s="142"/>
    </row>
    <row r="142" spans="2:6" ht="15.75">
      <c r="B142" s="4"/>
      <c r="C142" s="4"/>
      <c r="D142" s="141"/>
      <c r="E142" s="141"/>
      <c r="F142" s="142"/>
    </row>
    <row r="143" spans="2:6" ht="15.75">
      <c r="B143" s="4"/>
      <c r="C143" s="4"/>
      <c r="D143" s="141"/>
      <c r="E143" s="141"/>
      <c r="F143" s="142"/>
    </row>
    <row r="144" spans="2:6" ht="15.75">
      <c r="B144" s="4"/>
      <c r="C144" s="4"/>
      <c r="D144" s="141"/>
      <c r="E144" s="141"/>
      <c r="F144" s="142"/>
    </row>
    <row r="145" spans="2:6" ht="15.75">
      <c r="B145" s="4"/>
      <c r="C145" s="4"/>
      <c r="D145" s="141"/>
      <c r="E145" s="141"/>
      <c r="F145" s="142"/>
    </row>
    <row r="146" spans="2:6" ht="15.75">
      <c r="B146" s="4"/>
      <c r="C146" s="4"/>
      <c r="D146" s="141"/>
      <c r="E146" s="141"/>
      <c r="F146" s="142"/>
    </row>
    <row r="147" spans="2:6" ht="15.75">
      <c r="B147" s="4"/>
      <c r="C147" s="4"/>
      <c r="D147" s="141"/>
      <c r="E147" s="141"/>
      <c r="F147" s="142"/>
    </row>
    <row r="148" spans="2:6" ht="15.75">
      <c r="B148" s="4"/>
      <c r="C148" s="4"/>
      <c r="D148" s="141"/>
      <c r="E148" s="141"/>
      <c r="F148" s="142"/>
    </row>
    <row r="149" spans="2:6" ht="15.75">
      <c r="B149" s="4"/>
      <c r="C149" s="4"/>
      <c r="D149" s="141"/>
      <c r="E149" s="141"/>
      <c r="F149" s="142"/>
    </row>
    <row r="150" spans="2:6" ht="15.75">
      <c r="B150" s="4"/>
      <c r="C150" s="4"/>
      <c r="D150" s="141"/>
      <c r="E150" s="141"/>
      <c r="F150" s="142"/>
    </row>
    <row r="151" spans="2:6" ht="15.75">
      <c r="B151" s="4"/>
      <c r="C151" s="4"/>
      <c r="D151" s="141"/>
      <c r="E151" s="141"/>
      <c r="F151" s="142"/>
    </row>
    <row r="152" spans="2:6" ht="15.75">
      <c r="B152" s="4"/>
      <c r="C152" s="4"/>
      <c r="D152" s="141"/>
      <c r="E152" s="141"/>
      <c r="F152" s="142"/>
    </row>
    <row r="153" spans="2:6" ht="15.75">
      <c r="B153" s="4"/>
      <c r="C153" s="4"/>
      <c r="D153" s="141"/>
      <c r="E153" s="141"/>
      <c r="F153" s="142"/>
    </row>
    <row r="154" spans="2:6" ht="15.75">
      <c r="B154" s="4"/>
      <c r="C154" s="4"/>
      <c r="D154" s="141"/>
      <c r="E154" s="141"/>
      <c r="F154" s="142"/>
    </row>
    <row r="155" spans="2:6" ht="15.75">
      <c r="B155" s="4"/>
      <c r="C155" s="4"/>
      <c r="D155" s="141"/>
      <c r="E155" s="141"/>
      <c r="F155" s="142"/>
    </row>
    <row r="156" spans="2:6" ht="15.75">
      <c r="B156" s="4"/>
      <c r="C156" s="4"/>
      <c r="D156" s="141"/>
      <c r="E156" s="141"/>
      <c r="F156" s="142"/>
    </row>
    <row r="157" spans="2:6" ht="15.75">
      <c r="B157" s="4"/>
      <c r="C157" s="4"/>
      <c r="D157" s="141"/>
      <c r="E157" s="141"/>
      <c r="F157" s="142"/>
    </row>
    <row r="158" spans="2:6" ht="15.75">
      <c r="B158" s="4"/>
      <c r="C158" s="4"/>
      <c r="D158" s="141"/>
      <c r="E158" s="141"/>
      <c r="F158" s="142"/>
    </row>
    <row r="159" spans="2:6" ht="15.75">
      <c r="B159" s="4"/>
      <c r="C159" s="4"/>
      <c r="D159" s="141"/>
      <c r="E159" s="141"/>
      <c r="F159" s="142"/>
    </row>
    <row r="160" spans="2:6" ht="15.75">
      <c r="B160" s="4"/>
      <c r="C160" s="4"/>
      <c r="D160" s="141"/>
      <c r="E160" s="141"/>
      <c r="F160" s="142"/>
    </row>
    <row r="161" spans="2:6" ht="15.75">
      <c r="B161" s="4"/>
      <c r="C161" s="4"/>
      <c r="D161" s="141"/>
      <c r="E161" s="141"/>
      <c r="F161" s="142"/>
    </row>
    <row r="162" spans="2:6" ht="15.75">
      <c r="B162" s="4"/>
      <c r="C162" s="4"/>
      <c r="D162" s="141"/>
      <c r="E162" s="141"/>
      <c r="F162" s="142"/>
    </row>
    <row r="163" spans="2:6" ht="15.75">
      <c r="B163" s="4"/>
      <c r="C163" s="4"/>
      <c r="D163" s="141"/>
      <c r="E163" s="141"/>
      <c r="F163" s="142"/>
    </row>
    <row r="164" spans="2:6" ht="15.75">
      <c r="B164" s="4"/>
      <c r="C164" s="4"/>
      <c r="D164" s="141"/>
      <c r="E164" s="141"/>
      <c r="F164" s="142"/>
    </row>
    <row r="165" spans="2:6" ht="15.75">
      <c r="B165" s="4"/>
      <c r="C165" s="4"/>
      <c r="D165" s="141"/>
      <c r="E165" s="141"/>
      <c r="F165" s="142"/>
    </row>
    <row r="166" spans="2:6" ht="15.75">
      <c r="B166" s="4"/>
      <c r="C166" s="4"/>
      <c r="D166" s="141"/>
      <c r="E166" s="141"/>
      <c r="F166" s="142"/>
    </row>
    <row r="167" spans="2:6" ht="15.75">
      <c r="B167" s="4"/>
      <c r="C167" s="4"/>
      <c r="D167" s="141"/>
      <c r="E167" s="141"/>
      <c r="F167" s="142"/>
    </row>
    <row r="168" spans="2:6" ht="15.75">
      <c r="B168" s="4"/>
      <c r="C168" s="4"/>
      <c r="D168" s="141"/>
      <c r="E168" s="141"/>
      <c r="F168" s="142"/>
    </row>
    <row r="169" spans="2:6" ht="15.75">
      <c r="B169" s="4"/>
      <c r="C169" s="4"/>
      <c r="D169" s="141"/>
      <c r="E169" s="141"/>
      <c r="F169" s="142"/>
    </row>
    <row r="170" spans="2:6" ht="15.75">
      <c r="B170" s="4"/>
      <c r="C170" s="4"/>
      <c r="D170" s="141"/>
      <c r="E170" s="141"/>
      <c r="F170" s="142"/>
    </row>
    <row r="171" spans="2:6" ht="15.75">
      <c r="B171" s="4"/>
      <c r="C171" s="4"/>
      <c r="D171" s="141"/>
      <c r="E171" s="141"/>
      <c r="F171" s="142"/>
    </row>
    <row r="172" spans="2:6" ht="15.75">
      <c r="B172" s="4"/>
      <c r="C172" s="4"/>
      <c r="D172" s="141"/>
      <c r="E172" s="141"/>
      <c r="F172" s="142"/>
    </row>
    <row r="173" spans="2:6" ht="15.75">
      <c r="B173" s="4"/>
      <c r="C173" s="4"/>
      <c r="D173" s="141"/>
      <c r="E173" s="141"/>
      <c r="F173" s="142"/>
    </row>
    <row r="174" spans="2:6" ht="15.75">
      <c r="B174" s="4"/>
      <c r="C174" s="4"/>
      <c r="D174" s="141"/>
      <c r="E174" s="141"/>
      <c r="F174" s="142"/>
    </row>
    <row r="175" spans="2:6" ht="15.75">
      <c r="B175" s="4"/>
      <c r="C175" s="4"/>
      <c r="D175" s="141"/>
      <c r="E175" s="141"/>
      <c r="F175" s="142"/>
    </row>
    <row r="176" spans="2:6" ht="15.75">
      <c r="B176" s="4"/>
      <c r="C176" s="4"/>
      <c r="D176" s="141"/>
      <c r="E176" s="141"/>
      <c r="F176" s="142"/>
    </row>
    <row r="177" spans="2:6" ht="15.75">
      <c r="B177" s="4"/>
      <c r="C177" s="4"/>
      <c r="D177" s="141"/>
      <c r="E177" s="141"/>
      <c r="F177" s="142"/>
    </row>
    <row r="178" spans="2:6" ht="15.75">
      <c r="B178" s="4"/>
      <c r="C178" s="4"/>
      <c r="D178" s="141"/>
      <c r="E178" s="141"/>
      <c r="F178" s="142"/>
    </row>
    <row r="179" spans="2:6" ht="15.75">
      <c r="B179" s="4"/>
      <c r="C179" s="4"/>
      <c r="D179" s="141"/>
      <c r="E179" s="141"/>
      <c r="F179" s="142"/>
    </row>
    <row r="180" spans="2:6" ht="15.75">
      <c r="B180" s="4"/>
      <c r="C180" s="4"/>
      <c r="D180" s="141"/>
      <c r="E180" s="141"/>
      <c r="F180" s="142"/>
    </row>
    <row r="181" spans="2:6" ht="15.75">
      <c r="B181" s="4"/>
      <c r="C181" s="4"/>
      <c r="D181" s="141"/>
      <c r="E181" s="141"/>
      <c r="F181" s="142"/>
    </row>
    <row r="182" spans="2:6" ht="15.75">
      <c r="B182" s="4"/>
      <c r="C182" s="4"/>
      <c r="D182" s="141"/>
      <c r="E182" s="141"/>
      <c r="F182" s="142"/>
    </row>
    <row r="183" spans="2:6" ht="15.75">
      <c r="B183" s="4"/>
      <c r="C183" s="4"/>
      <c r="D183" s="141"/>
      <c r="E183" s="141"/>
      <c r="F183" s="142"/>
    </row>
    <row r="184" spans="2:6" ht="15.75">
      <c r="B184" s="4"/>
      <c r="C184" s="4"/>
      <c r="D184" s="141"/>
      <c r="E184" s="141"/>
      <c r="F184" s="142"/>
    </row>
    <row r="185" spans="2:6" ht="15.75">
      <c r="B185" s="4"/>
      <c r="C185" s="4"/>
      <c r="D185" s="141"/>
      <c r="E185" s="141"/>
      <c r="F185" s="142"/>
    </row>
    <row r="186" spans="2:6" ht="15.75">
      <c r="B186" s="4"/>
      <c r="C186" s="4"/>
      <c r="D186" s="141"/>
      <c r="E186" s="141"/>
      <c r="F186" s="142"/>
    </row>
    <row r="187" spans="2:6" ht="15.75">
      <c r="B187" s="4"/>
      <c r="C187" s="4"/>
      <c r="D187" s="4"/>
      <c r="E187" s="4"/>
      <c r="F187" s="3"/>
    </row>
    <row r="188" spans="2:6" ht="15.75">
      <c r="B188" s="4"/>
      <c r="C188" s="4"/>
      <c r="D188" s="4"/>
      <c r="E188" s="4"/>
      <c r="F188" s="3"/>
    </row>
    <row r="189" spans="2:6" ht="15.75">
      <c r="B189" s="4"/>
      <c r="C189" s="4"/>
      <c r="D189" s="4"/>
      <c r="E189" s="4"/>
      <c r="F189" s="3"/>
    </row>
    <row r="190" spans="2:6" ht="15.75">
      <c r="B190" s="4"/>
      <c r="C190" s="4"/>
      <c r="D190" s="4"/>
      <c r="E190" s="4"/>
      <c r="F190" s="3"/>
    </row>
    <row r="191" spans="2:6" ht="15.75">
      <c r="B191" s="4"/>
      <c r="C191" s="4"/>
      <c r="D191" s="4"/>
      <c r="E191" s="4"/>
      <c r="F191" s="3"/>
    </row>
    <row r="192" spans="2:6" ht="15.75">
      <c r="B192" s="4"/>
      <c r="C192" s="4"/>
      <c r="D192" s="4"/>
      <c r="E192" s="4"/>
      <c r="F192" s="3"/>
    </row>
    <row r="193" spans="2:6" ht="15.75">
      <c r="B193" s="4"/>
      <c r="C193" s="4"/>
      <c r="D193" s="4"/>
      <c r="E193" s="4"/>
      <c r="F193" s="3"/>
    </row>
    <row r="194" spans="2:6" ht="15.75">
      <c r="B194" s="4"/>
      <c r="C194" s="4"/>
      <c r="D194" s="4"/>
      <c r="E194" s="4"/>
      <c r="F194" s="3"/>
    </row>
    <row r="195" spans="2:6" ht="15.75">
      <c r="B195" s="4"/>
      <c r="C195" s="4"/>
      <c r="D195" s="4"/>
      <c r="E195" s="4"/>
      <c r="F195" s="3"/>
    </row>
    <row r="196" spans="2:6" ht="15.75">
      <c r="B196" s="4"/>
      <c r="C196" s="4"/>
      <c r="D196" s="4"/>
      <c r="E196" s="4"/>
      <c r="F196" s="3"/>
    </row>
    <row r="197" spans="2:6" ht="15.75">
      <c r="B197" s="4"/>
      <c r="C197" s="4"/>
      <c r="D197" s="4"/>
      <c r="E197" s="4"/>
      <c r="F197" s="3"/>
    </row>
    <row r="198" spans="2:6" ht="15.75">
      <c r="B198" s="4"/>
      <c r="C198" s="4"/>
      <c r="D198" s="4"/>
      <c r="E198" s="4"/>
      <c r="F198" s="3"/>
    </row>
    <row r="199" spans="2:6" ht="15.75">
      <c r="B199" s="4"/>
      <c r="C199" s="4"/>
      <c r="D199" s="4"/>
      <c r="E199" s="4"/>
      <c r="F199" s="3"/>
    </row>
    <row r="200" spans="2:6" ht="15.75">
      <c r="B200" s="4"/>
      <c r="C200" s="4"/>
      <c r="D200" s="4"/>
      <c r="E200" s="4"/>
      <c r="F200" s="3"/>
    </row>
    <row r="201" spans="2:6" ht="15.75">
      <c r="B201" s="4"/>
      <c r="C201" s="4"/>
      <c r="D201" s="4"/>
      <c r="E201" s="4"/>
      <c r="F201" s="3"/>
    </row>
    <row r="202" spans="2:6" ht="15.75">
      <c r="B202" s="4"/>
      <c r="C202" s="4"/>
      <c r="D202" s="4"/>
      <c r="E202" s="4"/>
      <c r="F202" s="3"/>
    </row>
    <row r="203" spans="2:6" ht="15.75">
      <c r="B203" s="4"/>
      <c r="C203" s="4"/>
      <c r="D203" s="4"/>
      <c r="E203" s="4"/>
      <c r="F203" s="3"/>
    </row>
    <row r="204" spans="2:6" ht="15.75">
      <c r="B204" s="4"/>
      <c r="C204" s="4"/>
      <c r="D204" s="4"/>
      <c r="E204" s="4"/>
      <c r="F204" s="3"/>
    </row>
    <row r="205" spans="2:6" ht="15.75">
      <c r="B205" s="4"/>
      <c r="C205" s="4"/>
      <c r="D205" s="4"/>
      <c r="E205" s="4"/>
      <c r="F205" s="3"/>
    </row>
    <row r="206" spans="2:6" ht="15.75">
      <c r="B206" s="4"/>
      <c r="C206" s="4"/>
      <c r="D206" s="4"/>
      <c r="E206" s="4"/>
      <c r="F206" s="3"/>
    </row>
    <row r="207" spans="2:6" ht="15.75">
      <c r="B207" s="4"/>
      <c r="C207" s="4"/>
      <c r="D207" s="4"/>
      <c r="E207" s="4"/>
      <c r="F207" s="3"/>
    </row>
    <row r="208" spans="2:6" ht="15.75">
      <c r="B208" s="4"/>
      <c r="C208" s="4"/>
      <c r="D208" s="4"/>
      <c r="E208" s="4"/>
      <c r="F208" s="3"/>
    </row>
    <row r="209" spans="2:6" ht="15.75">
      <c r="B209" s="4"/>
      <c r="C209" s="4"/>
      <c r="D209" s="4"/>
      <c r="E209" s="4"/>
      <c r="F209" s="3"/>
    </row>
    <row r="210" spans="2:6" ht="15.75">
      <c r="B210" s="4"/>
      <c r="C210" s="4"/>
      <c r="D210" s="4"/>
      <c r="E210" s="4"/>
      <c r="F210" s="3"/>
    </row>
    <row r="211" spans="2:6" ht="15.75">
      <c r="B211" s="4"/>
      <c r="C211" s="4"/>
      <c r="D211" s="4"/>
      <c r="E211" s="4"/>
      <c r="F211" s="3"/>
    </row>
    <row r="212" spans="2:6" ht="15.75">
      <c r="B212" s="4"/>
      <c r="C212" s="4"/>
      <c r="D212" s="4"/>
      <c r="E212" s="4"/>
      <c r="F212" s="3"/>
    </row>
    <row r="213" spans="2:6" ht="15.75">
      <c r="B213" s="4"/>
      <c r="C213" s="4"/>
      <c r="D213" s="4"/>
      <c r="E213" s="4"/>
      <c r="F213" s="3"/>
    </row>
    <row r="214" spans="2:6" ht="15.75">
      <c r="B214" s="4"/>
      <c r="C214" s="4"/>
      <c r="D214" s="4"/>
      <c r="E214" s="4"/>
      <c r="F214" s="3"/>
    </row>
    <row r="215" spans="2:6" ht="15.75">
      <c r="B215" s="4"/>
      <c r="C215" s="4"/>
      <c r="D215" s="4"/>
      <c r="E215" s="4"/>
      <c r="F215" s="3"/>
    </row>
    <row r="216" spans="2:6" ht="15.75">
      <c r="B216" s="4"/>
      <c r="C216" s="4"/>
      <c r="D216" s="4"/>
      <c r="E216" s="4"/>
      <c r="F216" s="3"/>
    </row>
    <row r="217" spans="2:6" ht="15.75">
      <c r="B217" s="4"/>
      <c r="C217" s="4"/>
      <c r="D217" s="4"/>
      <c r="E217" s="4"/>
      <c r="F217" s="3"/>
    </row>
    <row r="218" spans="2:6" ht="15.75">
      <c r="B218" s="4"/>
      <c r="C218" s="4"/>
      <c r="D218" s="4"/>
      <c r="E218" s="4"/>
      <c r="F218" s="3"/>
    </row>
    <row r="219" spans="2:6" ht="15.75">
      <c r="B219" s="4"/>
      <c r="C219" s="4"/>
      <c r="D219" s="4"/>
      <c r="E219" s="4"/>
      <c r="F219" s="3"/>
    </row>
    <row r="220" spans="2:6" ht="15.75">
      <c r="B220" s="4"/>
      <c r="C220" s="4"/>
      <c r="D220" s="4"/>
      <c r="E220" s="4"/>
      <c r="F220" s="3"/>
    </row>
    <row r="221" spans="2:6" ht="15.75">
      <c r="B221" s="4"/>
      <c r="C221" s="4"/>
      <c r="D221" s="4"/>
      <c r="E221" s="4"/>
      <c r="F221" s="3"/>
    </row>
    <row r="222" spans="2:6" ht="15.75">
      <c r="B222" s="4"/>
      <c r="C222" s="4"/>
      <c r="D222" s="4"/>
      <c r="E222" s="4"/>
      <c r="F222" s="3"/>
    </row>
    <row r="223" spans="2:6" ht="15.75">
      <c r="B223" s="4"/>
      <c r="C223" s="4"/>
      <c r="D223" s="4"/>
      <c r="E223" s="4"/>
      <c r="F223" s="3"/>
    </row>
    <row r="224" spans="2:6" ht="15.75">
      <c r="B224" s="4"/>
      <c r="C224" s="4"/>
      <c r="D224" s="4"/>
      <c r="E224" s="4"/>
      <c r="F224" s="3"/>
    </row>
    <row r="225" spans="2:6" ht="15.75">
      <c r="B225" s="4"/>
      <c r="C225" s="4"/>
      <c r="D225" s="4"/>
      <c r="E225" s="4"/>
      <c r="F225" s="3"/>
    </row>
    <row r="226" spans="2:6" ht="15.75">
      <c r="B226" s="4"/>
      <c r="C226" s="4"/>
      <c r="D226" s="4"/>
      <c r="E226" s="4"/>
      <c r="F226" s="3"/>
    </row>
    <row r="227" spans="2:6" ht="15.75">
      <c r="B227" s="4"/>
      <c r="C227" s="4"/>
      <c r="D227" s="4"/>
      <c r="E227" s="4"/>
      <c r="F227" s="3"/>
    </row>
    <row r="228" spans="2:6" ht="15.75">
      <c r="B228" s="4"/>
      <c r="C228" s="4"/>
      <c r="D228" s="4"/>
      <c r="E228" s="4"/>
      <c r="F228" s="3"/>
    </row>
    <row r="229" spans="2:6" ht="15.75">
      <c r="B229" s="4"/>
      <c r="C229" s="4"/>
      <c r="D229" s="4"/>
      <c r="E229" s="4"/>
      <c r="F229" s="3"/>
    </row>
    <row r="230" spans="2:6" ht="15.75">
      <c r="B230" s="4"/>
      <c r="C230" s="4"/>
      <c r="D230" s="4"/>
      <c r="E230" s="4"/>
      <c r="F230" s="3"/>
    </row>
    <row r="231" spans="2:6" ht="15.75">
      <c r="B231" s="4"/>
      <c r="C231" s="4"/>
      <c r="D231" s="4"/>
      <c r="E231" s="4"/>
      <c r="F231" s="3"/>
    </row>
    <row r="232" spans="2:6" ht="15.75">
      <c r="B232" s="4"/>
      <c r="C232" s="4"/>
      <c r="D232" s="4"/>
      <c r="E232" s="4"/>
      <c r="F232" s="3"/>
    </row>
    <row r="233" spans="2:6" ht="15.75">
      <c r="B233" s="4"/>
      <c r="C233" s="4"/>
      <c r="D233" s="4"/>
      <c r="E233" s="4"/>
      <c r="F233" s="3"/>
    </row>
    <row r="234" spans="2:6" ht="15.75">
      <c r="B234" s="4"/>
      <c r="C234" s="4"/>
      <c r="D234" s="4"/>
      <c r="E234" s="4"/>
      <c r="F234" s="3"/>
    </row>
    <row r="235" spans="2:6" ht="15.75">
      <c r="B235" s="4"/>
      <c r="C235" s="4"/>
      <c r="D235" s="4"/>
      <c r="E235" s="4"/>
      <c r="F235" s="3"/>
    </row>
    <row r="236" spans="2:6" ht="15.75">
      <c r="B236" s="4"/>
      <c r="C236" s="4"/>
      <c r="D236" s="4"/>
      <c r="E236" s="4"/>
      <c r="F236" s="3"/>
    </row>
    <row r="237" spans="2:6" ht="15.75">
      <c r="B237" s="4"/>
      <c r="C237" s="4"/>
      <c r="D237" s="4"/>
      <c r="E237" s="4"/>
      <c r="F237" s="3"/>
    </row>
    <row r="238" spans="2:6" ht="15.75">
      <c r="B238" s="4"/>
      <c r="C238" s="4"/>
      <c r="D238" s="4"/>
      <c r="E238" s="4"/>
      <c r="F238" s="3"/>
    </row>
    <row r="239" spans="2:6" ht="15.75">
      <c r="B239" s="4"/>
      <c r="C239" s="4"/>
      <c r="D239" s="4"/>
      <c r="E239" s="4"/>
      <c r="F239" s="3"/>
    </row>
    <row r="240" spans="2:6" ht="15.75">
      <c r="B240" s="4"/>
      <c r="C240" s="4"/>
      <c r="D240" s="4"/>
      <c r="E240" s="4"/>
      <c r="F240" s="3"/>
    </row>
    <row r="241" spans="2:6" ht="15.75">
      <c r="B241" s="4"/>
      <c r="C241" s="4"/>
      <c r="D241" s="4"/>
      <c r="E241" s="4"/>
      <c r="F241" s="3"/>
    </row>
    <row r="242" spans="2:6" ht="15.75">
      <c r="B242" s="4"/>
      <c r="C242" s="4"/>
      <c r="D242" s="4"/>
      <c r="E242" s="4"/>
      <c r="F242" s="3"/>
    </row>
    <row r="243" spans="2:6" ht="15.75">
      <c r="B243" s="4"/>
      <c r="C243" s="4"/>
      <c r="D243" s="4"/>
      <c r="E243" s="4"/>
      <c r="F243" s="3"/>
    </row>
    <row r="244" spans="2:6" ht="15.75">
      <c r="B244" s="4"/>
      <c r="C244" s="4"/>
      <c r="D244" s="4"/>
      <c r="E244" s="4"/>
      <c r="F244" s="3"/>
    </row>
    <row r="245" spans="2:6" ht="15.75">
      <c r="B245" s="4"/>
      <c r="C245" s="4"/>
      <c r="D245" s="4"/>
      <c r="E245" s="4"/>
      <c r="F245" s="3"/>
    </row>
    <row r="246" spans="2:6" ht="15.75">
      <c r="B246" s="4"/>
      <c r="C246" s="4"/>
      <c r="D246" s="4"/>
      <c r="E246" s="4"/>
      <c r="F246" s="3"/>
    </row>
    <row r="247" spans="2:6" ht="15.75">
      <c r="B247" s="4"/>
      <c r="C247" s="4"/>
      <c r="D247" s="4"/>
      <c r="E247" s="4"/>
      <c r="F247" s="3"/>
    </row>
    <row r="248" spans="2:6" ht="15.75">
      <c r="B248" s="4"/>
      <c r="C248" s="4"/>
      <c r="D248" s="4"/>
      <c r="E248" s="4"/>
      <c r="F248" s="3"/>
    </row>
    <row r="249" spans="2:6" ht="15.75">
      <c r="B249" s="4"/>
      <c r="C249" s="4"/>
      <c r="D249" s="4"/>
      <c r="E249" s="4"/>
      <c r="F249" s="3"/>
    </row>
    <row r="250" spans="2:6" ht="15.75">
      <c r="B250" s="4"/>
      <c r="C250" s="4"/>
      <c r="D250" s="4"/>
      <c r="E250" s="4"/>
      <c r="F250" s="3"/>
    </row>
    <row r="251" spans="2:6" ht="15.75">
      <c r="B251" s="4"/>
      <c r="C251" s="4"/>
      <c r="D251" s="4"/>
      <c r="E251" s="4"/>
      <c r="F251" s="3"/>
    </row>
    <row r="252" spans="2:6" ht="15.75">
      <c r="B252" s="4"/>
      <c r="C252" s="4"/>
      <c r="D252" s="4"/>
      <c r="E252" s="4"/>
      <c r="F252" s="3"/>
    </row>
  </sheetData>
  <sheetProtection/>
  <printOptions horizontalCentered="1"/>
  <pageMargins left="0.6692913385826772" right="0.3937007874015748" top="0.5905511811023623" bottom="0.5118110236220472" header="0.31496062992125984" footer="0.31496062992125984"/>
  <pageSetup horizontalDpi="300" verticalDpi="300" orientation="portrait" paperSize="9" scale="70" r:id="rId1"/>
  <headerFooter alignWithMargins="0">
    <oddFooter>&amp;R&amp;P</oddFooter>
  </headerFooter>
  <rowBreaks count="1" manualBreakCount="1">
    <brk id="63" min="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B1:Y252"/>
  <sheetViews>
    <sheetView view="pageBreakPreview" zoomScale="75" zoomScaleSheetLayoutView="75" workbookViewId="0" topLeftCell="A1">
      <selection activeCell="F2" sqref="F2"/>
    </sheetView>
  </sheetViews>
  <sheetFormatPr defaultColWidth="9.140625" defaultRowHeight="15"/>
  <cols>
    <col min="1" max="1" width="9.140625" style="103" customWidth="1"/>
    <col min="2" max="2" width="77.140625" style="103" customWidth="1"/>
    <col min="3" max="3" width="11.8515625" style="103" customWidth="1"/>
    <col min="4" max="4" width="11.57421875" style="103" customWidth="1"/>
    <col min="5" max="5" width="12.57421875" style="103" customWidth="1"/>
    <col min="6" max="6" width="12.28125" style="110" customWidth="1"/>
    <col min="7" max="16384" width="9.140625" style="103" customWidth="1"/>
  </cols>
  <sheetData>
    <row r="1" s="4" customFormat="1" ht="15.75">
      <c r="F1" s="71" t="s">
        <v>21</v>
      </c>
    </row>
    <row r="2" spans="2:6" s="4" customFormat="1" ht="20.25">
      <c r="B2" s="68" t="s">
        <v>810</v>
      </c>
      <c r="F2" s="144" t="s">
        <v>68</v>
      </c>
    </row>
    <row r="3" spans="2:6" s="4" customFormat="1" ht="15.75">
      <c r="B3" s="85" t="s">
        <v>772</v>
      </c>
      <c r="C3" s="101"/>
      <c r="D3" s="101"/>
      <c r="E3" s="101"/>
      <c r="F3" s="98"/>
    </row>
    <row r="4" spans="2:6" s="4" customFormat="1" ht="15.75">
      <c r="B4" s="84" t="s">
        <v>390</v>
      </c>
      <c r="C4" s="97"/>
      <c r="D4" s="97"/>
      <c r="E4" s="97"/>
      <c r="F4" s="85"/>
    </row>
    <row r="5" spans="2:6" ht="15.75">
      <c r="B5" s="102"/>
      <c r="F5" s="103"/>
    </row>
    <row r="6" spans="2:6" ht="47.25">
      <c r="B6" s="72" t="s">
        <v>76</v>
      </c>
      <c r="C6" s="79" t="s">
        <v>77</v>
      </c>
      <c r="D6" s="104" t="s">
        <v>769</v>
      </c>
      <c r="E6" s="104" t="s">
        <v>770</v>
      </c>
      <c r="F6" s="105" t="s">
        <v>28</v>
      </c>
    </row>
    <row r="7" spans="2:6" ht="15.75">
      <c r="B7" s="106" t="s">
        <v>328</v>
      </c>
      <c r="C7" s="107" t="s">
        <v>112</v>
      </c>
      <c r="D7" s="92">
        <v>206318</v>
      </c>
      <c r="E7" s="92"/>
      <c r="F7" s="93">
        <f>+D7+E7</f>
        <v>206318</v>
      </c>
    </row>
    <row r="8" spans="2:6" ht="15.75">
      <c r="B8" s="82" t="s">
        <v>329</v>
      </c>
      <c r="C8" s="107" t="s">
        <v>113</v>
      </c>
      <c r="D8" s="92"/>
      <c r="E8" s="92"/>
      <c r="F8" s="93">
        <f>+D8+E8</f>
        <v>0</v>
      </c>
    </row>
    <row r="9" spans="2:6" ht="15.75">
      <c r="B9" s="108" t="s">
        <v>526</v>
      </c>
      <c r="C9" s="109" t="s">
        <v>114</v>
      </c>
      <c r="D9" s="93">
        <f>SUM(D7:D8)</f>
        <v>206318</v>
      </c>
      <c r="E9" s="93">
        <f>SUM(E7:E8)</f>
        <v>0</v>
      </c>
      <c r="F9" s="93">
        <f>SUM(F7:F8)</f>
        <v>206318</v>
      </c>
    </row>
    <row r="10" spans="2:6" ht="15.75">
      <c r="B10" s="90" t="s">
        <v>553</v>
      </c>
      <c r="C10" s="109" t="s">
        <v>115</v>
      </c>
      <c r="D10" s="92">
        <v>56037</v>
      </c>
      <c r="E10" s="92"/>
      <c r="F10" s="93">
        <f aca="true" t="shared" si="0" ref="F10:F15">+D10+E10</f>
        <v>56037</v>
      </c>
    </row>
    <row r="11" spans="2:6" ht="15.75">
      <c r="B11" s="82" t="s">
        <v>330</v>
      </c>
      <c r="C11" s="107" t="s">
        <v>116</v>
      </c>
      <c r="D11" s="92">
        <v>86806</v>
      </c>
      <c r="E11" s="92"/>
      <c r="F11" s="93">
        <f t="shared" si="0"/>
        <v>86806</v>
      </c>
    </row>
    <row r="12" spans="2:6" ht="15.75">
      <c r="B12" s="82" t="s">
        <v>561</v>
      </c>
      <c r="C12" s="107" t="s">
        <v>117</v>
      </c>
      <c r="D12" s="92">
        <v>854</v>
      </c>
      <c r="E12" s="92"/>
      <c r="F12" s="93">
        <f t="shared" si="0"/>
        <v>854</v>
      </c>
    </row>
    <row r="13" spans="2:6" ht="15.75">
      <c r="B13" s="82" t="s">
        <v>331</v>
      </c>
      <c r="C13" s="107" t="s">
        <v>118</v>
      </c>
      <c r="D13" s="92">
        <v>51759</v>
      </c>
      <c r="E13" s="92"/>
      <c r="F13" s="93">
        <f t="shared" si="0"/>
        <v>51759</v>
      </c>
    </row>
    <row r="14" spans="2:6" ht="15.75">
      <c r="B14" s="82" t="s">
        <v>332</v>
      </c>
      <c r="C14" s="107" t="s">
        <v>119</v>
      </c>
      <c r="D14" s="92">
        <v>60</v>
      </c>
      <c r="E14" s="92"/>
      <c r="F14" s="93">
        <f t="shared" si="0"/>
        <v>60</v>
      </c>
    </row>
    <row r="15" spans="2:6" ht="15.75">
      <c r="B15" s="82" t="s">
        <v>333</v>
      </c>
      <c r="C15" s="107" t="s">
        <v>120</v>
      </c>
      <c r="D15" s="92">
        <v>37284</v>
      </c>
      <c r="E15" s="92"/>
      <c r="F15" s="93">
        <f t="shared" si="0"/>
        <v>37284</v>
      </c>
    </row>
    <row r="16" spans="2:6" ht="15.75">
      <c r="B16" s="90" t="s">
        <v>525</v>
      </c>
      <c r="C16" s="109" t="s">
        <v>121</v>
      </c>
      <c r="D16" s="93">
        <f>SUM(D11:D15)</f>
        <v>176763</v>
      </c>
      <c r="E16" s="93">
        <f>SUM(E11:E15)</f>
        <v>0</v>
      </c>
      <c r="F16" s="93">
        <f>SUM(F11:F15)</f>
        <v>176763</v>
      </c>
    </row>
    <row r="17" spans="2:6" ht="15.75">
      <c r="B17" s="78" t="s">
        <v>398</v>
      </c>
      <c r="C17" s="109" t="s">
        <v>128</v>
      </c>
      <c r="D17" s="92"/>
      <c r="E17" s="92"/>
      <c r="F17" s="93">
        <f aca="true" t="shared" si="1" ref="F17:F30">+D17+E17</f>
        <v>0</v>
      </c>
    </row>
    <row r="18" spans="2:6" ht="15.75">
      <c r="B18" s="88" t="s">
        <v>554</v>
      </c>
      <c r="C18" s="107" t="s">
        <v>129</v>
      </c>
      <c r="D18" s="92"/>
      <c r="E18" s="92"/>
      <c r="F18" s="93">
        <f t="shared" si="1"/>
        <v>0</v>
      </c>
    </row>
    <row r="19" spans="2:6" ht="15.75">
      <c r="B19" s="88" t="s">
        <v>130</v>
      </c>
      <c r="C19" s="107" t="s">
        <v>131</v>
      </c>
      <c r="D19" s="92"/>
      <c r="E19" s="92"/>
      <c r="F19" s="93">
        <f t="shared" si="1"/>
        <v>0</v>
      </c>
    </row>
    <row r="20" spans="2:6" ht="15.75">
      <c r="B20" s="88" t="s">
        <v>803</v>
      </c>
      <c r="C20" s="107" t="s">
        <v>132</v>
      </c>
      <c r="D20" s="92"/>
      <c r="E20" s="92"/>
      <c r="F20" s="93">
        <f t="shared" si="1"/>
        <v>0</v>
      </c>
    </row>
    <row r="21" spans="2:6" ht="15.75">
      <c r="B21" s="88" t="s">
        <v>802</v>
      </c>
      <c r="C21" s="107" t="s">
        <v>133</v>
      </c>
      <c r="D21" s="92"/>
      <c r="E21" s="92"/>
      <c r="F21" s="93">
        <f t="shared" si="1"/>
        <v>0</v>
      </c>
    </row>
    <row r="22" spans="2:6" ht="15.75">
      <c r="B22" s="88" t="s">
        <v>801</v>
      </c>
      <c r="C22" s="107" t="s">
        <v>134</v>
      </c>
      <c r="D22" s="92"/>
      <c r="E22" s="92"/>
      <c r="F22" s="93">
        <f t="shared" si="1"/>
        <v>0</v>
      </c>
    </row>
    <row r="23" spans="2:6" ht="15.75">
      <c r="B23" s="88" t="s">
        <v>804</v>
      </c>
      <c r="C23" s="107" t="s">
        <v>135</v>
      </c>
      <c r="D23" s="92"/>
      <c r="E23" s="92"/>
      <c r="F23" s="93">
        <f t="shared" si="1"/>
        <v>0</v>
      </c>
    </row>
    <row r="24" spans="2:6" ht="15.75">
      <c r="B24" s="88" t="s">
        <v>799</v>
      </c>
      <c r="C24" s="107" t="s">
        <v>136</v>
      </c>
      <c r="D24" s="92"/>
      <c r="E24" s="92"/>
      <c r="F24" s="93">
        <f t="shared" si="1"/>
        <v>0</v>
      </c>
    </row>
    <row r="25" spans="2:6" ht="15.75">
      <c r="B25" s="88" t="s">
        <v>798</v>
      </c>
      <c r="C25" s="107" t="s">
        <v>137</v>
      </c>
      <c r="D25" s="92"/>
      <c r="E25" s="92"/>
      <c r="F25" s="93">
        <f t="shared" si="1"/>
        <v>0</v>
      </c>
    </row>
    <row r="26" spans="2:6" ht="15.75">
      <c r="B26" s="88" t="s">
        <v>138</v>
      </c>
      <c r="C26" s="107" t="s">
        <v>139</v>
      </c>
      <c r="D26" s="92"/>
      <c r="E26" s="92"/>
      <c r="F26" s="93">
        <f t="shared" si="1"/>
        <v>0</v>
      </c>
    </row>
    <row r="27" spans="2:6" ht="15.75">
      <c r="B27" s="87" t="s">
        <v>140</v>
      </c>
      <c r="C27" s="107" t="s">
        <v>141</v>
      </c>
      <c r="D27" s="92"/>
      <c r="E27" s="92"/>
      <c r="F27" s="93">
        <f t="shared" si="1"/>
        <v>0</v>
      </c>
    </row>
    <row r="28" spans="2:6" ht="15.75">
      <c r="B28" s="88" t="s">
        <v>555</v>
      </c>
      <c r="C28" s="107" t="s">
        <v>142</v>
      </c>
      <c r="D28" s="92"/>
      <c r="E28" s="92"/>
      <c r="F28" s="93">
        <f t="shared" si="1"/>
        <v>0</v>
      </c>
    </row>
    <row r="29" spans="2:6" ht="15.75">
      <c r="B29" s="87" t="s">
        <v>790</v>
      </c>
      <c r="C29" s="107" t="s">
        <v>143</v>
      </c>
      <c r="D29" s="92"/>
      <c r="E29" s="92"/>
      <c r="F29" s="93">
        <f t="shared" si="1"/>
        <v>0</v>
      </c>
    </row>
    <row r="30" spans="2:6" ht="15.75">
      <c r="B30" s="87" t="s">
        <v>791</v>
      </c>
      <c r="C30" s="107" t="s">
        <v>143</v>
      </c>
      <c r="D30" s="92"/>
      <c r="E30" s="92"/>
      <c r="F30" s="93">
        <f t="shared" si="1"/>
        <v>0</v>
      </c>
    </row>
    <row r="31" spans="2:6" s="110" customFormat="1" ht="15.75">
      <c r="B31" s="78" t="s">
        <v>524</v>
      </c>
      <c r="C31" s="109" t="s">
        <v>144</v>
      </c>
      <c r="D31" s="93">
        <f>SUM(D18:D30)</f>
        <v>0</v>
      </c>
      <c r="E31" s="93">
        <f>SUM(E18:E30)</f>
        <v>0</v>
      </c>
      <c r="F31" s="93">
        <f>SUM(F18:F30)</f>
        <v>0</v>
      </c>
    </row>
    <row r="32" spans="2:6" ht="15.75">
      <c r="B32" s="111" t="s">
        <v>523</v>
      </c>
      <c r="C32" s="112" t="s">
        <v>673</v>
      </c>
      <c r="D32" s="113">
        <f>+D31+D17+D16+D10+D9</f>
        <v>439118</v>
      </c>
      <c r="E32" s="113">
        <f>+E31+E17+E16+E10+E9</f>
        <v>0</v>
      </c>
      <c r="F32" s="113">
        <f>+F31+F17+F16+F10+F9</f>
        <v>439118</v>
      </c>
    </row>
    <row r="33" spans="2:9" ht="15.75">
      <c r="B33" s="114" t="s">
        <v>145</v>
      </c>
      <c r="C33" s="107" t="s">
        <v>146</v>
      </c>
      <c r="D33" s="92"/>
      <c r="E33" s="92"/>
      <c r="F33" s="93">
        <f aca="true" t="shared" si="2" ref="F33:F39">+D33+E33</f>
        <v>0</v>
      </c>
      <c r="I33" s="115"/>
    </row>
    <row r="34" spans="2:6" ht="15.75">
      <c r="B34" s="114" t="s">
        <v>556</v>
      </c>
      <c r="C34" s="107" t="s">
        <v>147</v>
      </c>
      <c r="D34" s="92"/>
      <c r="E34" s="92"/>
      <c r="F34" s="93">
        <f t="shared" si="2"/>
        <v>0</v>
      </c>
    </row>
    <row r="35" spans="2:6" ht="15.75">
      <c r="B35" s="114" t="s">
        <v>148</v>
      </c>
      <c r="C35" s="107" t="s">
        <v>149</v>
      </c>
      <c r="D35" s="92"/>
      <c r="E35" s="92"/>
      <c r="F35" s="93">
        <f t="shared" si="2"/>
        <v>0</v>
      </c>
    </row>
    <row r="36" spans="2:6" ht="15.75">
      <c r="B36" s="114" t="s">
        <v>150</v>
      </c>
      <c r="C36" s="107" t="s">
        <v>151</v>
      </c>
      <c r="D36" s="92"/>
      <c r="E36" s="92"/>
      <c r="F36" s="93">
        <f t="shared" si="2"/>
        <v>0</v>
      </c>
    </row>
    <row r="37" spans="2:6" ht="15.75">
      <c r="B37" s="81" t="s">
        <v>152</v>
      </c>
      <c r="C37" s="107" t="s">
        <v>153</v>
      </c>
      <c r="D37" s="92"/>
      <c r="E37" s="92"/>
      <c r="F37" s="93">
        <f t="shared" si="2"/>
        <v>0</v>
      </c>
    </row>
    <row r="38" spans="2:6" ht="15.75">
      <c r="B38" s="81" t="s">
        <v>154</v>
      </c>
      <c r="C38" s="107" t="s">
        <v>155</v>
      </c>
      <c r="D38" s="92"/>
      <c r="E38" s="92"/>
      <c r="F38" s="93">
        <f t="shared" si="2"/>
        <v>0</v>
      </c>
    </row>
    <row r="39" spans="2:6" ht="15.75">
      <c r="B39" s="81" t="s">
        <v>156</v>
      </c>
      <c r="C39" s="107" t="s">
        <v>157</v>
      </c>
      <c r="D39" s="92"/>
      <c r="E39" s="92"/>
      <c r="F39" s="93">
        <f t="shared" si="2"/>
        <v>0</v>
      </c>
    </row>
    <row r="40" spans="2:6" s="110" customFormat="1" ht="15.75">
      <c r="B40" s="83" t="s">
        <v>522</v>
      </c>
      <c r="C40" s="109" t="s">
        <v>158</v>
      </c>
      <c r="D40" s="93">
        <f>SUM(D33:D39)</f>
        <v>0</v>
      </c>
      <c r="E40" s="93">
        <f>SUM(E33:E39)</f>
        <v>0</v>
      </c>
      <c r="F40" s="93">
        <f>SUM(F33:F39)</f>
        <v>0</v>
      </c>
    </row>
    <row r="41" spans="2:6" ht="15.75">
      <c r="B41" s="80" t="s">
        <v>159</v>
      </c>
      <c r="C41" s="107" t="s">
        <v>160</v>
      </c>
      <c r="D41" s="92"/>
      <c r="E41" s="92"/>
      <c r="F41" s="93">
        <f>+D41+E41</f>
        <v>0</v>
      </c>
    </row>
    <row r="42" spans="2:6" ht="15.75">
      <c r="B42" s="80" t="s">
        <v>161</v>
      </c>
      <c r="C42" s="107" t="s">
        <v>162</v>
      </c>
      <c r="D42" s="92"/>
      <c r="E42" s="92"/>
      <c r="F42" s="93">
        <f>+D42+E42</f>
        <v>0</v>
      </c>
    </row>
    <row r="43" spans="2:6" ht="15.75">
      <c r="B43" s="80" t="s">
        <v>163</v>
      </c>
      <c r="C43" s="107" t="s">
        <v>164</v>
      </c>
      <c r="D43" s="92"/>
      <c r="E43" s="92"/>
      <c r="F43" s="93">
        <f>+D43+E43</f>
        <v>0</v>
      </c>
    </row>
    <row r="44" spans="2:6" ht="15.75">
      <c r="B44" s="80" t="s">
        <v>165</v>
      </c>
      <c r="C44" s="107" t="s">
        <v>166</v>
      </c>
      <c r="D44" s="92"/>
      <c r="E44" s="92"/>
      <c r="F44" s="93">
        <f>+D44+E44</f>
        <v>0</v>
      </c>
    </row>
    <row r="45" spans="2:6" s="110" customFormat="1" ht="15.75">
      <c r="B45" s="90" t="s">
        <v>521</v>
      </c>
      <c r="C45" s="109" t="s">
        <v>167</v>
      </c>
      <c r="D45" s="93">
        <f>SUM(D41:D44)</f>
        <v>0</v>
      </c>
      <c r="E45" s="93">
        <f>SUM(E41:E44)</f>
        <v>0</v>
      </c>
      <c r="F45" s="93">
        <f>SUM(F41:F44)</f>
        <v>0</v>
      </c>
    </row>
    <row r="46" spans="2:6" ht="15.75">
      <c r="B46" s="80" t="s">
        <v>793</v>
      </c>
      <c r="C46" s="107" t="s">
        <v>168</v>
      </c>
      <c r="D46" s="92"/>
      <c r="E46" s="92"/>
      <c r="F46" s="93">
        <f aca="true" t="shared" si="3" ref="F46:F53">+D46+E46</f>
        <v>0</v>
      </c>
    </row>
    <row r="47" spans="2:6" ht="15.75">
      <c r="B47" s="80" t="s">
        <v>794</v>
      </c>
      <c r="C47" s="107" t="s">
        <v>169</v>
      </c>
      <c r="D47" s="92"/>
      <c r="E47" s="92"/>
      <c r="F47" s="93">
        <f t="shared" si="3"/>
        <v>0</v>
      </c>
    </row>
    <row r="48" spans="2:6" ht="15.75">
      <c r="B48" s="80" t="s">
        <v>795</v>
      </c>
      <c r="C48" s="107" t="s">
        <v>170</v>
      </c>
      <c r="D48" s="92"/>
      <c r="E48" s="92"/>
      <c r="F48" s="93">
        <f t="shared" si="3"/>
        <v>0</v>
      </c>
    </row>
    <row r="49" spans="2:6" ht="15.75">
      <c r="B49" s="80" t="s">
        <v>805</v>
      </c>
      <c r="C49" s="107" t="s">
        <v>171</v>
      </c>
      <c r="D49" s="92"/>
      <c r="E49" s="92"/>
      <c r="F49" s="93">
        <f t="shared" si="3"/>
        <v>0</v>
      </c>
    </row>
    <row r="50" spans="2:6" ht="15.75">
      <c r="B50" s="80" t="s">
        <v>796</v>
      </c>
      <c r="C50" s="107" t="s">
        <v>172</v>
      </c>
      <c r="D50" s="92"/>
      <c r="E50" s="92"/>
      <c r="F50" s="93">
        <f t="shared" si="3"/>
        <v>0</v>
      </c>
    </row>
    <row r="51" spans="2:6" ht="15.75">
      <c r="B51" s="80" t="s">
        <v>797</v>
      </c>
      <c r="C51" s="107" t="s">
        <v>173</v>
      </c>
      <c r="D51" s="92"/>
      <c r="E51" s="92"/>
      <c r="F51" s="93">
        <f t="shared" si="3"/>
        <v>0</v>
      </c>
    </row>
    <row r="52" spans="2:6" ht="15.75">
      <c r="B52" s="80" t="s">
        <v>174</v>
      </c>
      <c r="C52" s="107" t="s">
        <v>175</v>
      </c>
      <c r="D52" s="92"/>
      <c r="E52" s="92"/>
      <c r="F52" s="93">
        <f t="shared" si="3"/>
        <v>0</v>
      </c>
    </row>
    <row r="53" spans="2:6" ht="15.75">
      <c r="B53" s="80" t="s">
        <v>557</v>
      </c>
      <c r="C53" s="107" t="s">
        <v>176</v>
      </c>
      <c r="D53" s="92"/>
      <c r="E53" s="92"/>
      <c r="F53" s="93">
        <f t="shared" si="3"/>
        <v>0</v>
      </c>
    </row>
    <row r="54" spans="2:6" s="110" customFormat="1" ht="15.75">
      <c r="B54" s="78" t="s">
        <v>520</v>
      </c>
      <c r="C54" s="109" t="s">
        <v>177</v>
      </c>
      <c r="D54" s="93">
        <f>SUM(D46:D53)</f>
        <v>0</v>
      </c>
      <c r="E54" s="93">
        <f>SUM(E46:E53)</f>
        <v>0</v>
      </c>
      <c r="F54" s="93">
        <f>SUM(F46:F53)</f>
        <v>0</v>
      </c>
    </row>
    <row r="55" spans="2:6" ht="15.75">
      <c r="B55" s="111" t="s">
        <v>519</v>
      </c>
      <c r="C55" s="112" t="s">
        <v>674</v>
      </c>
      <c r="D55" s="113">
        <f>+D54+D45+D40</f>
        <v>0</v>
      </c>
      <c r="E55" s="113">
        <f>+E54+E45+E40</f>
        <v>0</v>
      </c>
      <c r="F55" s="113">
        <f>+F54+F45+F40</f>
        <v>0</v>
      </c>
    </row>
    <row r="56" spans="2:6" ht="15.75">
      <c r="B56" s="116" t="s">
        <v>518</v>
      </c>
      <c r="C56" s="117" t="s">
        <v>675</v>
      </c>
      <c r="D56" s="118">
        <f>+D54+D45+D40+D31+D17+D16+D10+D9</f>
        <v>439118</v>
      </c>
      <c r="E56" s="118">
        <f>+E54+E45+E40+E31+E17+E16+E10+E9</f>
        <v>0</v>
      </c>
      <c r="F56" s="118">
        <f>+F54+F45+F40+F31+F17+F16+F10+F9</f>
        <v>439118</v>
      </c>
    </row>
    <row r="57" spans="2:25" ht="15.75">
      <c r="B57" s="125" t="s">
        <v>542</v>
      </c>
      <c r="C57" s="90" t="s">
        <v>204</v>
      </c>
      <c r="D57" s="188"/>
      <c r="E57" s="188"/>
      <c r="F57" s="93">
        <f>+D57+E57</f>
        <v>0</v>
      </c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0"/>
      <c r="Y57" s="120"/>
    </row>
    <row r="58" spans="2:25" ht="15.75">
      <c r="B58" s="125" t="s">
        <v>547</v>
      </c>
      <c r="C58" s="90" t="s">
        <v>214</v>
      </c>
      <c r="D58" s="188"/>
      <c r="E58" s="188"/>
      <c r="F58" s="93">
        <f>+D58+E58</f>
        <v>0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0"/>
      <c r="Y58" s="120"/>
    </row>
    <row r="59" spans="2:25" ht="15.75">
      <c r="B59" s="80" t="s">
        <v>215</v>
      </c>
      <c r="C59" s="82" t="s">
        <v>216</v>
      </c>
      <c r="D59" s="188"/>
      <c r="E59" s="188"/>
      <c r="F59" s="93">
        <f>+D59+E59</f>
        <v>0</v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20"/>
      <c r="Y59" s="120"/>
    </row>
    <row r="60" spans="2:25" ht="15.75">
      <c r="B60" s="128" t="s">
        <v>517</v>
      </c>
      <c r="C60" s="129" t="s">
        <v>217</v>
      </c>
      <c r="D60" s="130">
        <f>+D59+D58+D57</f>
        <v>0</v>
      </c>
      <c r="E60" s="130">
        <f>+E59+E58+E57</f>
        <v>0</v>
      </c>
      <c r="F60" s="130">
        <f>+F59+F58+F57</f>
        <v>0</v>
      </c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0"/>
      <c r="Y60" s="120"/>
    </row>
    <row r="61" spans="2:25" ht="15.75">
      <c r="B61" s="75" t="s">
        <v>771</v>
      </c>
      <c r="C61" s="75" t="s">
        <v>671</v>
      </c>
      <c r="D61" s="131">
        <f>+D56+D60</f>
        <v>439118</v>
      </c>
      <c r="E61" s="131">
        <f>+E56+E60</f>
        <v>0</v>
      </c>
      <c r="F61" s="131">
        <f>+F56+F60</f>
        <v>439118</v>
      </c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</row>
    <row r="62" spans="2:25" ht="15.75">
      <c r="B62" s="4"/>
      <c r="C62" s="132"/>
      <c r="D62" s="133"/>
      <c r="E62" s="133"/>
      <c r="F62" s="134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</row>
    <row r="63" spans="2:25" ht="15.75">
      <c r="B63" s="4"/>
      <c r="C63" s="132"/>
      <c r="D63" s="133"/>
      <c r="E63" s="133"/>
      <c r="F63" s="134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</row>
    <row r="64" spans="2:25" ht="47.25">
      <c r="B64" s="72" t="s">
        <v>76</v>
      </c>
      <c r="C64" s="79" t="s">
        <v>31</v>
      </c>
      <c r="D64" s="135" t="s">
        <v>769</v>
      </c>
      <c r="E64" s="135" t="s">
        <v>770</v>
      </c>
      <c r="F64" s="136" t="s">
        <v>28</v>
      </c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</row>
    <row r="65" spans="2:25" ht="15.75">
      <c r="B65" s="90" t="s">
        <v>620</v>
      </c>
      <c r="C65" s="83" t="s">
        <v>230</v>
      </c>
      <c r="D65" s="93"/>
      <c r="E65" s="93"/>
      <c r="F65" s="93">
        <f aca="true" t="shared" si="4" ref="F65:F70">+E65+D65</f>
        <v>0</v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</row>
    <row r="66" spans="2:25" ht="15.75">
      <c r="B66" s="82" t="s">
        <v>231</v>
      </c>
      <c r="C66" s="81" t="s">
        <v>232</v>
      </c>
      <c r="D66" s="93"/>
      <c r="E66" s="93"/>
      <c r="F66" s="93">
        <f t="shared" si="4"/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</row>
    <row r="67" spans="2:25" ht="15.75">
      <c r="B67" s="82" t="s">
        <v>768</v>
      </c>
      <c r="C67" s="81" t="s">
        <v>233</v>
      </c>
      <c r="D67" s="93"/>
      <c r="E67" s="93"/>
      <c r="F67" s="93">
        <f t="shared" si="4"/>
        <v>0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</row>
    <row r="68" spans="2:25" ht="15.75">
      <c r="B68" s="82" t="s">
        <v>766</v>
      </c>
      <c r="C68" s="81" t="s">
        <v>234</v>
      </c>
      <c r="D68" s="93"/>
      <c r="E68" s="93"/>
      <c r="F68" s="93">
        <f t="shared" si="4"/>
        <v>0</v>
      </c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</row>
    <row r="69" spans="2:25" ht="15.75">
      <c r="B69" s="82" t="s">
        <v>767</v>
      </c>
      <c r="C69" s="81" t="s">
        <v>235</v>
      </c>
      <c r="D69" s="93"/>
      <c r="E69" s="93"/>
      <c r="F69" s="93">
        <f t="shared" si="4"/>
        <v>0</v>
      </c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</row>
    <row r="70" spans="2:25" ht="15.75">
      <c r="B70" s="82" t="s">
        <v>572</v>
      </c>
      <c r="C70" s="81" t="s">
        <v>236</v>
      </c>
      <c r="D70" s="92">
        <v>609</v>
      </c>
      <c r="E70" s="92"/>
      <c r="F70" s="93">
        <f t="shared" si="4"/>
        <v>609</v>
      </c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</row>
    <row r="71" spans="2:25" ht="15.75">
      <c r="B71" s="90" t="s">
        <v>527</v>
      </c>
      <c r="C71" s="83" t="s">
        <v>237</v>
      </c>
      <c r="D71" s="93">
        <f>+D70+D69+D68+D67+D66+D65</f>
        <v>609</v>
      </c>
      <c r="E71" s="93">
        <f>+E70+E69+E68+E67+E66+E65</f>
        <v>0</v>
      </c>
      <c r="F71" s="93">
        <f>+F70+F69+F68+F67+F66+F65</f>
        <v>609</v>
      </c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</row>
    <row r="72" spans="2:25" ht="15.75">
      <c r="B72" s="90" t="s">
        <v>622</v>
      </c>
      <c r="C72" s="83" t="s">
        <v>242</v>
      </c>
      <c r="D72" s="92"/>
      <c r="E72" s="92"/>
      <c r="F72" s="93">
        <f aca="true" t="shared" si="5" ref="F72:F78">+E72+D72</f>
        <v>0</v>
      </c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</row>
    <row r="73" spans="2:25" ht="15.75">
      <c r="B73" s="82" t="s">
        <v>623</v>
      </c>
      <c r="C73" s="81" t="s">
        <v>243</v>
      </c>
      <c r="D73" s="92"/>
      <c r="E73" s="92"/>
      <c r="F73" s="93">
        <f t="shared" si="5"/>
        <v>0</v>
      </c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</row>
    <row r="74" spans="2:25" ht="15.75">
      <c r="B74" s="82" t="s">
        <v>573</v>
      </c>
      <c r="C74" s="81" t="s">
        <v>244</v>
      </c>
      <c r="D74" s="92"/>
      <c r="E74" s="92"/>
      <c r="F74" s="93">
        <f t="shared" si="5"/>
        <v>0</v>
      </c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</row>
    <row r="75" spans="2:25" ht="15.75">
      <c r="B75" s="82" t="s">
        <v>574</v>
      </c>
      <c r="C75" s="81" t="s">
        <v>245</v>
      </c>
      <c r="D75" s="92"/>
      <c r="E75" s="92"/>
      <c r="F75" s="93">
        <f t="shared" si="5"/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</row>
    <row r="76" spans="2:25" ht="15.75">
      <c r="B76" s="82" t="s">
        <v>575</v>
      </c>
      <c r="C76" s="81" t="s">
        <v>246</v>
      </c>
      <c r="D76" s="92"/>
      <c r="E76" s="92"/>
      <c r="F76" s="93">
        <f t="shared" si="5"/>
        <v>0</v>
      </c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2:25" ht="15.75">
      <c r="B77" s="82" t="s">
        <v>624</v>
      </c>
      <c r="C77" s="81" t="s">
        <v>258</v>
      </c>
      <c r="D77" s="92"/>
      <c r="E77" s="92"/>
      <c r="F77" s="93">
        <f t="shared" si="5"/>
        <v>0</v>
      </c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2:25" ht="15.75">
      <c r="B78" s="82" t="s">
        <v>578</v>
      </c>
      <c r="C78" s="81" t="s">
        <v>259</v>
      </c>
      <c r="D78" s="92"/>
      <c r="E78" s="92"/>
      <c r="F78" s="93">
        <f t="shared" si="5"/>
        <v>0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2:25" ht="15.75">
      <c r="B79" s="90" t="s">
        <v>434</v>
      </c>
      <c r="C79" s="83" t="s">
        <v>260</v>
      </c>
      <c r="D79" s="93">
        <f>SUM(D73:D78)</f>
        <v>0</v>
      </c>
      <c r="E79" s="93">
        <f>SUM(E73:E78)</f>
        <v>0</v>
      </c>
      <c r="F79" s="93">
        <f>SUM(F73:F78)</f>
        <v>0</v>
      </c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2:25" ht="15.75">
      <c r="B80" s="80" t="s">
        <v>261</v>
      </c>
      <c r="C80" s="81" t="s">
        <v>262</v>
      </c>
      <c r="D80" s="92"/>
      <c r="E80" s="92"/>
      <c r="F80" s="93">
        <f aca="true" t="shared" si="6" ref="F80:F89">+E80+D80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2:25" ht="15.75">
      <c r="B81" s="80" t="s">
        <v>579</v>
      </c>
      <c r="C81" s="81" t="s">
        <v>263</v>
      </c>
      <c r="D81" s="92">
        <v>7788</v>
      </c>
      <c r="E81" s="92"/>
      <c r="F81" s="93">
        <f t="shared" si="6"/>
        <v>7788</v>
      </c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2:25" ht="15.75">
      <c r="B82" s="80" t="s">
        <v>580</v>
      </c>
      <c r="C82" s="81" t="s">
        <v>264</v>
      </c>
      <c r="D82" s="92"/>
      <c r="E82" s="92"/>
      <c r="F82" s="93">
        <f t="shared" si="6"/>
        <v>0</v>
      </c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2:25" ht="15.75">
      <c r="B83" s="80" t="s">
        <v>581</v>
      </c>
      <c r="C83" s="81" t="s">
        <v>265</v>
      </c>
      <c r="D83" s="92"/>
      <c r="E83" s="92"/>
      <c r="F83" s="93">
        <f t="shared" si="6"/>
        <v>0</v>
      </c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2:25" ht="15.75">
      <c r="B84" s="80" t="s">
        <v>266</v>
      </c>
      <c r="C84" s="81" t="s">
        <v>267</v>
      </c>
      <c r="D84" s="92">
        <v>46945</v>
      </c>
      <c r="E84" s="92"/>
      <c r="F84" s="93">
        <f t="shared" si="6"/>
        <v>46945</v>
      </c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2:25" ht="15.75">
      <c r="B85" s="80" t="s">
        <v>268</v>
      </c>
      <c r="C85" s="81" t="s">
        <v>269</v>
      </c>
      <c r="D85" s="92">
        <v>14496</v>
      </c>
      <c r="E85" s="92"/>
      <c r="F85" s="93">
        <f t="shared" si="6"/>
        <v>14496</v>
      </c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2:25" ht="15.75">
      <c r="B86" s="80" t="s">
        <v>270</v>
      </c>
      <c r="C86" s="81" t="s">
        <v>271</v>
      </c>
      <c r="D86" s="92"/>
      <c r="E86" s="92"/>
      <c r="F86" s="93">
        <f t="shared" si="6"/>
        <v>0</v>
      </c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</row>
    <row r="87" spans="2:25" ht="15.75">
      <c r="B87" s="80" t="s">
        <v>582</v>
      </c>
      <c r="C87" s="81" t="s">
        <v>272</v>
      </c>
      <c r="D87" s="92"/>
      <c r="E87" s="92"/>
      <c r="F87" s="93">
        <f t="shared" si="6"/>
        <v>0</v>
      </c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</row>
    <row r="88" spans="2:25" ht="15.75">
      <c r="B88" s="80" t="s">
        <v>583</v>
      </c>
      <c r="C88" s="81" t="s">
        <v>273</v>
      </c>
      <c r="D88" s="92"/>
      <c r="E88" s="92"/>
      <c r="F88" s="93">
        <f t="shared" si="6"/>
        <v>0</v>
      </c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</row>
    <row r="89" spans="2:25" ht="15.75">
      <c r="B89" s="80" t="s">
        <v>584</v>
      </c>
      <c r="C89" s="81" t="s">
        <v>274</v>
      </c>
      <c r="D89" s="92">
        <v>651</v>
      </c>
      <c r="E89" s="92"/>
      <c r="F89" s="93">
        <f t="shared" si="6"/>
        <v>651</v>
      </c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</row>
    <row r="90" spans="2:25" ht="15.75">
      <c r="B90" s="78" t="s">
        <v>435</v>
      </c>
      <c r="C90" s="83" t="s">
        <v>275</v>
      </c>
      <c r="D90" s="93">
        <f>SUM(D80:D89)</f>
        <v>69880</v>
      </c>
      <c r="E90" s="93">
        <f>SUM(E80:E89)</f>
        <v>0</v>
      </c>
      <c r="F90" s="93">
        <f>SUM(F80:F89)</f>
        <v>69880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2:25" ht="15.75">
      <c r="B91" s="80" t="s">
        <v>585</v>
      </c>
      <c r="C91" s="81" t="s">
        <v>276</v>
      </c>
      <c r="D91" s="92"/>
      <c r="E91" s="92"/>
      <c r="F91" s="93">
        <f>+E91+D91</f>
        <v>0</v>
      </c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</row>
    <row r="92" spans="2:25" ht="15.75">
      <c r="B92" s="80" t="s">
        <v>586</v>
      </c>
      <c r="C92" s="81" t="s">
        <v>277</v>
      </c>
      <c r="D92" s="92"/>
      <c r="E92" s="92"/>
      <c r="F92" s="93">
        <f>+E92+D92</f>
        <v>0</v>
      </c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</row>
    <row r="93" spans="2:25" ht="15.75">
      <c r="B93" s="80" t="s">
        <v>278</v>
      </c>
      <c r="C93" s="81" t="s">
        <v>279</v>
      </c>
      <c r="D93" s="92"/>
      <c r="E93" s="92"/>
      <c r="F93" s="93">
        <f>+E93+D93</f>
        <v>0</v>
      </c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</row>
    <row r="94" spans="2:25" ht="15.75">
      <c r="B94" s="80" t="s">
        <v>587</v>
      </c>
      <c r="C94" s="81" t="s">
        <v>280</v>
      </c>
      <c r="D94" s="92"/>
      <c r="E94" s="92"/>
      <c r="F94" s="93">
        <f>+E94+D94</f>
        <v>0</v>
      </c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</row>
    <row r="95" spans="2:25" ht="15.75">
      <c r="B95" s="80" t="s">
        <v>281</v>
      </c>
      <c r="C95" s="81" t="s">
        <v>282</v>
      </c>
      <c r="D95" s="92"/>
      <c r="E95" s="92"/>
      <c r="F95" s="93">
        <f>+E95+D95</f>
        <v>0</v>
      </c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</row>
    <row r="96" spans="2:25" ht="15.75">
      <c r="B96" s="90" t="s">
        <v>693</v>
      </c>
      <c r="C96" s="83" t="s">
        <v>283</v>
      </c>
      <c r="D96" s="93">
        <f>SUM(D91:D95)</f>
        <v>0</v>
      </c>
      <c r="E96" s="93">
        <f>SUM(E91:E95)</f>
        <v>0</v>
      </c>
      <c r="F96" s="93">
        <f>SUM(F91:F95)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</row>
    <row r="97" spans="2:25" ht="15.75">
      <c r="B97" s="90" t="s">
        <v>628</v>
      </c>
      <c r="C97" s="83" t="s">
        <v>286</v>
      </c>
      <c r="D97" s="92"/>
      <c r="E97" s="92"/>
      <c r="F97" s="93">
        <f>+E97+D97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</row>
    <row r="98" spans="2:25" ht="15.75">
      <c r="B98" s="80" t="s">
        <v>808</v>
      </c>
      <c r="C98" s="81" t="s">
        <v>287</v>
      </c>
      <c r="D98" s="92"/>
      <c r="E98" s="92"/>
      <c r="F98" s="93">
        <f>+E98+D98</f>
        <v>0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</row>
    <row r="99" spans="2:25" ht="15.75">
      <c r="B99" s="82" t="s">
        <v>807</v>
      </c>
      <c r="C99" s="81" t="s">
        <v>288</v>
      </c>
      <c r="D99" s="92"/>
      <c r="E99" s="92"/>
      <c r="F99" s="93">
        <f>+E99+D99</f>
        <v>0</v>
      </c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</row>
    <row r="100" spans="2:25" ht="15.75">
      <c r="B100" s="80" t="s">
        <v>612</v>
      </c>
      <c r="C100" s="81" t="s">
        <v>289</v>
      </c>
      <c r="D100" s="92"/>
      <c r="E100" s="92"/>
      <c r="F100" s="93">
        <f>+E100+D100</f>
        <v>0</v>
      </c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</row>
    <row r="101" spans="2:25" ht="15.75">
      <c r="B101" s="90" t="s">
        <v>512</v>
      </c>
      <c r="C101" s="83" t="s">
        <v>290</v>
      </c>
      <c r="D101" s="93">
        <f>SUM(D98:D100)</f>
        <v>0</v>
      </c>
      <c r="E101" s="93">
        <f>SUM(E98:E100)</f>
        <v>0</v>
      </c>
      <c r="F101" s="93">
        <f>SUM(F98:F100)</f>
        <v>0</v>
      </c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</row>
    <row r="102" spans="2:25" ht="15.75">
      <c r="B102" s="137" t="s">
        <v>516</v>
      </c>
      <c r="C102" s="116" t="s">
        <v>672</v>
      </c>
      <c r="D102" s="118">
        <f>+D101+D97+D96+D90+D79+D72+D71</f>
        <v>70489</v>
      </c>
      <c r="E102" s="118">
        <f>+E101+E97+E96+E90+E79+E72+E71</f>
        <v>0</v>
      </c>
      <c r="F102" s="118">
        <f>+F101+F97+F96+F90+F79+F72+F71</f>
        <v>70489</v>
      </c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</row>
    <row r="103" spans="2:25" ht="15.75">
      <c r="B103" s="138" t="s">
        <v>668</v>
      </c>
      <c r="C103" s="139"/>
      <c r="D103" s="140">
        <f>+D97+D90+D79+D71-D32</f>
        <v>-368629</v>
      </c>
      <c r="E103" s="140">
        <f>+E97+E90+E79+E71-E32</f>
        <v>0</v>
      </c>
      <c r="F103" s="140">
        <f aca="true" t="shared" si="7" ref="F103:F110">+E103+D103</f>
        <v>-368629</v>
      </c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</row>
    <row r="104" spans="2:25" ht="15.75">
      <c r="B104" s="138" t="s">
        <v>669</v>
      </c>
      <c r="C104" s="139"/>
      <c r="D104" s="140">
        <f>+D101+D96+D72-D55</f>
        <v>0</v>
      </c>
      <c r="E104" s="140">
        <f>+E101+E96+E72-E55</f>
        <v>0</v>
      </c>
      <c r="F104" s="140">
        <f t="shared" si="7"/>
        <v>0</v>
      </c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</row>
    <row r="105" spans="2:6" ht="15.75">
      <c r="B105" s="78" t="s">
        <v>631</v>
      </c>
      <c r="C105" s="90" t="s">
        <v>295</v>
      </c>
      <c r="D105" s="92"/>
      <c r="E105" s="92"/>
      <c r="F105" s="93">
        <f t="shared" si="7"/>
        <v>0</v>
      </c>
    </row>
    <row r="106" spans="2:6" ht="15.75">
      <c r="B106" s="125" t="s">
        <v>632</v>
      </c>
      <c r="C106" s="90" t="s">
        <v>302</v>
      </c>
      <c r="D106" s="92"/>
      <c r="E106" s="92"/>
      <c r="F106" s="93">
        <f t="shared" si="7"/>
        <v>0</v>
      </c>
    </row>
    <row r="107" spans="2:6" ht="15.75">
      <c r="B107" s="82" t="s">
        <v>788</v>
      </c>
      <c r="C107" s="82" t="s">
        <v>303</v>
      </c>
      <c r="D107" s="92"/>
      <c r="E107" s="92"/>
      <c r="F107" s="93">
        <f t="shared" si="7"/>
        <v>0</v>
      </c>
    </row>
    <row r="108" spans="2:6" ht="15.75">
      <c r="B108" s="82" t="s">
        <v>789</v>
      </c>
      <c r="C108" s="82" t="s">
        <v>303</v>
      </c>
      <c r="D108" s="92"/>
      <c r="E108" s="92"/>
      <c r="F108" s="93">
        <f t="shared" si="7"/>
        <v>0</v>
      </c>
    </row>
    <row r="109" spans="2:6" ht="15.75">
      <c r="B109" s="82" t="s">
        <v>786</v>
      </c>
      <c r="C109" s="82" t="s">
        <v>304</v>
      </c>
      <c r="D109" s="92"/>
      <c r="E109" s="92"/>
      <c r="F109" s="93">
        <f t="shared" si="7"/>
        <v>0</v>
      </c>
    </row>
    <row r="110" spans="2:6" ht="15.75">
      <c r="B110" s="82" t="s">
        <v>787</v>
      </c>
      <c r="C110" s="82" t="s">
        <v>304</v>
      </c>
      <c r="D110" s="92"/>
      <c r="E110" s="92"/>
      <c r="F110" s="93">
        <f t="shared" si="7"/>
        <v>0</v>
      </c>
    </row>
    <row r="111" spans="2:6" ht="15.75">
      <c r="B111" s="90" t="s">
        <v>514</v>
      </c>
      <c r="C111" s="90" t="s">
        <v>305</v>
      </c>
      <c r="D111" s="93">
        <f>SUM(D107:D110)</f>
        <v>0</v>
      </c>
      <c r="E111" s="93">
        <f>SUM(E107:E110)</f>
        <v>0</v>
      </c>
      <c r="F111" s="93">
        <f>SUM(F107:F110)</f>
        <v>0</v>
      </c>
    </row>
    <row r="112" spans="2:6" ht="15.75">
      <c r="B112" s="123" t="s">
        <v>306</v>
      </c>
      <c r="C112" s="82" t="s">
        <v>307</v>
      </c>
      <c r="D112" s="92"/>
      <c r="E112" s="92"/>
      <c r="F112" s="93">
        <f aca="true" t="shared" si="8" ref="F112:F118">+E112+D112</f>
        <v>0</v>
      </c>
    </row>
    <row r="113" spans="2:6" ht="15.75">
      <c r="B113" s="123" t="s">
        <v>308</v>
      </c>
      <c r="C113" s="82" t="s">
        <v>309</v>
      </c>
      <c r="D113" s="92"/>
      <c r="E113" s="92"/>
      <c r="F113" s="93">
        <f t="shared" si="8"/>
        <v>0</v>
      </c>
    </row>
    <row r="114" spans="2:6" ht="15.75">
      <c r="B114" s="123" t="s">
        <v>310</v>
      </c>
      <c r="C114" s="82" t="s">
        <v>311</v>
      </c>
      <c r="D114" s="92">
        <v>368629</v>
      </c>
      <c r="E114" s="92"/>
      <c r="F114" s="93">
        <f t="shared" si="8"/>
        <v>368629</v>
      </c>
    </row>
    <row r="115" spans="2:6" s="208" customFormat="1" ht="15.75">
      <c r="B115" s="204" t="s">
        <v>366</v>
      </c>
      <c r="C115" s="171"/>
      <c r="D115" s="151">
        <v>334209</v>
      </c>
      <c r="E115" s="151"/>
      <c r="F115" s="173">
        <f t="shared" si="8"/>
        <v>334209</v>
      </c>
    </row>
    <row r="116" spans="2:6" s="208" customFormat="1" ht="15.75">
      <c r="B116" s="206" t="s">
        <v>356</v>
      </c>
      <c r="C116" s="171"/>
      <c r="D116" s="151">
        <f>+D114-D115</f>
        <v>34420</v>
      </c>
      <c r="E116" s="151">
        <f>+E114-E115</f>
        <v>0</v>
      </c>
      <c r="F116" s="173">
        <f t="shared" si="8"/>
        <v>34420</v>
      </c>
    </row>
    <row r="117" spans="2:6" ht="15.75">
      <c r="B117" s="123" t="s">
        <v>312</v>
      </c>
      <c r="C117" s="82" t="s">
        <v>313</v>
      </c>
      <c r="D117" s="92"/>
      <c r="E117" s="92"/>
      <c r="F117" s="93">
        <f t="shared" si="8"/>
        <v>0</v>
      </c>
    </row>
    <row r="118" spans="2:6" ht="15.75">
      <c r="B118" s="80" t="s">
        <v>615</v>
      </c>
      <c r="C118" s="82" t="s">
        <v>314</v>
      </c>
      <c r="D118" s="92"/>
      <c r="E118" s="92"/>
      <c r="F118" s="93">
        <f t="shared" si="8"/>
        <v>0</v>
      </c>
    </row>
    <row r="119" spans="2:6" ht="15.75">
      <c r="B119" s="78" t="s">
        <v>428</v>
      </c>
      <c r="C119" s="90" t="s">
        <v>316</v>
      </c>
      <c r="D119" s="93">
        <f>SUM(D112:D118)+D111+D106+D105-D115-D116</f>
        <v>368629</v>
      </c>
      <c r="E119" s="93">
        <f>SUM(E112:E118)+E111+E106+E105-E115-E116</f>
        <v>0</v>
      </c>
      <c r="F119" s="93">
        <f>SUM(F112:F118)+F111+F106+F105-F115-F116</f>
        <v>368629</v>
      </c>
    </row>
    <row r="120" spans="2:6" ht="15.75">
      <c r="B120" s="123" t="s">
        <v>635</v>
      </c>
      <c r="C120" s="82" t="s">
        <v>324</v>
      </c>
      <c r="D120" s="92"/>
      <c r="E120" s="92"/>
      <c r="F120" s="93">
        <f>+E120+D120</f>
        <v>0</v>
      </c>
    </row>
    <row r="121" spans="2:6" ht="15.75">
      <c r="B121" s="80" t="s">
        <v>325</v>
      </c>
      <c r="C121" s="82" t="s">
        <v>326</v>
      </c>
      <c r="D121" s="92"/>
      <c r="E121" s="92"/>
      <c r="F121" s="93">
        <f>+E121+D121</f>
        <v>0</v>
      </c>
    </row>
    <row r="122" spans="2:6" ht="15.75">
      <c r="B122" s="128" t="s">
        <v>515</v>
      </c>
      <c r="C122" s="129" t="s">
        <v>327</v>
      </c>
      <c r="D122" s="118">
        <f>+D121+D120+D119</f>
        <v>368629</v>
      </c>
      <c r="E122" s="118">
        <f>+E121+E120+E119</f>
        <v>0</v>
      </c>
      <c r="F122" s="118">
        <f>+F121+F120+F119</f>
        <v>368629</v>
      </c>
    </row>
    <row r="123" spans="2:6" ht="15.75">
      <c r="B123" s="75" t="s">
        <v>654</v>
      </c>
      <c r="C123" s="75" t="s">
        <v>670</v>
      </c>
      <c r="D123" s="131">
        <f>+D102+D122</f>
        <v>439118</v>
      </c>
      <c r="E123" s="131">
        <f>+E102+E122</f>
        <v>0</v>
      </c>
      <c r="F123" s="131">
        <f>+F102+F122</f>
        <v>439118</v>
      </c>
    </row>
    <row r="124" spans="2:6" ht="15.75">
      <c r="B124" s="4"/>
      <c r="C124" s="4"/>
      <c r="D124" s="141"/>
      <c r="E124" s="141"/>
      <c r="F124" s="142"/>
    </row>
    <row r="125" spans="2:6" ht="15.75">
      <c r="B125" s="74" t="s">
        <v>676</v>
      </c>
      <c r="C125" s="74"/>
      <c r="D125" s="93">
        <f>+D102-D56</f>
        <v>-368629</v>
      </c>
      <c r="E125" s="93">
        <f>+E102-E56</f>
        <v>0</v>
      </c>
      <c r="F125" s="93">
        <f>+F102-F56</f>
        <v>-368629</v>
      </c>
    </row>
    <row r="126" spans="2:6" ht="15.75">
      <c r="B126" s="74" t="s">
        <v>746</v>
      </c>
      <c r="C126" s="74"/>
      <c r="D126" s="93">
        <f>+D122-D60</f>
        <v>368629</v>
      </c>
      <c r="E126" s="93">
        <f>+E122-E60</f>
        <v>0</v>
      </c>
      <c r="F126" s="93">
        <f>+F122-F60</f>
        <v>368629</v>
      </c>
    </row>
    <row r="127" spans="2:6" ht="15.75">
      <c r="B127" s="4"/>
      <c r="C127" s="4"/>
      <c r="D127" s="141"/>
      <c r="E127" s="141"/>
      <c r="F127" s="142"/>
    </row>
    <row r="128" spans="2:6" ht="15.75">
      <c r="B128" s="143" t="s">
        <v>756</v>
      </c>
      <c r="C128" s="4"/>
      <c r="D128" s="141">
        <f>+D123-D61</f>
        <v>0</v>
      </c>
      <c r="E128" s="141">
        <f>+E123-E61</f>
        <v>0</v>
      </c>
      <c r="F128" s="141">
        <f>+F123-F61</f>
        <v>0</v>
      </c>
    </row>
    <row r="129" spans="2:6" ht="15.75">
      <c r="B129" s="4"/>
      <c r="C129" s="4"/>
      <c r="D129" s="141"/>
      <c r="E129" s="141"/>
      <c r="F129" s="142"/>
    </row>
    <row r="130" spans="2:6" ht="15.75">
      <c r="B130" s="4"/>
      <c r="C130" s="4"/>
      <c r="D130" s="141"/>
      <c r="E130" s="141"/>
      <c r="F130" s="142"/>
    </row>
    <row r="131" spans="2:6" ht="15.75">
      <c r="B131" s="4"/>
      <c r="C131" s="4"/>
      <c r="D131" s="141"/>
      <c r="E131" s="141"/>
      <c r="F131" s="142"/>
    </row>
    <row r="132" spans="2:6" ht="15.75">
      <c r="B132" s="4"/>
      <c r="C132" s="4"/>
      <c r="D132" s="141"/>
      <c r="E132" s="141"/>
      <c r="F132" s="142"/>
    </row>
    <row r="133" spans="2:6" ht="15.75">
      <c r="B133" s="4"/>
      <c r="C133" s="4"/>
      <c r="D133" s="141"/>
      <c r="E133" s="141"/>
      <c r="F133" s="142"/>
    </row>
    <row r="134" spans="2:6" ht="15.75">
      <c r="B134" s="4"/>
      <c r="C134" s="4"/>
      <c r="D134" s="141"/>
      <c r="E134" s="141"/>
      <c r="F134" s="142"/>
    </row>
    <row r="135" spans="2:6" ht="15.75">
      <c r="B135" s="4"/>
      <c r="C135" s="4"/>
      <c r="D135" s="141"/>
      <c r="E135" s="141"/>
      <c r="F135" s="142"/>
    </row>
    <row r="136" spans="2:6" ht="15.75">
      <c r="B136" s="4"/>
      <c r="C136" s="4"/>
      <c r="D136" s="141"/>
      <c r="E136" s="141"/>
      <c r="F136" s="142"/>
    </row>
    <row r="137" spans="2:6" ht="15.75">
      <c r="B137" s="4"/>
      <c r="C137" s="4"/>
      <c r="D137" s="141"/>
      <c r="E137" s="141"/>
      <c r="F137" s="142"/>
    </row>
    <row r="138" spans="2:6" ht="15.75">
      <c r="B138" s="4"/>
      <c r="C138" s="4"/>
      <c r="D138" s="141"/>
      <c r="E138" s="141"/>
      <c r="F138" s="142"/>
    </row>
    <row r="139" spans="2:6" ht="15.75">
      <c r="B139" s="4"/>
      <c r="C139" s="4"/>
      <c r="D139" s="141"/>
      <c r="E139" s="141"/>
      <c r="F139" s="142"/>
    </row>
    <row r="140" spans="2:6" ht="15.75">
      <c r="B140" s="4"/>
      <c r="C140" s="4"/>
      <c r="D140" s="141"/>
      <c r="E140" s="141"/>
      <c r="F140" s="142"/>
    </row>
    <row r="141" spans="2:6" ht="15.75">
      <c r="B141" s="4"/>
      <c r="C141" s="4"/>
      <c r="D141" s="141"/>
      <c r="E141" s="141"/>
      <c r="F141" s="142"/>
    </row>
    <row r="142" spans="2:6" ht="15.75">
      <c r="B142" s="4"/>
      <c r="C142" s="4"/>
      <c r="D142" s="141"/>
      <c r="E142" s="141"/>
      <c r="F142" s="142"/>
    </row>
    <row r="143" spans="2:6" ht="15.75">
      <c r="B143" s="4"/>
      <c r="C143" s="4"/>
      <c r="D143" s="141"/>
      <c r="E143" s="141"/>
      <c r="F143" s="142"/>
    </row>
    <row r="144" spans="2:6" ht="15.75">
      <c r="B144" s="4"/>
      <c r="C144" s="4"/>
      <c r="D144" s="141"/>
      <c r="E144" s="141"/>
      <c r="F144" s="142"/>
    </row>
    <row r="145" spans="2:6" ht="15.75">
      <c r="B145" s="4"/>
      <c r="C145" s="4"/>
      <c r="D145" s="141"/>
      <c r="E145" s="141"/>
      <c r="F145" s="142"/>
    </row>
    <row r="146" spans="2:6" ht="15.75">
      <c r="B146" s="4"/>
      <c r="C146" s="4"/>
      <c r="D146" s="141"/>
      <c r="E146" s="141"/>
      <c r="F146" s="142"/>
    </row>
    <row r="147" spans="2:6" ht="15.75">
      <c r="B147" s="4"/>
      <c r="C147" s="4"/>
      <c r="D147" s="141"/>
      <c r="E147" s="141"/>
      <c r="F147" s="142"/>
    </row>
    <row r="148" spans="2:6" ht="15.75">
      <c r="B148" s="4"/>
      <c r="C148" s="4"/>
      <c r="D148" s="141"/>
      <c r="E148" s="141"/>
      <c r="F148" s="142"/>
    </row>
    <row r="149" spans="2:6" ht="15.75">
      <c r="B149" s="4"/>
      <c r="C149" s="4"/>
      <c r="D149" s="141"/>
      <c r="E149" s="141"/>
      <c r="F149" s="142"/>
    </row>
    <row r="150" spans="2:6" ht="15.75">
      <c r="B150" s="4"/>
      <c r="C150" s="4"/>
      <c r="D150" s="141"/>
      <c r="E150" s="141"/>
      <c r="F150" s="142"/>
    </row>
    <row r="151" spans="2:6" ht="15.75">
      <c r="B151" s="4"/>
      <c r="C151" s="4"/>
      <c r="D151" s="141"/>
      <c r="E151" s="141"/>
      <c r="F151" s="142"/>
    </row>
    <row r="152" spans="2:6" ht="15.75">
      <c r="B152" s="4"/>
      <c r="C152" s="4"/>
      <c r="D152" s="141"/>
      <c r="E152" s="141"/>
      <c r="F152" s="142"/>
    </row>
    <row r="153" spans="2:6" ht="15.75">
      <c r="B153" s="4"/>
      <c r="C153" s="4"/>
      <c r="D153" s="141"/>
      <c r="E153" s="141"/>
      <c r="F153" s="142"/>
    </row>
    <row r="154" spans="2:6" ht="15.75">
      <c r="B154" s="4"/>
      <c r="C154" s="4"/>
      <c r="D154" s="141"/>
      <c r="E154" s="141"/>
      <c r="F154" s="142"/>
    </row>
    <row r="155" spans="2:6" ht="15.75">
      <c r="B155" s="4"/>
      <c r="C155" s="4"/>
      <c r="D155" s="141"/>
      <c r="E155" s="141"/>
      <c r="F155" s="142"/>
    </row>
    <row r="156" spans="2:6" ht="15.75">
      <c r="B156" s="4"/>
      <c r="C156" s="4"/>
      <c r="D156" s="141"/>
      <c r="E156" s="141"/>
      <c r="F156" s="142"/>
    </row>
    <row r="157" spans="2:6" ht="15.75">
      <c r="B157" s="4"/>
      <c r="C157" s="4"/>
      <c r="D157" s="141"/>
      <c r="E157" s="141"/>
      <c r="F157" s="142"/>
    </row>
    <row r="158" spans="2:6" ht="15.75">
      <c r="B158" s="4"/>
      <c r="C158" s="4"/>
      <c r="D158" s="141"/>
      <c r="E158" s="141"/>
      <c r="F158" s="142"/>
    </row>
    <row r="159" spans="2:6" ht="15.75">
      <c r="B159" s="4"/>
      <c r="C159" s="4"/>
      <c r="D159" s="141"/>
      <c r="E159" s="141"/>
      <c r="F159" s="142"/>
    </row>
    <row r="160" spans="2:6" ht="15.75">
      <c r="B160" s="4"/>
      <c r="C160" s="4"/>
      <c r="D160" s="141"/>
      <c r="E160" s="141"/>
      <c r="F160" s="142"/>
    </row>
    <row r="161" spans="2:6" ht="15.75">
      <c r="B161" s="4"/>
      <c r="C161" s="4"/>
      <c r="D161" s="141"/>
      <c r="E161" s="141"/>
      <c r="F161" s="142"/>
    </row>
    <row r="162" spans="2:6" ht="15.75">
      <c r="B162" s="4"/>
      <c r="C162" s="4"/>
      <c r="D162" s="141"/>
      <c r="E162" s="141"/>
      <c r="F162" s="142"/>
    </row>
    <row r="163" spans="2:6" ht="15.75">
      <c r="B163" s="4"/>
      <c r="C163" s="4"/>
      <c r="D163" s="141"/>
      <c r="E163" s="141"/>
      <c r="F163" s="142"/>
    </row>
    <row r="164" spans="2:6" ht="15.75">
      <c r="B164" s="4"/>
      <c r="C164" s="4"/>
      <c r="D164" s="141"/>
      <c r="E164" s="141"/>
      <c r="F164" s="142"/>
    </row>
    <row r="165" spans="2:6" ht="15.75">
      <c r="B165" s="4"/>
      <c r="C165" s="4"/>
      <c r="D165" s="141"/>
      <c r="E165" s="141"/>
      <c r="F165" s="142"/>
    </row>
    <row r="166" spans="2:6" ht="15.75">
      <c r="B166" s="4"/>
      <c r="C166" s="4"/>
      <c r="D166" s="141"/>
      <c r="E166" s="141"/>
      <c r="F166" s="142"/>
    </row>
    <row r="167" spans="2:6" ht="15.75">
      <c r="B167" s="4"/>
      <c r="C167" s="4"/>
      <c r="D167" s="141"/>
      <c r="E167" s="141"/>
      <c r="F167" s="142"/>
    </row>
    <row r="168" spans="2:6" ht="15.75">
      <c r="B168" s="4"/>
      <c r="C168" s="4"/>
      <c r="D168" s="141"/>
      <c r="E168" s="141"/>
      <c r="F168" s="142"/>
    </row>
    <row r="169" spans="2:6" ht="15.75">
      <c r="B169" s="4"/>
      <c r="C169" s="4"/>
      <c r="D169" s="141"/>
      <c r="E169" s="141"/>
      <c r="F169" s="142"/>
    </row>
    <row r="170" spans="2:6" ht="15.75">
      <c r="B170" s="4"/>
      <c r="C170" s="4"/>
      <c r="D170" s="141"/>
      <c r="E170" s="141"/>
      <c r="F170" s="142"/>
    </row>
    <row r="171" spans="2:6" ht="15.75">
      <c r="B171" s="4"/>
      <c r="C171" s="4"/>
      <c r="D171" s="141"/>
      <c r="E171" s="141"/>
      <c r="F171" s="142"/>
    </row>
    <row r="172" spans="2:6" ht="15.75">
      <c r="B172" s="4"/>
      <c r="C172" s="4"/>
      <c r="D172" s="141"/>
      <c r="E172" s="141"/>
      <c r="F172" s="142"/>
    </row>
    <row r="173" spans="2:6" ht="15.75">
      <c r="B173" s="4"/>
      <c r="C173" s="4"/>
      <c r="D173" s="141"/>
      <c r="E173" s="141"/>
      <c r="F173" s="142"/>
    </row>
    <row r="174" spans="2:6" ht="15.75">
      <c r="B174" s="4"/>
      <c r="C174" s="4"/>
      <c r="D174" s="141"/>
      <c r="E174" s="141"/>
      <c r="F174" s="142"/>
    </row>
    <row r="175" spans="2:6" ht="15.75">
      <c r="B175" s="4"/>
      <c r="C175" s="4"/>
      <c r="D175" s="141"/>
      <c r="E175" s="141"/>
      <c r="F175" s="142"/>
    </row>
    <row r="176" spans="2:6" ht="15.75">
      <c r="B176" s="4"/>
      <c r="C176" s="4"/>
      <c r="D176" s="141"/>
      <c r="E176" s="141"/>
      <c r="F176" s="142"/>
    </row>
    <row r="177" spans="2:6" ht="15.75">
      <c r="B177" s="4"/>
      <c r="C177" s="4"/>
      <c r="D177" s="141"/>
      <c r="E177" s="141"/>
      <c r="F177" s="142"/>
    </row>
    <row r="178" spans="2:6" ht="15.75">
      <c r="B178" s="4"/>
      <c r="C178" s="4"/>
      <c r="D178" s="141"/>
      <c r="E178" s="141"/>
      <c r="F178" s="142"/>
    </row>
    <row r="179" spans="2:6" ht="15.75">
      <c r="B179" s="4"/>
      <c r="C179" s="4"/>
      <c r="D179" s="141"/>
      <c r="E179" s="141"/>
      <c r="F179" s="142"/>
    </row>
    <row r="180" spans="2:6" ht="15.75">
      <c r="B180" s="4"/>
      <c r="C180" s="4"/>
      <c r="D180" s="141"/>
      <c r="E180" s="141"/>
      <c r="F180" s="142"/>
    </row>
    <row r="181" spans="2:6" ht="15.75">
      <c r="B181" s="4"/>
      <c r="C181" s="4"/>
      <c r="D181" s="141"/>
      <c r="E181" s="141"/>
      <c r="F181" s="142"/>
    </row>
    <row r="182" spans="2:6" ht="15.75">
      <c r="B182" s="4"/>
      <c r="C182" s="4"/>
      <c r="D182" s="141"/>
      <c r="E182" s="141"/>
      <c r="F182" s="142"/>
    </row>
    <row r="183" spans="2:6" ht="15.75">
      <c r="B183" s="4"/>
      <c r="C183" s="4"/>
      <c r="D183" s="141"/>
      <c r="E183" s="141"/>
      <c r="F183" s="142"/>
    </row>
    <row r="184" spans="2:6" ht="15.75">
      <c r="B184" s="4"/>
      <c r="C184" s="4"/>
      <c r="D184" s="141"/>
      <c r="E184" s="141"/>
      <c r="F184" s="142"/>
    </row>
    <row r="185" spans="2:6" ht="15.75">
      <c r="B185" s="4"/>
      <c r="C185" s="4"/>
      <c r="D185" s="141"/>
      <c r="E185" s="141"/>
      <c r="F185" s="142"/>
    </row>
    <row r="186" spans="2:6" ht="15.75">
      <c r="B186" s="4"/>
      <c r="C186" s="4"/>
      <c r="D186" s="141"/>
      <c r="E186" s="141"/>
      <c r="F186" s="142"/>
    </row>
    <row r="187" spans="2:6" ht="15.75">
      <c r="B187" s="4"/>
      <c r="C187" s="4"/>
      <c r="D187" s="4"/>
      <c r="E187" s="4"/>
      <c r="F187" s="3"/>
    </row>
    <row r="188" spans="2:6" ht="15.75">
      <c r="B188" s="4"/>
      <c r="C188" s="4"/>
      <c r="D188" s="4"/>
      <c r="E188" s="4"/>
      <c r="F188" s="3"/>
    </row>
    <row r="189" spans="2:6" ht="15.75">
      <c r="B189" s="4"/>
      <c r="C189" s="4"/>
      <c r="D189" s="4"/>
      <c r="E189" s="4"/>
      <c r="F189" s="3"/>
    </row>
    <row r="190" spans="2:6" ht="15.75">
      <c r="B190" s="4"/>
      <c r="C190" s="4"/>
      <c r="D190" s="4"/>
      <c r="E190" s="4"/>
      <c r="F190" s="3"/>
    </row>
    <row r="191" spans="2:6" ht="15.75">
      <c r="B191" s="4"/>
      <c r="C191" s="4"/>
      <c r="D191" s="4"/>
      <c r="E191" s="4"/>
      <c r="F191" s="3"/>
    </row>
    <row r="192" spans="2:6" ht="15.75">
      <c r="B192" s="4"/>
      <c r="C192" s="4"/>
      <c r="D192" s="4"/>
      <c r="E192" s="4"/>
      <c r="F192" s="3"/>
    </row>
    <row r="193" spans="2:6" ht="15.75">
      <c r="B193" s="4"/>
      <c r="C193" s="4"/>
      <c r="D193" s="4"/>
      <c r="E193" s="4"/>
      <c r="F193" s="3"/>
    </row>
    <row r="194" spans="2:6" ht="15.75">
      <c r="B194" s="4"/>
      <c r="C194" s="4"/>
      <c r="D194" s="4"/>
      <c r="E194" s="4"/>
      <c r="F194" s="3"/>
    </row>
    <row r="195" spans="2:6" ht="15.75">
      <c r="B195" s="4"/>
      <c r="C195" s="4"/>
      <c r="D195" s="4"/>
      <c r="E195" s="4"/>
      <c r="F195" s="3"/>
    </row>
    <row r="196" spans="2:6" ht="15.75">
      <c r="B196" s="4"/>
      <c r="C196" s="4"/>
      <c r="D196" s="4"/>
      <c r="E196" s="4"/>
      <c r="F196" s="3"/>
    </row>
    <row r="197" spans="2:6" ht="15.75">
      <c r="B197" s="4"/>
      <c r="C197" s="4"/>
      <c r="D197" s="4"/>
      <c r="E197" s="4"/>
      <c r="F197" s="3"/>
    </row>
    <row r="198" spans="2:6" ht="15.75">
      <c r="B198" s="4"/>
      <c r="C198" s="4"/>
      <c r="D198" s="4"/>
      <c r="E198" s="4"/>
      <c r="F198" s="3"/>
    </row>
    <row r="199" spans="2:6" ht="15.75">
      <c r="B199" s="4"/>
      <c r="C199" s="4"/>
      <c r="D199" s="4"/>
      <c r="E199" s="4"/>
      <c r="F199" s="3"/>
    </row>
    <row r="200" spans="2:6" ht="15.75">
      <c r="B200" s="4"/>
      <c r="C200" s="4"/>
      <c r="D200" s="4"/>
      <c r="E200" s="4"/>
      <c r="F200" s="3"/>
    </row>
    <row r="201" spans="2:6" ht="15.75">
      <c r="B201" s="4"/>
      <c r="C201" s="4"/>
      <c r="D201" s="4"/>
      <c r="E201" s="4"/>
      <c r="F201" s="3"/>
    </row>
    <row r="202" spans="2:6" ht="15.75">
      <c r="B202" s="4"/>
      <c r="C202" s="4"/>
      <c r="D202" s="4"/>
      <c r="E202" s="4"/>
      <c r="F202" s="3"/>
    </row>
    <row r="203" spans="2:6" ht="15.75">
      <c r="B203" s="4"/>
      <c r="C203" s="4"/>
      <c r="D203" s="4"/>
      <c r="E203" s="4"/>
      <c r="F203" s="3"/>
    </row>
    <row r="204" spans="2:6" ht="15.75">
      <c r="B204" s="4"/>
      <c r="C204" s="4"/>
      <c r="D204" s="4"/>
      <c r="E204" s="4"/>
      <c r="F204" s="3"/>
    </row>
    <row r="205" spans="2:6" ht="15.75">
      <c r="B205" s="4"/>
      <c r="C205" s="4"/>
      <c r="D205" s="4"/>
      <c r="E205" s="4"/>
      <c r="F205" s="3"/>
    </row>
    <row r="206" spans="2:6" ht="15.75">
      <c r="B206" s="4"/>
      <c r="C206" s="4"/>
      <c r="D206" s="4"/>
      <c r="E206" s="4"/>
      <c r="F206" s="3"/>
    </row>
    <row r="207" spans="2:6" ht="15.75">
      <c r="B207" s="4"/>
      <c r="C207" s="4"/>
      <c r="D207" s="4"/>
      <c r="E207" s="4"/>
      <c r="F207" s="3"/>
    </row>
    <row r="208" spans="2:6" ht="15.75">
      <c r="B208" s="4"/>
      <c r="C208" s="4"/>
      <c r="D208" s="4"/>
      <c r="E208" s="4"/>
      <c r="F208" s="3"/>
    </row>
    <row r="209" spans="2:6" ht="15.75">
      <c r="B209" s="4"/>
      <c r="C209" s="4"/>
      <c r="D209" s="4"/>
      <c r="E209" s="4"/>
      <c r="F209" s="3"/>
    </row>
    <row r="210" spans="2:6" ht="15.75">
      <c r="B210" s="4"/>
      <c r="C210" s="4"/>
      <c r="D210" s="4"/>
      <c r="E210" s="4"/>
      <c r="F210" s="3"/>
    </row>
    <row r="211" spans="2:6" ht="15.75">
      <c r="B211" s="4"/>
      <c r="C211" s="4"/>
      <c r="D211" s="4"/>
      <c r="E211" s="4"/>
      <c r="F211" s="3"/>
    </row>
    <row r="212" spans="2:6" ht="15.75">
      <c r="B212" s="4"/>
      <c r="C212" s="4"/>
      <c r="D212" s="4"/>
      <c r="E212" s="4"/>
      <c r="F212" s="3"/>
    </row>
    <row r="213" spans="2:6" ht="15.75">
      <c r="B213" s="4"/>
      <c r="C213" s="4"/>
      <c r="D213" s="4"/>
      <c r="E213" s="4"/>
      <c r="F213" s="3"/>
    </row>
    <row r="214" spans="2:6" ht="15.75">
      <c r="B214" s="4"/>
      <c r="C214" s="4"/>
      <c r="D214" s="4"/>
      <c r="E214" s="4"/>
      <c r="F214" s="3"/>
    </row>
    <row r="215" spans="2:6" ht="15.75">
      <c r="B215" s="4"/>
      <c r="C215" s="4"/>
      <c r="D215" s="4"/>
      <c r="E215" s="4"/>
      <c r="F215" s="3"/>
    </row>
    <row r="216" spans="2:6" ht="15.75">
      <c r="B216" s="4"/>
      <c r="C216" s="4"/>
      <c r="D216" s="4"/>
      <c r="E216" s="4"/>
      <c r="F216" s="3"/>
    </row>
    <row r="217" spans="2:6" ht="15.75">
      <c r="B217" s="4"/>
      <c r="C217" s="4"/>
      <c r="D217" s="4"/>
      <c r="E217" s="4"/>
      <c r="F217" s="3"/>
    </row>
    <row r="218" spans="2:6" ht="15.75">
      <c r="B218" s="4"/>
      <c r="C218" s="4"/>
      <c r="D218" s="4"/>
      <c r="E218" s="4"/>
      <c r="F218" s="3"/>
    </row>
    <row r="219" spans="2:6" ht="15.75">
      <c r="B219" s="4"/>
      <c r="C219" s="4"/>
      <c r="D219" s="4"/>
      <c r="E219" s="4"/>
      <c r="F219" s="3"/>
    </row>
    <row r="220" spans="2:6" ht="15.75">
      <c r="B220" s="4"/>
      <c r="C220" s="4"/>
      <c r="D220" s="4"/>
      <c r="E220" s="4"/>
      <c r="F220" s="3"/>
    </row>
    <row r="221" spans="2:6" ht="15.75">
      <c r="B221" s="4"/>
      <c r="C221" s="4"/>
      <c r="D221" s="4"/>
      <c r="E221" s="4"/>
      <c r="F221" s="3"/>
    </row>
    <row r="222" spans="2:6" ht="15.75">
      <c r="B222" s="4"/>
      <c r="C222" s="4"/>
      <c r="D222" s="4"/>
      <c r="E222" s="4"/>
      <c r="F222" s="3"/>
    </row>
    <row r="223" spans="2:6" ht="15.75">
      <c r="B223" s="4"/>
      <c r="C223" s="4"/>
      <c r="D223" s="4"/>
      <c r="E223" s="4"/>
      <c r="F223" s="3"/>
    </row>
    <row r="224" spans="2:6" ht="15.75">
      <c r="B224" s="4"/>
      <c r="C224" s="4"/>
      <c r="D224" s="4"/>
      <c r="E224" s="4"/>
      <c r="F224" s="3"/>
    </row>
    <row r="225" spans="2:6" ht="15.75">
      <c r="B225" s="4"/>
      <c r="C225" s="4"/>
      <c r="D225" s="4"/>
      <c r="E225" s="4"/>
      <c r="F225" s="3"/>
    </row>
    <row r="226" spans="2:6" ht="15.75">
      <c r="B226" s="4"/>
      <c r="C226" s="4"/>
      <c r="D226" s="4"/>
      <c r="E226" s="4"/>
      <c r="F226" s="3"/>
    </row>
    <row r="227" spans="2:6" ht="15.75">
      <c r="B227" s="4"/>
      <c r="C227" s="4"/>
      <c r="D227" s="4"/>
      <c r="E227" s="4"/>
      <c r="F227" s="3"/>
    </row>
    <row r="228" spans="2:6" ht="15.75">
      <c r="B228" s="4"/>
      <c r="C228" s="4"/>
      <c r="D228" s="4"/>
      <c r="E228" s="4"/>
      <c r="F228" s="3"/>
    </row>
    <row r="229" spans="2:6" ht="15.75">
      <c r="B229" s="4"/>
      <c r="C229" s="4"/>
      <c r="D229" s="4"/>
      <c r="E229" s="4"/>
      <c r="F229" s="3"/>
    </row>
    <row r="230" spans="2:6" ht="15.75">
      <c r="B230" s="4"/>
      <c r="C230" s="4"/>
      <c r="D230" s="4"/>
      <c r="E230" s="4"/>
      <c r="F230" s="3"/>
    </row>
    <row r="231" spans="2:6" ht="15.75">
      <c r="B231" s="4"/>
      <c r="C231" s="4"/>
      <c r="D231" s="4"/>
      <c r="E231" s="4"/>
      <c r="F231" s="3"/>
    </row>
    <row r="232" spans="2:6" ht="15.75">
      <c r="B232" s="4"/>
      <c r="C232" s="4"/>
      <c r="D232" s="4"/>
      <c r="E232" s="4"/>
      <c r="F232" s="3"/>
    </row>
    <row r="233" spans="2:6" ht="15.75">
      <c r="B233" s="4"/>
      <c r="C233" s="4"/>
      <c r="D233" s="4"/>
      <c r="E233" s="4"/>
      <c r="F233" s="3"/>
    </row>
    <row r="234" spans="2:6" ht="15.75">
      <c r="B234" s="4"/>
      <c r="C234" s="4"/>
      <c r="D234" s="4"/>
      <c r="E234" s="4"/>
      <c r="F234" s="3"/>
    </row>
    <row r="235" spans="2:6" ht="15.75">
      <c r="B235" s="4"/>
      <c r="C235" s="4"/>
      <c r="D235" s="4"/>
      <c r="E235" s="4"/>
      <c r="F235" s="3"/>
    </row>
    <row r="236" spans="2:6" ht="15.75">
      <c r="B236" s="4"/>
      <c r="C236" s="4"/>
      <c r="D236" s="4"/>
      <c r="E236" s="4"/>
      <c r="F236" s="3"/>
    </row>
    <row r="237" spans="2:6" ht="15.75">
      <c r="B237" s="4"/>
      <c r="C237" s="4"/>
      <c r="D237" s="4"/>
      <c r="E237" s="4"/>
      <c r="F237" s="3"/>
    </row>
    <row r="238" spans="2:6" ht="15.75">
      <c r="B238" s="4"/>
      <c r="C238" s="4"/>
      <c r="D238" s="4"/>
      <c r="E238" s="4"/>
      <c r="F238" s="3"/>
    </row>
    <row r="239" spans="2:6" ht="15.75">
      <c r="B239" s="4"/>
      <c r="C239" s="4"/>
      <c r="D239" s="4"/>
      <c r="E239" s="4"/>
      <c r="F239" s="3"/>
    </row>
    <row r="240" spans="2:6" ht="15.75">
      <c r="B240" s="4"/>
      <c r="C240" s="4"/>
      <c r="D240" s="4"/>
      <c r="E240" s="4"/>
      <c r="F240" s="3"/>
    </row>
    <row r="241" spans="2:6" ht="15.75">
      <c r="B241" s="4"/>
      <c r="C241" s="4"/>
      <c r="D241" s="4"/>
      <c r="E241" s="4"/>
      <c r="F241" s="3"/>
    </row>
    <row r="242" spans="2:6" ht="15.75">
      <c r="B242" s="4"/>
      <c r="C242" s="4"/>
      <c r="D242" s="4"/>
      <c r="E242" s="4"/>
      <c r="F242" s="3"/>
    </row>
    <row r="243" spans="2:6" ht="15.75">
      <c r="B243" s="4"/>
      <c r="C243" s="4"/>
      <c r="D243" s="4"/>
      <c r="E243" s="4"/>
      <c r="F243" s="3"/>
    </row>
    <row r="244" spans="2:6" ht="15.75">
      <c r="B244" s="4"/>
      <c r="C244" s="4"/>
      <c r="D244" s="4"/>
      <c r="E244" s="4"/>
      <c r="F244" s="3"/>
    </row>
    <row r="245" spans="2:6" ht="15.75">
      <c r="B245" s="4"/>
      <c r="C245" s="4"/>
      <c r="D245" s="4"/>
      <c r="E245" s="4"/>
      <c r="F245" s="3"/>
    </row>
    <row r="246" spans="2:6" ht="15.75">
      <c r="B246" s="4"/>
      <c r="C246" s="4"/>
      <c r="D246" s="4"/>
      <c r="E246" s="4"/>
      <c r="F246" s="3"/>
    </row>
    <row r="247" spans="2:6" ht="15.75">
      <c r="B247" s="4"/>
      <c r="C247" s="4"/>
      <c r="D247" s="4"/>
      <c r="E247" s="4"/>
      <c r="F247" s="3"/>
    </row>
    <row r="248" spans="2:6" ht="15.75">
      <c r="B248" s="4"/>
      <c r="C248" s="4"/>
      <c r="D248" s="4"/>
      <c r="E248" s="4"/>
      <c r="F248" s="3"/>
    </row>
    <row r="249" spans="2:6" ht="15.75">
      <c r="B249" s="4"/>
      <c r="C249" s="4"/>
      <c r="D249" s="4"/>
      <c r="E249" s="4"/>
      <c r="F249" s="3"/>
    </row>
    <row r="250" spans="2:6" ht="15.75">
      <c r="B250" s="4"/>
      <c r="C250" s="4"/>
      <c r="D250" s="4"/>
      <c r="E250" s="4"/>
      <c r="F250" s="3"/>
    </row>
    <row r="251" spans="2:6" ht="15.75">
      <c r="B251" s="4"/>
      <c r="C251" s="4"/>
      <c r="D251" s="4"/>
      <c r="E251" s="4"/>
      <c r="F251" s="3"/>
    </row>
    <row r="252" spans="2:6" ht="15.75">
      <c r="B252" s="4"/>
      <c r="C252" s="4"/>
      <c r="D252" s="4"/>
      <c r="E252" s="4"/>
      <c r="F252" s="3"/>
    </row>
  </sheetData>
  <sheetProtection/>
  <printOptions horizontalCentered="1"/>
  <pageMargins left="0.6692913385826772" right="0.3937007874015748" top="0.5905511811023623" bottom="0.5118110236220472" header="0.31496062992125984" footer="0.31496062992125984"/>
  <pageSetup horizontalDpi="300" verticalDpi="300" orientation="portrait" paperSize="9" scale="70" r:id="rId1"/>
  <headerFooter alignWithMargins="0">
    <oddFooter>&amp;R&amp;P</oddFooter>
  </headerFooter>
  <rowBreaks count="1" manualBreakCount="1">
    <brk id="63" min="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B1:Y252"/>
  <sheetViews>
    <sheetView view="pageBreakPreview" zoomScaleSheetLayoutView="100" workbookViewId="0" topLeftCell="A1">
      <selection activeCell="F2" sqref="F2"/>
    </sheetView>
  </sheetViews>
  <sheetFormatPr defaultColWidth="9.140625" defaultRowHeight="15"/>
  <cols>
    <col min="1" max="1" width="9.140625" style="103" customWidth="1"/>
    <col min="2" max="2" width="79.421875" style="103" customWidth="1"/>
    <col min="3" max="3" width="11.421875" style="103" customWidth="1"/>
    <col min="4" max="4" width="10.7109375" style="103" customWidth="1"/>
    <col min="5" max="5" width="13.57421875" style="103" customWidth="1"/>
    <col min="6" max="6" width="12.57421875" style="110" customWidth="1"/>
    <col min="7" max="16384" width="9.140625" style="103" customWidth="1"/>
  </cols>
  <sheetData>
    <row r="1" s="4" customFormat="1" ht="15.75">
      <c r="F1" s="71" t="s">
        <v>20</v>
      </c>
    </row>
    <row r="2" spans="2:6" s="4" customFormat="1" ht="40.5">
      <c r="B2" s="68" t="s">
        <v>754</v>
      </c>
      <c r="F2" s="144" t="s">
        <v>68</v>
      </c>
    </row>
    <row r="3" spans="2:6" s="4" customFormat="1" ht="15.75">
      <c r="B3" s="85" t="s">
        <v>772</v>
      </c>
      <c r="C3" s="101"/>
      <c r="D3" s="101"/>
      <c r="E3" s="101"/>
      <c r="F3" s="98"/>
    </row>
    <row r="4" spans="2:6" s="4" customFormat="1" ht="15.75">
      <c r="B4" s="84" t="s">
        <v>390</v>
      </c>
      <c r="C4" s="97"/>
      <c r="D4" s="97"/>
      <c r="E4" s="97"/>
      <c r="F4" s="85"/>
    </row>
    <row r="5" spans="2:6" ht="15.75">
      <c r="B5" s="102"/>
      <c r="F5" s="103"/>
    </row>
    <row r="6" spans="2:6" ht="31.5">
      <c r="B6" s="72" t="s">
        <v>76</v>
      </c>
      <c r="C6" s="79" t="s">
        <v>77</v>
      </c>
      <c r="D6" s="104" t="s">
        <v>769</v>
      </c>
      <c r="E6" s="104" t="s">
        <v>770</v>
      </c>
      <c r="F6" s="105" t="s">
        <v>28</v>
      </c>
    </row>
    <row r="7" spans="2:6" ht="15.75">
      <c r="B7" s="106" t="s">
        <v>328</v>
      </c>
      <c r="C7" s="107" t="s">
        <v>112</v>
      </c>
      <c r="D7" s="92">
        <v>16848</v>
      </c>
      <c r="E7" s="92"/>
      <c r="F7" s="93">
        <f>+D7+E7</f>
        <v>16848</v>
      </c>
    </row>
    <row r="8" spans="2:6" ht="15.75">
      <c r="B8" s="82" t="s">
        <v>329</v>
      </c>
      <c r="C8" s="107" t="s">
        <v>113</v>
      </c>
      <c r="D8" s="92">
        <v>1382</v>
      </c>
      <c r="E8" s="92"/>
      <c r="F8" s="93">
        <f>+D8+E8</f>
        <v>1382</v>
      </c>
    </row>
    <row r="9" spans="2:6" ht="15.75">
      <c r="B9" s="108" t="s">
        <v>526</v>
      </c>
      <c r="C9" s="109" t="s">
        <v>114</v>
      </c>
      <c r="D9" s="93">
        <f>SUM(D7:D8)</f>
        <v>18230</v>
      </c>
      <c r="E9" s="93">
        <f>SUM(E7:E8)</f>
        <v>0</v>
      </c>
      <c r="F9" s="93">
        <f>SUM(F7:F8)</f>
        <v>18230</v>
      </c>
    </row>
    <row r="10" spans="2:6" ht="15.75">
      <c r="B10" s="90" t="s">
        <v>553</v>
      </c>
      <c r="C10" s="109" t="s">
        <v>115</v>
      </c>
      <c r="D10" s="92">
        <v>5052</v>
      </c>
      <c r="E10" s="92"/>
      <c r="F10" s="93">
        <f aca="true" t="shared" si="0" ref="F10:F15">+D10+E10</f>
        <v>5052</v>
      </c>
    </row>
    <row r="11" spans="2:6" ht="15.75">
      <c r="B11" s="82" t="s">
        <v>330</v>
      </c>
      <c r="C11" s="107" t="s">
        <v>116</v>
      </c>
      <c r="D11" s="92">
        <v>1332</v>
      </c>
      <c r="E11" s="92"/>
      <c r="F11" s="93">
        <f t="shared" si="0"/>
        <v>1332</v>
      </c>
    </row>
    <row r="12" spans="2:6" ht="15.75">
      <c r="B12" s="82" t="s">
        <v>561</v>
      </c>
      <c r="C12" s="107" t="s">
        <v>117</v>
      </c>
      <c r="D12" s="92">
        <v>720</v>
      </c>
      <c r="E12" s="92"/>
      <c r="F12" s="93">
        <f t="shared" si="0"/>
        <v>720</v>
      </c>
    </row>
    <row r="13" spans="2:6" ht="15.75">
      <c r="B13" s="82" t="s">
        <v>331</v>
      </c>
      <c r="C13" s="107" t="s">
        <v>118</v>
      </c>
      <c r="D13" s="92">
        <v>12749</v>
      </c>
      <c r="E13" s="92"/>
      <c r="F13" s="93">
        <f t="shared" si="0"/>
        <v>12749</v>
      </c>
    </row>
    <row r="14" spans="2:6" ht="15.75">
      <c r="B14" s="82" t="s">
        <v>332</v>
      </c>
      <c r="C14" s="107" t="s">
        <v>119</v>
      </c>
      <c r="D14" s="92">
        <v>294</v>
      </c>
      <c r="E14" s="92"/>
      <c r="F14" s="93">
        <f t="shared" si="0"/>
        <v>294</v>
      </c>
    </row>
    <row r="15" spans="2:6" ht="15.75">
      <c r="B15" s="82" t="s">
        <v>333</v>
      </c>
      <c r="C15" s="107" t="s">
        <v>120</v>
      </c>
      <c r="D15" s="92">
        <v>4299</v>
      </c>
      <c r="E15" s="92"/>
      <c r="F15" s="93">
        <f t="shared" si="0"/>
        <v>4299</v>
      </c>
    </row>
    <row r="16" spans="2:6" ht="15.75">
      <c r="B16" s="90" t="s">
        <v>525</v>
      </c>
      <c r="C16" s="109" t="s">
        <v>121</v>
      </c>
      <c r="D16" s="93">
        <f>SUM(D11:D15)</f>
        <v>19394</v>
      </c>
      <c r="E16" s="93">
        <f>SUM(E11:E15)</f>
        <v>0</v>
      </c>
      <c r="F16" s="93">
        <f>SUM(F11:F15)</f>
        <v>19394</v>
      </c>
    </row>
    <row r="17" spans="2:6" ht="15.75">
      <c r="B17" s="78" t="s">
        <v>398</v>
      </c>
      <c r="C17" s="109" t="s">
        <v>128</v>
      </c>
      <c r="D17" s="92"/>
      <c r="E17" s="92"/>
      <c r="F17" s="93">
        <f aca="true" t="shared" si="1" ref="F17:F30">+D17+E17</f>
        <v>0</v>
      </c>
    </row>
    <row r="18" spans="2:6" ht="15.75">
      <c r="B18" s="88" t="s">
        <v>554</v>
      </c>
      <c r="C18" s="107" t="s">
        <v>129</v>
      </c>
      <c r="D18" s="92"/>
      <c r="E18" s="92"/>
      <c r="F18" s="93">
        <f t="shared" si="1"/>
        <v>0</v>
      </c>
    </row>
    <row r="19" spans="2:6" ht="15.75">
      <c r="B19" s="88" t="s">
        <v>130</v>
      </c>
      <c r="C19" s="107" t="s">
        <v>131</v>
      </c>
      <c r="D19" s="92"/>
      <c r="E19" s="92"/>
      <c r="F19" s="93">
        <f t="shared" si="1"/>
        <v>0</v>
      </c>
    </row>
    <row r="20" spans="2:6" ht="15.75">
      <c r="B20" s="88" t="s">
        <v>803</v>
      </c>
      <c r="C20" s="107" t="s">
        <v>132</v>
      </c>
      <c r="D20" s="92"/>
      <c r="E20" s="92"/>
      <c r="F20" s="93">
        <f t="shared" si="1"/>
        <v>0</v>
      </c>
    </row>
    <row r="21" spans="2:6" ht="15.75">
      <c r="B21" s="88" t="s">
        <v>802</v>
      </c>
      <c r="C21" s="107" t="s">
        <v>133</v>
      </c>
      <c r="D21" s="92"/>
      <c r="E21" s="92"/>
      <c r="F21" s="93">
        <f t="shared" si="1"/>
        <v>0</v>
      </c>
    </row>
    <row r="22" spans="2:6" ht="15.75">
      <c r="B22" s="88" t="s">
        <v>801</v>
      </c>
      <c r="C22" s="107" t="s">
        <v>134</v>
      </c>
      <c r="D22" s="92"/>
      <c r="E22" s="92"/>
      <c r="F22" s="93">
        <f t="shared" si="1"/>
        <v>0</v>
      </c>
    </row>
    <row r="23" spans="2:6" ht="15.75">
      <c r="B23" s="88" t="s">
        <v>804</v>
      </c>
      <c r="C23" s="107" t="s">
        <v>135</v>
      </c>
      <c r="D23" s="92"/>
      <c r="E23" s="92"/>
      <c r="F23" s="93">
        <f t="shared" si="1"/>
        <v>0</v>
      </c>
    </row>
    <row r="24" spans="2:6" ht="15.75">
      <c r="B24" s="88" t="s">
        <v>799</v>
      </c>
      <c r="C24" s="107" t="s">
        <v>136</v>
      </c>
      <c r="D24" s="92"/>
      <c r="E24" s="92"/>
      <c r="F24" s="93">
        <f t="shared" si="1"/>
        <v>0</v>
      </c>
    </row>
    <row r="25" spans="2:6" ht="15.75">
      <c r="B25" s="88" t="s">
        <v>798</v>
      </c>
      <c r="C25" s="107" t="s">
        <v>137</v>
      </c>
      <c r="D25" s="92"/>
      <c r="E25" s="92"/>
      <c r="F25" s="93">
        <f t="shared" si="1"/>
        <v>0</v>
      </c>
    </row>
    <row r="26" spans="2:6" ht="15.75">
      <c r="B26" s="88" t="s">
        <v>138</v>
      </c>
      <c r="C26" s="107" t="s">
        <v>139</v>
      </c>
      <c r="D26" s="92"/>
      <c r="E26" s="92"/>
      <c r="F26" s="93">
        <f t="shared" si="1"/>
        <v>0</v>
      </c>
    </row>
    <row r="27" spans="2:6" ht="15.75">
      <c r="B27" s="87" t="s">
        <v>140</v>
      </c>
      <c r="C27" s="107" t="s">
        <v>141</v>
      </c>
      <c r="D27" s="92"/>
      <c r="E27" s="92"/>
      <c r="F27" s="93">
        <f t="shared" si="1"/>
        <v>0</v>
      </c>
    </row>
    <row r="28" spans="2:6" ht="15.75">
      <c r="B28" s="88" t="s">
        <v>555</v>
      </c>
      <c r="C28" s="107" t="s">
        <v>142</v>
      </c>
      <c r="D28" s="92"/>
      <c r="E28" s="92"/>
      <c r="F28" s="93">
        <f t="shared" si="1"/>
        <v>0</v>
      </c>
    </row>
    <row r="29" spans="2:6" ht="15.75">
      <c r="B29" s="87" t="s">
        <v>790</v>
      </c>
      <c r="C29" s="107" t="s">
        <v>143</v>
      </c>
      <c r="D29" s="92"/>
      <c r="E29" s="92"/>
      <c r="F29" s="93">
        <f t="shared" si="1"/>
        <v>0</v>
      </c>
    </row>
    <row r="30" spans="2:6" ht="15.75">
      <c r="B30" s="87" t="s">
        <v>791</v>
      </c>
      <c r="C30" s="107" t="s">
        <v>143</v>
      </c>
      <c r="D30" s="92"/>
      <c r="E30" s="92"/>
      <c r="F30" s="93">
        <f t="shared" si="1"/>
        <v>0</v>
      </c>
    </row>
    <row r="31" spans="2:6" s="110" customFormat="1" ht="15.75">
      <c r="B31" s="78" t="s">
        <v>524</v>
      </c>
      <c r="C31" s="109" t="s">
        <v>144</v>
      </c>
      <c r="D31" s="93">
        <f>SUM(D18:D30)</f>
        <v>0</v>
      </c>
      <c r="E31" s="93">
        <f>SUM(E18:E30)</f>
        <v>0</v>
      </c>
      <c r="F31" s="93">
        <f>SUM(F18:F30)</f>
        <v>0</v>
      </c>
    </row>
    <row r="32" spans="2:6" ht="15.75">
      <c r="B32" s="111" t="s">
        <v>523</v>
      </c>
      <c r="C32" s="112" t="s">
        <v>673</v>
      </c>
      <c r="D32" s="113">
        <f>+D31+D17+D16+D10+D9</f>
        <v>42676</v>
      </c>
      <c r="E32" s="113">
        <f>+E31+E17+E16+E10+E9</f>
        <v>0</v>
      </c>
      <c r="F32" s="113">
        <f>+F31+F17+F16+F10+F9</f>
        <v>42676</v>
      </c>
    </row>
    <row r="33" spans="2:9" ht="15.75">
      <c r="B33" s="114" t="s">
        <v>145</v>
      </c>
      <c r="C33" s="107" t="s">
        <v>146</v>
      </c>
      <c r="D33" s="92"/>
      <c r="E33" s="92"/>
      <c r="F33" s="93">
        <f aca="true" t="shared" si="2" ref="F33:F39">+D33+E33</f>
        <v>0</v>
      </c>
      <c r="I33" s="115"/>
    </row>
    <row r="34" spans="2:6" ht="15.75">
      <c r="B34" s="114" t="s">
        <v>556</v>
      </c>
      <c r="C34" s="107" t="s">
        <v>147</v>
      </c>
      <c r="D34" s="92"/>
      <c r="E34" s="92"/>
      <c r="F34" s="93">
        <f t="shared" si="2"/>
        <v>0</v>
      </c>
    </row>
    <row r="35" spans="2:6" ht="15.75">
      <c r="B35" s="114" t="s">
        <v>148</v>
      </c>
      <c r="C35" s="107" t="s">
        <v>149</v>
      </c>
      <c r="D35" s="92">
        <v>194</v>
      </c>
      <c r="E35" s="92"/>
      <c r="F35" s="93">
        <f t="shared" si="2"/>
        <v>194</v>
      </c>
    </row>
    <row r="36" spans="2:6" ht="15.75">
      <c r="B36" s="114" t="s">
        <v>150</v>
      </c>
      <c r="C36" s="107" t="s">
        <v>151</v>
      </c>
      <c r="D36" s="92"/>
      <c r="E36" s="92"/>
      <c r="F36" s="93">
        <f t="shared" si="2"/>
        <v>0</v>
      </c>
    </row>
    <row r="37" spans="2:6" ht="15.75">
      <c r="B37" s="81" t="s">
        <v>152</v>
      </c>
      <c r="C37" s="107" t="s">
        <v>153</v>
      </c>
      <c r="D37" s="92"/>
      <c r="E37" s="92"/>
      <c r="F37" s="93">
        <f t="shared" si="2"/>
        <v>0</v>
      </c>
    </row>
    <row r="38" spans="2:6" ht="15.75">
      <c r="B38" s="81" t="s">
        <v>154</v>
      </c>
      <c r="C38" s="107" t="s">
        <v>155</v>
      </c>
      <c r="D38" s="92"/>
      <c r="E38" s="92"/>
      <c r="F38" s="93">
        <f t="shared" si="2"/>
        <v>0</v>
      </c>
    </row>
    <row r="39" spans="2:6" ht="15.75">
      <c r="B39" s="81" t="s">
        <v>156</v>
      </c>
      <c r="C39" s="107" t="s">
        <v>157</v>
      </c>
      <c r="D39" s="92">
        <v>53</v>
      </c>
      <c r="E39" s="92"/>
      <c r="F39" s="93">
        <f t="shared" si="2"/>
        <v>53</v>
      </c>
    </row>
    <row r="40" spans="2:6" s="110" customFormat="1" ht="15.75">
      <c r="B40" s="83" t="s">
        <v>522</v>
      </c>
      <c r="C40" s="109" t="s">
        <v>158</v>
      </c>
      <c r="D40" s="93">
        <f>SUM(D33:D39)</f>
        <v>247</v>
      </c>
      <c r="E40" s="93">
        <f>SUM(E33:E39)</f>
        <v>0</v>
      </c>
      <c r="F40" s="93">
        <f>SUM(F33:F39)</f>
        <v>247</v>
      </c>
    </row>
    <row r="41" spans="2:6" ht="15.75">
      <c r="B41" s="80" t="s">
        <v>159</v>
      </c>
      <c r="C41" s="107" t="s">
        <v>160</v>
      </c>
      <c r="D41" s="92"/>
      <c r="E41" s="92"/>
      <c r="F41" s="93">
        <f>+D41+E41</f>
        <v>0</v>
      </c>
    </row>
    <row r="42" spans="2:6" ht="15.75">
      <c r="B42" s="80" t="s">
        <v>161</v>
      </c>
      <c r="C42" s="107" t="s">
        <v>162</v>
      </c>
      <c r="D42" s="92"/>
      <c r="E42" s="92"/>
      <c r="F42" s="93">
        <f>+D42+E42</f>
        <v>0</v>
      </c>
    </row>
    <row r="43" spans="2:6" ht="15.75">
      <c r="B43" s="80" t="s">
        <v>163</v>
      </c>
      <c r="C43" s="107" t="s">
        <v>164</v>
      </c>
      <c r="D43" s="92"/>
      <c r="E43" s="92"/>
      <c r="F43" s="93">
        <f>+D43+E43</f>
        <v>0</v>
      </c>
    </row>
    <row r="44" spans="2:6" ht="15.75">
      <c r="B44" s="80" t="s">
        <v>165</v>
      </c>
      <c r="C44" s="107" t="s">
        <v>166</v>
      </c>
      <c r="D44" s="92"/>
      <c r="E44" s="92"/>
      <c r="F44" s="93">
        <f>+D44+E44</f>
        <v>0</v>
      </c>
    </row>
    <row r="45" spans="2:6" s="110" customFormat="1" ht="15.75">
      <c r="B45" s="90" t="s">
        <v>521</v>
      </c>
      <c r="C45" s="109" t="s">
        <v>167</v>
      </c>
      <c r="D45" s="93">
        <f>SUM(D41:D44)</f>
        <v>0</v>
      </c>
      <c r="E45" s="93">
        <f>SUM(E41:E44)</f>
        <v>0</v>
      </c>
      <c r="F45" s="93">
        <f>SUM(F41:F44)</f>
        <v>0</v>
      </c>
    </row>
    <row r="46" spans="2:6" ht="15.75">
      <c r="B46" s="80" t="s">
        <v>793</v>
      </c>
      <c r="C46" s="107" t="s">
        <v>168</v>
      </c>
      <c r="D46" s="92"/>
      <c r="E46" s="92"/>
      <c r="F46" s="93">
        <f aca="true" t="shared" si="3" ref="F46:F53">+D46+E46</f>
        <v>0</v>
      </c>
    </row>
    <row r="47" spans="2:6" ht="15.75">
      <c r="B47" s="80" t="s">
        <v>794</v>
      </c>
      <c r="C47" s="107" t="s">
        <v>169</v>
      </c>
      <c r="D47" s="92"/>
      <c r="E47" s="92"/>
      <c r="F47" s="93">
        <f t="shared" si="3"/>
        <v>0</v>
      </c>
    </row>
    <row r="48" spans="2:6" ht="15.75">
      <c r="B48" s="80" t="s">
        <v>795</v>
      </c>
      <c r="C48" s="107" t="s">
        <v>170</v>
      </c>
      <c r="D48" s="92"/>
      <c r="E48" s="92"/>
      <c r="F48" s="93">
        <f t="shared" si="3"/>
        <v>0</v>
      </c>
    </row>
    <row r="49" spans="2:6" ht="15.75">
      <c r="B49" s="80" t="s">
        <v>805</v>
      </c>
      <c r="C49" s="107" t="s">
        <v>171</v>
      </c>
      <c r="D49" s="92"/>
      <c r="E49" s="92"/>
      <c r="F49" s="93">
        <f t="shared" si="3"/>
        <v>0</v>
      </c>
    </row>
    <row r="50" spans="2:6" ht="15.75">
      <c r="B50" s="80" t="s">
        <v>796</v>
      </c>
      <c r="C50" s="107" t="s">
        <v>172</v>
      </c>
      <c r="D50" s="92"/>
      <c r="E50" s="92"/>
      <c r="F50" s="93">
        <f t="shared" si="3"/>
        <v>0</v>
      </c>
    </row>
    <row r="51" spans="2:6" ht="15.75">
      <c r="B51" s="80" t="s">
        <v>797</v>
      </c>
      <c r="C51" s="107" t="s">
        <v>173</v>
      </c>
      <c r="D51" s="92"/>
      <c r="E51" s="92"/>
      <c r="F51" s="93">
        <f t="shared" si="3"/>
        <v>0</v>
      </c>
    </row>
    <row r="52" spans="2:6" ht="15.75">
      <c r="B52" s="80" t="s">
        <v>174</v>
      </c>
      <c r="C52" s="107" t="s">
        <v>175</v>
      </c>
      <c r="D52" s="92"/>
      <c r="E52" s="92"/>
      <c r="F52" s="93">
        <f t="shared" si="3"/>
        <v>0</v>
      </c>
    </row>
    <row r="53" spans="2:6" ht="15.75">
      <c r="B53" s="80" t="s">
        <v>557</v>
      </c>
      <c r="C53" s="107" t="s">
        <v>176</v>
      </c>
      <c r="D53" s="92"/>
      <c r="E53" s="92"/>
      <c r="F53" s="93">
        <f t="shared" si="3"/>
        <v>0</v>
      </c>
    </row>
    <row r="54" spans="2:6" s="110" customFormat="1" ht="15.75">
      <c r="B54" s="78" t="s">
        <v>520</v>
      </c>
      <c r="C54" s="109" t="s">
        <v>177</v>
      </c>
      <c r="D54" s="93">
        <f>SUM(D46:D53)</f>
        <v>0</v>
      </c>
      <c r="E54" s="93">
        <f>SUM(E46:E53)</f>
        <v>0</v>
      </c>
      <c r="F54" s="93">
        <f>SUM(F46:F53)</f>
        <v>0</v>
      </c>
    </row>
    <row r="55" spans="2:6" ht="15.75">
      <c r="B55" s="111" t="s">
        <v>519</v>
      </c>
      <c r="C55" s="112" t="s">
        <v>674</v>
      </c>
      <c r="D55" s="113">
        <f>+D54+D45+D40</f>
        <v>247</v>
      </c>
      <c r="E55" s="113">
        <f>+E54+E45+E40</f>
        <v>0</v>
      </c>
      <c r="F55" s="113">
        <f>+F54+F45+F40</f>
        <v>247</v>
      </c>
    </row>
    <row r="56" spans="2:6" ht="15.75">
      <c r="B56" s="116" t="s">
        <v>518</v>
      </c>
      <c r="C56" s="117" t="s">
        <v>675</v>
      </c>
      <c r="D56" s="118">
        <f>+D54+D45+D40+D31+D17+D16+D10+D9</f>
        <v>42923</v>
      </c>
      <c r="E56" s="118">
        <f>+E54+E45+E40+E31+E17+E16+E10+E9</f>
        <v>0</v>
      </c>
      <c r="F56" s="118">
        <f>+F54+F45+F40+F31+F17+F16+F10+F9</f>
        <v>42923</v>
      </c>
    </row>
    <row r="57" spans="2:25" ht="15.75">
      <c r="B57" s="125" t="s">
        <v>542</v>
      </c>
      <c r="C57" s="90" t="s">
        <v>204</v>
      </c>
      <c r="D57" s="188"/>
      <c r="E57" s="188"/>
      <c r="F57" s="93">
        <f>+D57+E57</f>
        <v>0</v>
      </c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0"/>
      <c r="Y57" s="120"/>
    </row>
    <row r="58" spans="2:25" ht="15.75">
      <c r="B58" s="125" t="s">
        <v>547</v>
      </c>
      <c r="C58" s="90" t="s">
        <v>214</v>
      </c>
      <c r="D58" s="188"/>
      <c r="E58" s="188"/>
      <c r="F58" s="93">
        <f>+D58+E58</f>
        <v>0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0"/>
      <c r="Y58" s="120"/>
    </row>
    <row r="59" spans="2:25" ht="15.75">
      <c r="B59" s="80" t="s">
        <v>215</v>
      </c>
      <c r="C59" s="82" t="s">
        <v>216</v>
      </c>
      <c r="D59" s="188"/>
      <c r="E59" s="188"/>
      <c r="F59" s="93">
        <f>+D59+E59</f>
        <v>0</v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20"/>
      <c r="Y59" s="120"/>
    </row>
    <row r="60" spans="2:25" ht="15.75">
      <c r="B60" s="128" t="s">
        <v>517</v>
      </c>
      <c r="C60" s="129" t="s">
        <v>217</v>
      </c>
      <c r="D60" s="130">
        <f>+D59+D58+D57</f>
        <v>0</v>
      </c>
      <c r="E60" s="130">
        <f>+E59+E58+E57</f>
        <v>0</v>
      </c>
      <c r="F60" s="130">
        <f>+F59+F58+F57</f>
        <v>0</v>
      </c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0"/>
      <c r="Y60" s="120"/>
    </row>
    <row r="61" spans="2:25" ht="15.75">
      <c r="B61" s="75" t="s">
        <v>771</v>
      </c>
      <c r="C61" s="75" t="s">
        <v>671</v>
      </c>
      <c r="D61" s="131">
        <f>+D56+D60</f>
        <v>42923</v>
      </c>
      <c r="E61" s="131">
        <f>+E56+E60</f>
        <v>0</v>
      </c>
      <c r="F61" s="131">
        <f>+F56+F60</f>
        <v>42923</v>
      </c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</row>
    <row r="62" spans="2:25" ht="15.75">
      <c r="B62" s="4"/>
      <c r="C62" s="132"/>
      <c r="D62" s="133"/>
      <c r="E62" s="133"/>
      <c r="F62" s="134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</row>
    <row r="63" spans="2:25" ht="15.75">
      <c r="B63" s="4"/>
      <c r="C63" s="132"/>
      <c r="D63" s="133"/>
      <c r="E63" s="133"/>
      <c r="F63" s="134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</row>
    <row r="64" spans="2:25" ht="31.5">
      <c r="B64" s="72" t="s">
        <v>76</v>
      </c>
      <c r="C64" s="79" t="s">
        <v>31</v>
      </c>
      <c r="D64" s="135" t="s">
        <v>769</v>
      </c>
      <c r="E64" s="135" t="s">
        <v>770</v>
      </c>
      <c r="F64" s="136" t="s">
        <v>28</v>
      </c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</row>
    <row r="65" spans="2:25" ht="15.75">
      <c r="B65" s="90" t="s">
        <v>620</v>
      </c>
      <c r="C65" s="83" t="s">
        <v>230</v>
      </c>
      <c r="D65" s="93"/>
      <c r="E65" s="93"/>
      <c r="F65" s="93">
        <f aca="true" t="shared" si="4" ref="F65:F70">+E65+D65</f>
        <v>0</v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</row>
    <row r="66" spans="2:25" ht="15.75">
      <c r="B66" s="82" t="s">
        <v>231</v>
      </c>
      <c r="C66" s="81" t="s">
        <v>232</v>
      </c>
      <c r="D66" s="93"/>
      <c r="E66" s="93"/>
      <c r="F66" s="93">
        <f t="shared" si="4"/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</row>
    <row r="67" spans="2:25" ht="15.75">
      <c r="B67" s="82" t="s">
        <v>768</v>
      </c>
      <c r="C67" s="81" t="s">
        <v>233</v>
      </c>
      <c r="D67" s="93"/>
      <c r="E67" s="93"/>
      <c r="F67" s="93">
        <f t="shared" si="4"/>
        <v>0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</row>
    <row r="68" spans="2:25" ht="15.75">
      <c r="B68" s="82" t="s">
        <v>766</v>
      </c>
      <c r="C68" s="81" t="s">
        <v>234</v>
      </c>
      <c r="D68" s="93"/>
      <c r="E68" s="93"/>
      <c r="F68" s="93">
        <f t="shared" si="4"/>
        <v>0</v>
      </c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</row>
    <row r="69" spans="2:25" ht="15.75">
      <c r="B69" s="82" t="s">
        <v>767</v>
      </c>
      <c r="C69" s="81" t="s">
        <v>235</v>
      </c>
      <c r="D69" s="93"/>
      <c r="E69" s="93"/>
      <c r="F69" s="93">
        <f t="shared" si="4"/>
        <v>0</v>
      </c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</row>
    <row r="70" spans="2:25" ht="15.75">
      <c r="B70" s="82" t="s">
        <v>572</v>
      </c>
      <c r="C70" s="81" t="s">
        <v>236</v>
      </c>
      <c r="D70" s="92"/>
      <c r="E70" s="92"/>
      <c r="F70" s="93">
        <f t="shared" si="4"/>
        <v>0</v>
      </c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</row>
    <row r="71" spans="2:25" ht="15.75">
      <c r="B71" s="90" t="s">
        <v>527</v>
      </c>
      <c r="C71" s="83" t="s">
        <v>237</v>
      </c>
      <c r="D71" s="93">
        <f>+D70+D69+D68+D67+D66+D65</f>
        <v>0</v>
      </c>
      <c r="E71" s="93">
        <f>+E70+E69+E68+E67+E66+E65</f>
        <v>0</v>
      </c>
      <c r="F71" s="93">
        <f>+F70+F69+F68+F67+F66+F65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</row>
    <row r="72" spans="2:25" ht="15.75">
      <c r="B72" s="90" t="s">
        <v>622</v>
      </c>
      <c r="C72" s="83" t="s">
        <v>242</v>
      </c>
      <c r="D72" s="92"/>
      <c r="E72" s="92"/>
      <c r="F72" s="93">
        <f aca="true" t="shared" si="5" ref="F72:F78">+E72+D72</f>
        <v>0</v>
      </c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</row>
    <row r="73" spans="2:25" ht="15.75">
      <c r="B73" s="82" t="s">
        <v>623</v>
      </c>
      <c r="C73" s="81" t="s">
        <v>243</v>
      </c>
      <c r="D73" s="92"/>
      <c r="E73" s="92"/>
      <c r="F73" s="93">
        <f t="shared" si="5"/>
        <v>0</v>
      </c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</row>
    <row r="74" spans="2:25" ht="15.75">
      <c r="B74" s="82" t="s">
        <v>573</v>
      </c>
      <c r="C74" s="81" t="s">
        <v>244</v>
      </c>
      <c r="D74" s="92"/>
      <c r="E74" s="92"/>
      <c r="F74" s="93">
        <f t="shared" si="5"/>
        <v>0</v>
      </c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</row>
    <row r="75" spans="2:25" ht="15.75">
      <c r="B75" s="82" t="s">
        <v>574</v>
      </c>
      <c r="C75" s="81" t="s">
        <v>245</v>
      </c>
      <c r="D75" s="92"/>
      <c r="E75" s="92"/>
      <c r="F75" s="93">
        <f t="shared" si="5"/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</row>
    <row r="76" spans="2:25" ht="15.75">
      <c r="B76" s="82" t="s">
        <v>575</v>
      </c>
      <c r="C76" s="81" t="s">
        <v>246</v>
      </c>
      <c r="D76" s="92"/>
      <c r="E76" s="92"/>
      <c r="F76" s="93">
        <f t="shared" si="5"/>
        <v>0</v>
      </c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2:25" ht="15.75">
      <c r="B77" s="82" t="s">
        <v>624</v>
      </c>
      <c r="C77" s="81" t="s">
        <v>258</v>
      </c>
      <c r="D77" s="92"/>
      <c r="E77" s="92"/>
      <c r="F77" s="93">
        <f t="shared" si="5"/>
        <v>0</v>
      </c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2:25" ht="15.75">
      <c r="B78" s="82" t="s">
        <v>578</v>
      </c>
      <c r="C78" s="81" t="s">
        <v>259</v>
      </c>
      <c r="D78" s="92"/>
      <c r="E78" s="92"/>
      <c r="F78" s="93">
        <f t="shared" si="5"/>
        <v>0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2:25" ht="15.75">
      <c r="B79" s="90" t="s">
        <v>434</v>
      </c>
      <c r="C79" s="83" t="s">
        <v>260</v>
      </c>
      <c r="D79" s="93">
        <f>SUM(D73:D78)</f>
        <v>0</v>
      </c>
      <c r="E79" s="93">
        <f>SUM(E73:E78)</f>
        <v>0</v>
      </c>
      <c r="F79" s="93">
        <f>SUM(F73:F78)</f>
        <v>0</v>
      </c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2:25" ht="15.75">
      <c r="B80" s="80" t="s">
        <v>261</v>
      </c>
      <c r="C80" s="81" t="s">
        <v>262</v>
      </c>
      <c r="D80" s="92"/>
      <c r="E80" s="92"/>
      <c r="F80" s="93">
        <f aca="true" t="shared" si="6" ref="F80:F89">+E80+D80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2:25" ht="15.75">
      <c r="B81" s="80" t="s">
        <v>579</v>
      </c>
      <c r="C81" s="81" t="s">
        <v>263</v>
      </c>
      <c r="D81" s="92">
        <v>6264</v>
      </c>
      <c r="E81" s="92"/>
      <c r="F81" s="93">
        <f t="shared" si="6"/>
        <v>6264</v>
      </c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2:25" ht="15.75">
      <c r="B82" s="80" t="s">
        <v>580</v>
      </c>
      <c r="C82" s="81" t="s">
        <v>264</v>
      </c>
      <c r="D82" s="92"/>
      <c r="E82" s="92"/>
      <c r="F82" s="93">
        <f t="shared" si="6"/>
        <v>0</v>
      </c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2:25" ht="15.75">
      <c r="B83" s="80" t="s">
        <v>581</v>
      </c>
      <c r="C83" s="81" t="s">
        <v>265</v>
      </c>
      <c r="D83" s="92"/>
      <c r="E83" s="92"/>
      <c r="F83" s="93">
        <f t="shared" si="6"/>
        <v>0</v>
      </c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2:25" ht="15.75">
      <c r="B84" s="80" t="s">
        <v>266</v>
      </c>
      <c r="C84" s="81" t="s">
        <v>267</v>
      </c>
      <c r="D84" s="92"/>
      <c r="E84" s="92"/>
      <c r="F84" s="93">
        <f t="shared" si="6"/>
        <v>0</v>
      </c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2:25" ht="15.75">
      <c r="B85" s="80" t="s">
        <v>268</v>
      </c>
      <c r="C85" s="81" t="s">
        <v>269</v>
      </c>
      <c r="D85" s="92">
        <v>167</v>
      </c>
      <c r="E85" s="92"/>
      <c r="F85" s="93">
        <f t="shared" si="6"/>
        <v>167</v>
      </c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2:25" ht="15.75">
      <c r="B86" s="80" t="s">
        <v>270</v>
      </c>
      <c r="C86" s="81" t="s">
        <v>271</v>
      </c>
      <c r="D86" s="92"/>
      <c r="E86" s="92"/>
      <c r="F86" s="93">
        <f t="shared" si="6"/>
        <v>0</v>
      </c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</row>
    <row r="87" spans="2:25" ht="15.75">
      <c r="B87" s="80" t="s">
        <v>582</v>
      </c>
      <c r="C87" s="81" t="s">
        <v>272</v>
      </c>
      <c r="D87" s="92"/>
      <c r="E87" s="92"/>
      <c r="F87" s="93">
        <f t="shared" si="6"/>
        <v>0</v>
      </c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</row>
    <row r="88" spans="2:25" ht="15.75">
      <c r="B88" s="80" t="s">
        <v>583</v>
      </c>
      <c r="C88" s="81" t="s">
        <v>273</v>
      </c>
      <c r="D88" s="92"/>
      <c r="E88" s="92"/>
      <c r="F88" s="93">
        <f t="shared" si="6"/>
        <v>0</v>
      </c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</row>
    <row r="89" spans="2:25" ht="15.75">
      <c r="B89" s="80" t="s">
        <v>584</v>
      </c>
      <c r="C89" s="81" t="s">
        <v>274</v>
      </c>
      <c r="D89" s="92"/>
      <c r="E89" s="92"/>
      <c r="F89" s="93">
        <f t="shared" si="6"/>
        <v>0</v>
      </c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</row>
    <row r="90" spans="2:25" ht="15.75">
      <c r="B90" s="78" t="s">
        <v>435</v>
      </c>
      <c r="C90" s="83" t="s">
        <v>275</v>
      </c>
      <c r="D90" s="93">
        <f>SUM(D80:D89)</f>
        <v>6431</v>
      </c>
      <c r="E90" s="93">
        <f>SUM(E80:E89)</f>
        <v>0</v>
      </c>
      <c r="F90" s="93">
        <f>SUM(F80:F89)</f>
        <v>6431</v>
      </c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2:25" ht="15.75">
      <c r="B91" s="80" t="s">
        <v>585</v>
      </c>
      <c r="C91" s="81" t="s">
        <v>276</v>
      </c>
      <c r="D91" s="92"/>
      <c r="E91" s="92"/>
      <c r="F91" s="93">
        <f>+E91+D91</f>
        <v>0</v>
      </c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</row>
    <row r="92" spans="2:25" ht="15.75">
      <c r="B92" s="80" t="s">
        <v>586</v>
      </c>
      <c r="C92" s="81" t="s">
        <v>277</v>
      </c>
      <c r="D92" s="92"/>
      <c r="E92" s="92"/>
      <c r="F92" s="93">
        <f>+E92+D92</f>
        <v>0</v>
      </c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</row>
    <row r="93" spans="2:25" ht="15.75">
      <c r="B93" s="80" t="s">
        <v>278</v>
      </c>
      <c r="C93" s="81" t="s">
        <v>279</v>
      </c>
      <c r="D93" s="92"/>
      <c r="E93" s="92"/>
      <c r="F93" s="93">
        <f>+E93+D93</f>
        <v>0</v>
      </c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</row>
    <row r="94" spans="2:25" ht="15.75">
      <c r="B94" s="80" t="s">
        <v>587</v>
      </c>
      <c r="C94" s="81" t="s">
        <v>280</v>
      </c>
      <c r="D94" s="92"/>
      <c r="E94" s="92"/>
      <c r="F94" s="93">
        <f>+E94+D94</f>
        <v>0</v>
      </c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</row>
    <row r="95" spans="2:25" ht="15.75">
      <c r="B95" s="80" t="s">
        <v>281</v>
      </c>
      <c r="C95" s="81" t="s">
        <v>282</v>
      </c>
      <c r="D95" s="92"/>
      <c r="E95" s="92"/>
      <c r="F95" s="93">
        <f>+E95+D95</f>
        <v>0</v>
      </c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</row>
    <row r="96" spans="2:25" ht="15.75">
      <c r="B96" s="90" t="s">
        <v>693</v>
      </c>
      <c r="C96" s="83" t="s">
        <v>283</v>
      </c>
      <c r="D96" s="93">
        <f>SUM(D91:D95)</f>
        <v>0</v>
      </c>
      <c r="E96" s="93">
        <f>SUM(E91:E95)</f>
        <v>0</v>
      </c>
      <c r="F96" s="93">
        <f>SUM(F91:F95)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</row>
    <row r="97" spans="2:25" ht="15.75">
      <c r="B97" s="90" t="s">
        <v>628</v>
      </c>
      <c r="C97" s="83" t="s">
        <v>286</v>
      </c>
      <c r="D97" s="92"/>
      <c r="E97" s="92"/>
      <c r="F97" s="93">
        <f>+E97+D97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</row>
    <row r="98" spans="2:25" ht="15.75">
      <c r="B98" s="80" t="s">
        <v>808</v>
      </c>
      <c r="C98" s="81" t="s">
        <v>287</v>
      </c>
      <c r="D98" s="92"/>
      <c r="E98" s="92"/>
      <c r="F98" s="93">
        <f>+E98+D98</f>
        <v>0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</row>
    <row r="99" spans="2:25" ht="15.75">
      <c r="B99" s="82" t="s">
        <v>807</v>
      </c>
      <c r="C99" s="81" t="s">
        <v>288</v>
      </c>
      <c r="D99" s="92"/>
      <c r="E99" s="92"/>
      <c r="F99" s="93">
        <f>+E99+D99</f>
        <v>0</v>
      </c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</row>
    <row r="100" spans="2:25" ht="15.75">
      <c r="B100" s="80" t="s">
        <v>612</v>
      </c>
      <c r="C100" s="81" t="s">
        <v>289</v>
      </c>
      <c r="D100" s="92"/>
      <c r="E100" s="92"/>
      <c r="F100" s="93">
        <f>+E100+D100</f>
        <v>0</v>
      </c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</row>
    <row r="101" spans="2:25" ht="15.75">
      <c r="B101" s="90" t="s">
        <v>512</v>
      </c>
      <c r="C101" s="83" t="s">
        <v>290</v>
      </c>
      <c r="D101" s="93">
        <f>SUM(D98:D100)</f>
        <v>0</v>
      </c>
      <c r="E101" s="93">
        <f>SUM(E98:E100)</f>
        <v>0</v>
      </c>
      <c r="F101" s="93">
        <f>SUM(F98:F100)</f>
        <v>0</v>
      </c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</row>
    <row r="102" spans="2:25" ht="15.75">
      <c r="B102" s="137" t="s">
        <v>516</v>
      </c>
      <c r="C102" s="116" t="s">
        <v>672</v>
      </c>
      <c r="D102" s="118">
        <f>+D101+D97+D96+D90+D79+D72+D71</f>
        <v>6431</v>
      </c>
      <c r="E102" s="118">
        <f>+E101+E97+E96+E90+E79+E72+E71</f>
        <v>0</v>
      </c>
      <c r="F102" s="118">
        <f>+F101+F97+F96+F90+F79+F72+F71</f>
        <v>6431</v>
      </c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</row>
    <row r="103" spans="2:25" ht="15.75">
      <c r="B103" s="138" t="s">
        <v>668</v>
      </c>
      <c r="C103" s="139"/>
      <c r="D103" s="140">
        <f>+D97+D90+D79+D71-D32</f>
        <v>-36245</v>
      </c>
      <c r="E103" s="140">
        <f>+E97+E90+E79+E71-E32</f>
        <v>0</v>
      </c>
      <c r="F103" s="140">
        <f aca="true" t="shared" si="7" ref="F103:F110">+E103+D103</f>
        <v>-36245</v>
      </c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</row>
    <row r="104" spans="2:25" ht="15.75">
      <c r="B104" s="138" t="s">
        <v>669</v>
      </c>
      <c r="C104" s="139"/>
      <c r="D104" s="140">
        <f>+D101+D96+D72-D55</f>
        <v>-247</v>
      </c>
      <c r="E104" s="140">
        <f>+E101+E96+E72-E55</f>
        <v>0</v>
      </c>
      <c r="F104" s="140">
        <f t="shared" si="7"/>
        <v>-247</v>
      </c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</row>
    <row r="105" spans="2:6" ht="15.75">
      <c r="B105" s="78" t="s">
        <v>631</v>
      </c>
      <c r="C105" s="90" t="s">
        <v>295</v>
      </c>
      <c r="D105" s="92"/>
      <c r="E105" s="92"/>
      <c r="F105" s="93">
        <f t="shared" si="7"/>
        <v>0</v>
      </c>
    </row>
    <row r="106" spans="2:6" ht="15.75">
      <c r="B106" s="125" t="s">
        <v>632</v>
      </c>
      <c r="C106" s="90" t="s">
        <v>302</v>
      </c>
      <c r="D106" s="92"/>
      <c r="E106" s="92"/>
      <c r="F106" s="93">
        <f t="shared" si="7"/>
        <v>0</v>
      </c>
    </row>
    <row r="107" spans="2:6" ht="15.75">
      <c r="B107" s="82" t="s">
        <v>788</v>
      </c>
      <c r="C107" s="82" t="s">
        <v>303</v>
      </c>
      <c r="D107" s="92"/>
      <c r="E107" s="92"/>
      <c r="F107" s="93">
        <f t="shared" si="7"/>
        <v>0</v>
      </c>
    </row>
    <row r="108" spans="2:6" ht="15.75">
      <c r="B108" s="82" t="s">
        <v>789</v>
      </c>
      <c r="C108" s="82" t="s">
        <v>303</v>
      </c>
      <c r="D108" s="92"/>
      <c r="E108" s="92"/>
      <c r="F108" s="93">
        <f t="shared" si="7"/>
        <v>0</v>
      </c>
    </row>
    <row r="109" spans="2:6" ht="15.75">
      <c r="B109" s="82" t="s">
        <v>786</v>
      </c>
      <c r="C109" s="82" t="s">
        <v>304</v>
      </c>
      <c r="D109" s="92"/>
      <c r="E109" s="92"/>
      <c r="F109" s="93">
        <f t="shared" si="7"/>
        <v>0</v>
      </c>
    </row>
    <row r="110" spans="2:6" ht="15.75">
      <c r="B110" s="82" t="s">
        <v>787</v>
      </c>
      <c r="C110" s="82" t="s">
        <v>304</v>
      </c>
      <c r="D110" s="92"/>
      <c r="E110" s="92"/>
      <c r="F110" s="93">
        <f t="shared" si="7"/>
        <v>0</v>
      </c>
    </row>
    <row r="111" spans="2:6" ht="15.75">
      <c r="B111" s="90" t="s">
        <v>514</v>
      </c>
      <c r="C111" s="90" t="s">
        <v>305</v>
      </c>
      <c r="D111" s="93">
        <f>SUM(D107:D110)</f>
        <v>0</v>
      </c>
      <c r="E111" s="93">
        <f>SUM(E107:E110)</f>
        <v>0</v>
      </c>
      <c r="F111" s="93">
        <f>SUM(F107:F110)</f>
        <v>0</v>
      </c>
    </row>
    <row r="112" spans="2:6" ht="15.75">
      <c r="B112" s="123" t="s">
        <v>306</v>
      </c>
      <c r="C112" s="82" t="s">
        <v>307</v>
      </c>
      <c r="D112" s="92"/>
      <c r="E112" s="92"/>
      <c r="F112" s="93">
        <f aca="true" t="shared" si="8" ref="F112:F118">+E112+D112</f>
        <v>0</v>
      </c>
    </row>
    <row r="113" spans="2:6" ht="15.75">
      <c r="B113" s="123" t="s">
        <v>308</v>
      </c>
      <c r="C113" s="82" t="s">
        <v>309</v>
      </c>
      <c r="D113" s="92"/>
      <c r="E113" s="92"/>
      <c r="F113" s="93">
        <f t="shared" si="8"/>
        <v>0</v>
      </c>
    </row>
    <row r="114" spans="2:6" ht="15.75">
      <c r="B114" s="123" t="s">
        <v>310</v>
      </c>
      <c r="C114" s="82" t="s">
        <v>311</v>
      </c>
      <c r="D114" s="92">
        <f>29946+6546</f>
        <v>36492</v>
      </c>
      <c r="E114" s="92"/>
      <c r="F114" s="93">
        <f t="shared" si="8"/>
        <v>36492</v>
      </c>
    </row>
    <row r="115" spans="2:6" s="208" customFormat="1" ht="15.75">
      <c r="B115" s="204" t="s">
        <v>366</v>
      </c>
      <c r="C115" s="171"/>
      <c r="D115" s="151">
        <v>6546</v>
      </c>
      <c r="E115" s="151"/>
      <c r="F115" s="173">
        <f t="shared" si="8"/>
        <v>6546</v>
      </c>
    </row>
    <row r="116" spans="2:6" s="208" customFormat="1" ht="15.75">
      <c r="B116" s="206" t="s">
        <v>356</v>
      </c>
      <c r="C116" s="171"/>
      <c r="D116" s="151">
        <f>+D114-D115</f>
        <v>29946</v>
      </c>
      <c r="E116" s="151">
        <f>+E114-E115</f>
        <v>0</v>
      </c>
      <c r="F116" s="173">
        <f t="shared" si="8"/>
        <v>29946</v>
      </c>
    </row>
    <row r="117" spans="2:6" ht="15.75">
      <c r="B117" s="123" t="s">
        <v>312</v>
      </c>
      <c r="C117" s="82" t="s">
        <v>313</v>
      </c>
      <c r="D117" s="92"/>
      <c r="E117" s="92"/>
      <c r="F117" s="93">
        <f t="shared" si="8"/>
        <v>0</v>
      </c>
    </row>
    <row r="118" spans="2:6" ht="15.75">
      <c r="B118" s="80" t="s">
        <v>615</v>
      </c>
      <c r="C118" s="82" t="s">
        <v>314</v>
      </c>
      <c r="D118" s="92"/>
      <c r="E118" s="92"/>
      <c r="F118" s="93">
        <f t="shared" si="8"/>
        <v>0</v>
      </c>
    </row>
    <row r="119" spans="2:6" ht="15.75">
      <c r="B119" s="78" t="s">
        <v>428</v>
      </c>
      <c r="C119" s="90" t="s">
        <v>316</v>
      </c>
      <c r="D119" s="93">
        <f>SUM(D112:D118)+D111+D106+D105-D115-D116</f>
        <v>36492</v>
      </c>
      <c r="E119" s="93">
        <f>SUM(E112:E118)+E111+E106+E105-E115-E116</f>
        <v>0</v>
      </c>
      <c r="F119" s="93">
        <f>SUM(F112:F118)+F111+F106+F105-F115-F116</f>
        <v>36492</v>
      </c>
    </row>
    <row r="120" spans="2:6" ht="15.75">
      <c r="B120" s="123" t="s">
        <v>635</v>
      </c>
      <c r="C120" s="82" t="s">
        <v>324</v>
      </c>
      <c r="D120" s="92"/>
      <c r="E120" s="92"/>
      <c r="F120" s="93">
        <f>+E120+D120</f>
        <v>0</v>
      </c>
    </row>
    <row r="121" spans="2:6" ht="15.75">
      <c r="B121" s="80" t="s">
        <v>325</v>
      </c>
      <c r="C121" s="82" t="s">
        <v>326</v>
      </c>
      <c r="D121" s="92"/>
      <c r="E121" s="92"/>
      <c r="F121" s="93">
        <f>+E121+D121</f>
        <v>0</v>
      </c>
    </row>
    <row r="122" spans="2:6" ht="15.75">
      <c r="B122" s="128" t="s">
        <v>515</v>
      </c>
      <c r="C122" s="129" t="s">
        <v>327</v>
      </c>
      <c r="D122" s="118">
        <f>+D121+D120+D119</f>
        <v>36492</v>
      </c>
      <c r="E122" s="118">
        <f>+E121+E120+E119</f>
        <v>0</v>
      </c>
      <c r="F122" s="118">
        <f>+F121+F120+F119</f>
        <v>36492</v>
      </c>
    </row>
    <row r="123" spans="2:6" ht="15.75">
      <c r="B123" s="75" t="s">
        <v>654</v>
      </c>
      <c r="C123" s="75" t="s">
        <v>670</v>
      </c>
      <c r="D123" s="131">
        <f>+D102+D122</f>
        <v>42923</v>
      </c>
      <c r="E123" s="131">
        <f>+E102+E122</f>
        <v>0</v>
      </c>
      <c r="F123" s="131">
        <f>+F102+F122</f>
        <v>42923</v>
      </c>
    </row>
    <row r="124" spans="2:6" ht="15.75">
      <c r="B124" s="4"/>
      <c r="C124" s="4"/>
      <c r="D124" s="141"/>
      <c r="E124" s="141"/>
      <c r="F124" s="142"/>
    </row>
    <row r="125" spans="2:6" ht="15.75">
      <c r="B125" s="74" t="s">
        <v>676</v>
      </c>
      <c r="C125" s="74"/>
      <c r="D125" s="93">
        <f>+D102-D56</f>
        <v>-36492</v>
      </c>
      <c r="E125" s="93">
        <f>+E102-E56</f>
        <v>0</v>
      </c>
      <c r="F125" s="93">
        <f>+F102-F56</f>
        <v>-36492</v>
      </c>
    </row>
    <row r="126" spans="2:6" ht="15.75">
      <c r="B126" s="74" t="s">
        <v>746</v>
      </c>
      <c r="C126" s="74"/>
      <c r="D126" s="93">
        <f>+D122-D60</f>
        <v>36492</v>
      </c>
      <c r="E126" s="93">
        <f>+E122-E60</f>
        <v>0</v>
      </c>
      <c r="F126" s="93">
        <f>+F122-F60</f>
        <v>36492</v>
      </c>
    </row>
    <row r="127" spans="2:6" ht="15.75">
      <c r="B127" s="4"/>
      <c r="C127" s="4"/>
      <c r="D127" s="141"/>
      <c r="E127" s="141"/>
      <c r="F127" s="142"/>
    </row>
    <row r="128" spans="2:6" ht="15.75">
      <c r="B128" s="143" t="s">
        <v>756</v>
      </c>
      <c r="C128" s="4"/>
      <c r="D128" s="141">
        <f>+D123-D61</f>
        <v>0</v>
      </c>
      <c r="E128" s="141">
        <f>+E123-E61</f>
        <v>0</v>
      </c>
      <c r="F128" s="141">
        <f>+F123-F61</f>
        <v>0</v>
      </c>
    </row>
    <row r="129" spans="2:6" ht="15.75">
      <c r="B129" s="4"/>
      <c r="C129" s="4"/>
      <c r="D129" s="141"/>
      <c r="E129" s="141"/>
      <c r="F129" s="142"/>
    </row>
    <row r="130" spans="2:6" ht="15.75">
      <c r="B130" s="4"/>
      <c r="C130" s="4"/>
      <c r="D130" s="141"/>
      <c r="E130" s="141"/>
      <c r="F130" s="142"/>
    </row>
    <row r="131" spans="2:6" ht="15.75">
      <c r="B131" s="4"/>
      <c r="C131" s="4"/>
      <c r="D131" s="141"/>
      <c r="E131" s="141"/>
      <c r="F131" s="142"/>
    </row>
    <row r="132" spans="2:6" ht="15.75">
      <c r="B132" s="4"/>
      <c r="C132" s="4"/>
      <c r="D132" s="141"/>
      <c r="E132" s="141"/>
      <c r="F132" s="142"/>
    </row>
    <row r="133" spans="2:6" ht="15.75">
      <c r="B133" s="4"/>
      <c r="C133" s="4"/>
      <c r="D133" s="141"/>
      <c r="E133" s="141"/>
      <c r="F133" s="142"/>
    </row>
    <row r="134" spans="2:6" ht="15.75">
      <c r="B134" s="4"/>
      <c r="C134" s="4"/>
      <c r="D134" s="141"/>
      <c r="E134" s="141"/>
      <c r="F134" s="142"/>
    </row>
    <row r="135" spans="2:6" ht="15.75">
      <c r="B135" s="4"/>
      <c r="C135" s="4"/>
      <c r="D135" s="141"/>
      <c r="E135" s="141"/>
      <c r="F135" s="142"/>
    </row>
    <row r="136" spans="2:6" ht="15.75">
      <c r="B136" s="4"/>
      <c r="C136" s="4"/>
      <c r="D136" s="141"/>
      <c r="E136" s="141"/>
      <c r="F136" s="142"/>
    </row>
    <row r="137" spans="2:6" ht="15.75">
      <c r="B137" s="4"/>
      <c r="C137" s="4"/>
      <c r="D137" s="141"/>
      <c r="E137" s="141"/>
      <c r="F137" s="142"/>
    </row>
    <row r="138" spans="2:6" ht="15.75">
      <c r="B138" s="4"/>
      <c r="C138" s="4"/>
      <c r="D138" s="141"/>
      <c r="E138" s="141"/>
      <c r="F138" s="142"/>
    </row>
    <row r="139" spans="2:6" ht="15.75">
      <c r="B139" s="4"/>
      <c r="C139" s="4"/>
      <c r="D139" s="141"/>
      <c r="E139" s="141"/>
      <c r="F139" s="142"/>
    </row>
    <row r="140" spans="2:6" ht="15.75">
      <c r="B140" s="4"/>
      <c r="C140" s="4"/>
      <c r="D140" s="141"/>
      <c r="E140" s="141"/>
      <c r="F140" s="142"/>
    </row>
    <row r="141" spans="2:6" ht="15.75">
      <c r="B141" s="4"/>
      <c r="C141" s="4"/>
      <c r="D141" s="141"/>
      <c r="E141" s="141"/>
      <c r="F141" s="142"/>
    </row>
    <row r="142" spans="2:6" ht="15.75">
      <c r="B142" s="4"/>
      <c r="C142" s="4"/>
      <c r="D142" s="141"/>
      <c r="E142" s="141"/>
      <c r="F142" s="142"/>
    </row>
    <row r="143" spans="2:6" ht="15.75">
      <c r="B143" s="4"/>
      <c r="C143" s="4"/>
      <c r="D143" s="141"/>
      <c r="E143" s="141"/>
      <c r="F143" s="142"/>
    </row>
    <row r="144" spans="2:6" ht="15.75">
      <c r="B144" s="4"/>
      <c r="C144" s="4"/>
      <c r="D144" s="141"/>
      <c r="E144" s="141"/>
      <c r="F144" s="142"/>
    </row>
    <row r="145" spans="2:6" ht="15.75">
      <c r="B145" s="4"/>
      <c r="C145" s="4"/>
      <c r="D145" s="141"/>
      <c r="E145" s="141"/>
      <c r="F145" s="142"/>
    </row>
    <row r="146" spans="2:6" ht="15.75">
      <c r="B146" s="4"/>
      <c r="C146" s="4"/>
      <c r="D146" s="141"/>
      <c r="E146" s="141"/>
      <c r="F146" s="142"/>
    </row>
    <row r="147" spans="2:6" ht="15.75">
      <c r="B147" s="4"/>
      <c r="C147" s="4"/>
      <c r="D147" s="141"/>
      <c r="E147" s="141"/>
      <c r="F147" s="142"/>
    </row>
    <row r="148" spans="2:6" ht="15.75">
      <c r="B148" s="4"/>
      <c r="C148" s="4"/>
      <c r="D148" s="141"/>
      <c r="E148" s="141"/>
      <c r="F148" s="142"/>
    </row>
    <row r="149" spans="2:6" ht="15.75">
      <c r="B149" s="4"/>
      <c r="C149" s="4"/>
      <c r="D149" s="141"/>
      <c r="E149" s="141"/>
      <c r="F149" s="142"/>
    </row>
    <row r="150" spans="2:6" ht="15.75">
      <c r="B150" s="4"/>
      <c r="C150" s="4"/>
      <c r="D150" s="141"/>
      <c r="E150" s="141"/>
      <c r="F150" s="142"/>
    </row>
    <row r="151" spans="2:6" ht="15.75">
      <c r="B151" s="4"/>
      <c r="C151" s="4"/>
      <c r="D151" s="141"/>
      <c r="E151" s="141"/>
      <c r="F151" s="142"/>
    </row>
    <row r="152" spans="2:6" ht="15.75">
      <c r="B152" s="4"/>
      <c r="C152" s="4"/>
      <c r="D152" s="141"/>
      <c r="E152" s="141"/>
      <c r="F152" s="142"/>
    </row>
    <row r="153" spans="2:6" ht="15.75">
      <c r="B153" s="4"/>
      <c r="C153" s="4"/>
      <c r="D153" s="141"/>
      <c r="E153" s="141"/>
      <c r="F153" s="142"/>
    </row>
    <row r="154" spans="2:6" ht="15.75">
      <c r="B154" s="4"/>
      <c r="C154" s="4"/>
      <c r="D154" s="141"/>
      <c r="E154" s="141"/>
      <c r="F154" s="142"/>
    </row>
    <row r="155" spans="2:6" ht="15.75">
      <c r="B155" s="4"/>
      <c r="C155" s="4"/>
      <c r="D155" s="141"/>
      <c r="E155" s="141"/>
      <c r="F155" s="142"/>
    </row>
    <row r="156" spans="2:6" ht="15.75">
      <c r="B156" s="4"/>
      <c r="C156" s="4"/>
      <c r="D156" s="141"/>
      <c r="E156" s="141"/>
      <c r="F156" s="142"/>
    </row>
    <row r="157" spans="2:6" ht="15.75">
      <c r="B157" s="4"/>
      <c r="C157" s="4"/>
      <c r="D157" s="141"/>
      <c r="E157" s="141"/>
      <c r="F157" s="142"/>
    </row>
    <row r="158" spans="2:6" ht="15.75">
      <c r="B158" s="4"/>
      <c r="C158" s="4"/>
      <c r="D158" s="141"/>
      <c r="E158" s="141"/>
      <c r="F158" s="142"/>
    </row>
    <row r="159" spans="2:6" ht="15.75">
      <c r="B159" s="4"/>
      <c r="C159" s="4"/>
      <c r="D159" s="141"/>
      <c r="E159" s="141"/>
      <c r="F159" s="142"/>
    </row>
    <row r="160" spans="2:6" ht="15.75">
      <c r="B160" s="4"/>
      <c r="C160" s="4"/>
      <c r="D160" s="141"/>
      <c r="E160" s="141"/>
      <c r="F160" s="142"/>
    </row>
    <row r="161" spans="2:6" ht="15.75">
      <c r="B161" s="4"/>
      <c r="C161" s="4"/>
      <c r="D161" s="141"/>
      <c r="E161" s="141"/>
      <c r="F161" s="142"/>
    </row>
    <row r="162" spans="2:6" ht="15.75">
      <c r="B162" s="4"/>
      <c r="C162" s="4"/>
      <c r="D162" s="141"/>
      <c r="E162" s="141"/>
      <c r="F162" s="142"/>
    </row>
    <row r="163" spans="2:6" ht="15.75">
      <c r="B163" s="4"/>
      <c r="C163" s="4"/>
      <c r="D163" s="141"/>
      <c r="E163" s="141"/>
      <c r="F163" s="142"/>
    </row>
    <row r="164" spans="2:6" ht="15.75">
      <c r="B164" s="4"/>
      <c r="C164" s="4"/>
      <c r="D164" s="141"/>
      <c r="E164" s="141"/>
      <c r="F164" s="142"/>
    </row>
    <row r="165" spans="2:6" ht="15.75">
      <c r="B165" s="4"/>
      <c r="C165" s="4"/>
      <c r="D165" s="141"/>
      <c r="E165" s="141"/>
      <c r="F165" s="142"/>
    </row>
    <row r="166" spans="2:6" ht="15.75">
      <c r="B166" s="4"/>
      <c r="C166" s="4"/>
      <c r="D166" s="141"/>
      <c r="E166" s="141"/>
      <c r="F166" s="142"/>
    </row>
    <row r="167" spans="2:6" ht="15.75">
      <c r="B167" s="4"/>
      <c r="C167" s="4"/>
      <c r="D167" s="141"/>
      <c r="E167" s="141"/>
      <c r="F167" s="142"/>
    </row>
    <row r="168" spans="2:6" ht="15.75">
      <c r="B168" s="4"/>
      <c r="C168" s="4"/>
      <c r="D168" s="141"/>
      <c r="E168" s="141"/>
      <c r="F168" s="142"/>
    </row>
    <row r="169" spans="2:6" ht="15.75">
      <c r="B169" s="4"/>
      <c r="C169" s="4"/>
      <c r="D169" s="141"/>
      <c r="E169" s="141"/>
      <c r="F169" s="142"/>
    </row>
    <row r="170" spans="2:6" ht="15.75">
      <c r="B170" s="4"/>
      <c r="C170" s="4"/>
      <c r="D170" s="141"/>
      <c r="E170" s="141"/>
      <c r="F170" s="142"/>
    </row>
    <row r="171" spans="2:6" ht="15.75">
      <c r="B171" s="4"/>
      <c r="C171" s="4"/>
      <c r="D171" s="141"/>
      <c r="E171" s="141"/>
      <c r="F171" s="142"/>
    </row>
    <row r="172" spans="2:6" ht="15.75">
      <c r="B172" s="4"/>
      <c r="C172" s="4"/>
      <c r="D172" s="141"/>
      <c r="E172" s="141"/>
      <c r="F172" s="142"/>
    </row>
    <row r="173" spans="2:6" ht="15.75">
      <c r="B173" s="4"/>
      <c r="C173" s="4"/>
      <c r="D173" s="141"/>
      <c r="E173" s="141"/>
      <c r="F173" s="142"/>
    </row>
    <row r="174" spans="2:6" ht="15.75">
      <c r="B174" s="4"/>
      <c r="C174" s="4"/>
      <c r="D174" s="141"/>
      <c r="E174" s="141"/>
      <c r="F174" s="142"/>
    </row>
    <row r="175" spans="2:6" ht="15.75">
      <c r="B175" s="4"/>
      <c r="C175" s="4"/>
      <c r="D175" s="141"/>
      <c r="E175" s="141"/>
      <c r="F175" s="142"/>
    </row>
    <row r="176" spans="2:6" ht="15.75">
      <c r="B176" s="4"/>
      <c r="C176" s="4"/>
      <c r="D176" s="141"/>
      <c r="E176" s="141"/>
      <c r="F176" s="142"/>
    </row>
    <row r="177" spans="2:6" ht="15.75">
      <c r="B177" s="4"/>
      <c r="C177" s="4"/>
      <c r="D177" s="141"/>
      <c r="E177" s="141"/>
      <c r="F177" s="142"/>
    </row>
    <row r="178" spans="2:6" ht="15.75">
      <c r="B178" s="4"/>
      <c r="C178" s="4"/>
      <c r="D178" s="141"/>
      <c r="E178" s="141"/>
      <c r="F178" s="142"/>
    </row>
    <row r="179" spans="2:6" ht="15.75">
      <c r="B179" s="4"/>
      <c r="C179" s="4"/>
      <c r="D179" s="141"/>
      <c r="E179" s="141"/>
      <c r="F179" s="142"/>
    </row>
    <row r="180" spans="2:6" ht="15.75">
      <c r="B180" s="4"/>
      <c r="C180" s="4"/>
      <c r="D180" s="141"/>
      <c r="E180" s="141"/>
      <c r="F180" s="142"/>
    </row>
    <row r="181" spans="2:6" ht="15.75">
      <c r="B181" s="4"/>
      <c r="C181" s="4"/>
      <c r="D181" s="141"/>
      <c r="E181" s="141"/>
      <c r="F181" s="142"/>
    </row>
    <row r="182" spans="2:6" ht="15.75">
      <c r="B182" s="4"/>
      <c r="C182" s="4"/>
      <c r="D182" s="141"/>
      <c r="E182" s="141"/>
      <c r="F182" s="142"/>
    </row>
    <row r="183" spans="2:6" ht="15.75">
      <c r="B183" s="4"/>
      <c r="C183" s="4"/>
      <c r="D183" s="141"/>
      <c r="E183" s="141"/>
      <c r="F183" s="142"/>
    </row>
    <row r="184" spans="2:6" ht="15.75">
      <c r="B184" s="4"/>
      <c r="C184" s="4"/>
      <c r="D184" s="141"/>
      <c r="E184" s="141"/>
      <c r="F184" s="142"/>
    </row>
    <row r="185" spans="2:6" ht="15.75">
      <c r="B185" s="4"/>
      <c r="C185" s="4"/>
      <c r="D185" s="141"/>
      <c r="E185" s="141"/>
      <c r="F185" s="142"/>
    </row>
    <row r="186" spans="2:6" ht="15.75">
      <c r="B186" s="4"/>
      <c r="C186" s="4"/>
      <c r="D186" s="141"/>
      <c r="E186" s="141"/>
      <c r="F186" s="142"/>
    </row>
    <row r="187" spans="2:6" ht="15.75">
      <c r="B187" s="4"/>
      <c r="C187" s="4"/>
      <c r="D187" s="4"/>
      <c r="E187" s="4"/>
      <c r="F187" s="3"/>
    </row>
    <row r="188" spans="2:6" ht="15.75">
      <c r="B188" s="4"/>
      <c r="C188" s="4"/>
      <c r="D188" s="4"/>
      <c r="E188" s="4"/>
      <c r="F188" s="3"/>
    </row>
    <row r="189" spans="2:6" ht="15.75">
      <c r="B189" s="4"/>
      <c r="C189" s="4"/>
      <c r="D189" s="4"/>
      <c r="E189" s="4"/>
      <c r="F189" s="3"/>
    </row>
    <row r="190" spans="2:6" ht="15.75">
      <c r="B190" s="4"/>
      <c r="C190" s="4"/>
      <c r="D190" s="4"/>
      <c r="E190" s="4"/>
      <c r="F190" s="3"/>
    </row>
    <row r="191" spans="2:6" ht="15.75">
      <c r="B191" s="4"/>
      <c r="C191" s="4"/>
      <c r="D191" s="4"/>
      <c r="E191" s="4"/>
      <c r="F191" s="3"/>
    </row>
    <row r="192" spans="2:6" ht="15.75">
      <c r="B192" s="4"/>
      <c r="C192" s="4"/>
      <c r="D192" s="4"/>
      <c r="E192" s="4"/>
      <c r="F192" s="3"/>
    </row>
    <row r="193" spans="2:6" ht="15.75">
      <c r="B193" s="4"/>
      <c r="C193" s="4"/>
      <c r="D193" s="4"/>
      <c r="E193" s="4"/>
      <c r="F193" s="3"/>
    </row>
    <row r="194" spans="2:6" ht="15.75">
      <c r="B194" s="4"/>
      <c r="C194" s="4"/>
      <c r="D194" s="4"/>
      <c r="E194" s="4"/>
      <c r="F194" s="3"/>
    </row>
    <row r="195" spans="2:6" ht="15.75">
      <c r="B195" s="4"/>
      <c r="C195" s="4"/>
      <c r="D195" s="4"/>
      <c r="E195" s="4"/>
      <c r="F195" s="3"/>
    </row>
    <row r="196" spans="2:6" ht="15.75">
      <c r="B196" s="4"/>
      <c r="C196" s="4"/>
      <c r="D196" s="4"/>
      <c r="E196" s="4"/>
      <c r="F196" s="3"/>
    </row>
    <row r="197" spans="2:6" ht="15.75">
      <c r="B197" s="4"/>
      <c r="C197" s="4"/>
      <c r="D197" s="4"/>
      <c r="E197" s="4"/>
      <c r="F197" s="3"/>
    </row>
    <row r="198" spans="2:6" ht="15.75">
      <c r="B198" s="4"/>
      <c r="C198" s="4"/>
      <c r="D198" s="4"/>
      <c r="E198" s="4"/>
      <c r="F198" s="3"/>
    </row>
    <row r="199" spans="2:6" ht="15.75">
      <c r="B199" s="4"/>
      <c r="C199" s="4"/>
      <c r="D199" s="4"/>
      <c r="E199" s="4"/>
      <c r="F199" s="3"/>
    </row>
    <row r="200" spans="2:6" ht="15.75">
      <c r="B200" s="4"/>
      <c r="C200" s="4"/>
      <c r="D200" s="4"/>
      <c r="E200" s="4"/>
      <c r="F200" s="3"/>
    </row>
    <row r="201" spans="2:6" ht="15.75">
      <c r="B201" s="4"/>
      <c r="C201" s="4"/>
      <c r="D201" s="4"/>
      <c r="E201" s="4"/>
      <c r="F201" s="3"/>
    </row>
    <row r="202" spans="2:6" ht="15.75">
      <c r="B202" s="4"/>
      <c r="C202" s="4"/>
      <c r="D202" s="4"/>
      <c r="E202" s="4"/>
      <c r="F202" s="3"/>
    </row>
    <row r="203" spans="2:6" ht="15.75">
      <c r="B203" s="4"/>
      <c r="C203" s="4"/>
      <c r="D203" s="4"/>
      <c r="E203" s="4"/>
      <c r="F203" s="3"/>
    </row>
    <row r="204" spans="2:6" ht="15.75">
      <c r="B204" s="4"/>
      <c r="C204" s="4"/>
      <c r="D204" s="4"/>
      <c r="E204" s="4"/>
      <c r="F204" s="3"/>
    </row>
    <row r="205" spans="2:6" ht="15.75">
      <c r="B205" s="4"/>
      <c r="C205" s="4"/>
      <c r="D205" s="4"/>
      <c r="E205" s="4"/>
      <c r="F205" s="3"/>
    </row>
    <row r="206" spans="2:6" ht="15.75">
      <c r="B206" s="4"/>
      <c r="C206" s="4"/>
      <c r="D206" s="4"/>
      <c r="E206" s="4"/>
      <c r="F206" s="3"/>
    </row>
    <row r="207" spans="2:6" ht="15.75">
      <c r="B207" s="4"/>
      <c r="C207" s="4"/>
      <c r="D207" s="4"/>
      <c r="E207" s="4"/>
      <c r="F207" s="3"/>
    </row>
    <row r="208" spans="2:6" ht="15.75">
      <c r="B208" s="4"/>
      <c r="C208" s="4"/>
      <c r="D208" s="4"/>
      <c r="E208" s="4"/>
      <c r="F208" s="3"/>
    </row>
    <row r="209" spans="2:6" ht="15.75">
      <c r="B209" s="4"/>
      <c r="C209" s="4"/>
      <c r="D209" s="4"/>
      <c r="E209" s="4"/>
      <c r="F209" s="3"/>
    </row>
    <row r="210" spans="2:6" ht="15.75">
      <c r="B210" s="4"/>
      <c r="C210" s="4"/>
      <c r="D210" s="4"/>
      <c r="E210" s="4"/>
      <c r="F210" s="3"/>
    </row>
    <row r="211" spans="2:6" ht="15.75">
      <c r="B211" s="4"/>
      <c r="C211" s="4"/>
      <c r="D211" s="4"/>
      <c r="E211" s="4"/>
      <c r="F211" s="3"/>
    </row>
    <row r="212" spans="2:6" ht="15.75">
      <c r="B212" s="4"/>
      <c r="C212" s="4"/>
      <c r="D212" s="4"/>
      <c r="E212" s="4"/>
      <c r="F212" s="3"/>
    </row>
    <row r="213" spans="2:6" ht="15.75">
      <c r="B213" s="4"/>
      <c r="C213" s="4"/>
      <c r="D213" s="4"/>
      <c r="E213" s="4"/>
      <c r="F213" s="3"/>
    </row>
    <row r="214" spans="2:6" ht="15.75">
      <c r="B214" s="4"/>
      <c r="C214" s="4"/>
      <c r="D214" s="4"/>
      <c r="E214" s="4"/>
      <c r="F214" s="3"/>
    </row>
    <row r="215" spans="2:6" ht="15.75">
      <c r="B215" s="4"/>
      <c r="C215" s="4"/>
      <c r="D215" s="4"/>
      <c r="E215" s="4"/>
      <c r="F215" s="3"/>
    </row>
    <row r="216" spans="2:6" ht="15.75">
      <c r="B216" s="4"/>
      <c r="C216" s="4"/>
      <c r="D216" s="4"/>
      <c r="E216" s="4"/>
      <c r="F216" s="3"/>
    </row>
    <row r="217" spans="2:6" ht="15.75">
      <c r="B217" s="4"/>
      <c r="C217" s="4"/>
      <c r="D217" s="4"/>
      <c r="E217" s="4"/>
      <c r="F217" s="3"/>
    </row>
    <row r="218" spans="2:6" ht="15.75">
      <c r="B218" s="4"/>
      <c r="C218" s="4"/>
      <c r="D218" s="4"/>
      <c r="E218" s="4"/>
      <c r="F218" s="3"/>
    </row>
    <row r="219" spans="2:6" ht="15.75">
      <c r="B219" s="4"/>
      <c r="C219" s="4"/>
      <c r="D219" s="4"/>
      <c r="E219" s="4"/>
      <c r="F219" s="3"/>
    </row>
    <row r="220" spans="2:6" ht="15.75">
      <c r="B220" s="4"/>
      <c r="C220" s="4"/>
      <c r="D220" s="4"/>
      <c r="E220" s="4"/>
      <c r="F220" s="3"/>
    </row>
    <row r="221" spans="2:6" ht="15.75">
      <c r="B221" s="4"/>
      <c r="C221" s="4"/>
      <c r="D221" s="4"/>
      <c r="E221" s="4"/>
      <c r="F221" s="3"/>
    </row>
    <row r="222" spans="2:6" ht="15.75">
      <c r="B222" s="4"/>
      <c r="C222" s="4"/>
      <c r="D222" s="4"/>
      <c r="E222" s="4"/>
      <c r="F222" s="3"/>
    </row>
    <row r="223" spans="2:6" ht="15.75">
      <c r="B223" s="4"/>
      <c r="C223" s="4"/>
      <c r="D223" s="4"/>
      <c r="E223" s="4"/>
      <c r="F223" s="3"/>
    </row>
    <row r="224" spans="2:6" ht="15.75">
      <c r="B224" s="4"/>
      <c r="C224" s="4"/>
      <c r="D224" s="4"/>
      <c r="E224" s="4"/>
      <c r="F224" s="3"/>
    </row>
    <row r="225" spans="2:6" ht="15.75">
      <c r="B225" s="4"/>
      <c r="C225" s="4"/>
      <c r="D225" s="4"/>
      <c r="E225" s="4"/>
      <c r="F225" s="3"/>
    </row>
    <row r="226" spans="2:6" ht="15.75">
      <c r="B226" s="4"/>
      <c r="C226" s="4"/>
      <c r="D226" s="4"/>
      <c r="E226" s="4"/>
      <c r="F226" s="3"/>
    </row>
    <row r="227" spans="2:6" ht="15.75">
      <c r="B227" s="4"/>
      <c r="C227" s="4"/>
      <c r="D227" s="4"/>
      <c r="E227" s="4"/>
      <c r="F227" s="3"/>
    </row>
    <row r="228" spans="2:6" ht="15.75">
      <c r="B228" s="4"/>
      <c r="C228" s="4"/>
      <c r="D228" s="4"/>
      <c r="E228" s="4"/>
      <c r="F228" s="3"/>
    </row>
    <row r="229" spans="2:6" ht="15.75">
      <c r="B229" s="4"/>
      <c r="C229" s="4"/>
      <c r="D229" s="4"/>
      <c r="E229" s="4"/>
      <c r="F229" s="3"/>
    </row>
    <row r="230" spans="2:6" ht="15.75">
      <c r="B230" s="4"/>
      <c r="C230" s="4"/>
      <c r="D230" s="4"/>
      <c r="E230" s="4"/>
      <c r="F230" s="3"/>
    </row>
    <row r="231" spans="2:6" ht="15.75">
      <c r="B231" s="4"/>
      <c r="C231" s="4"/>
      <c r="D231" s="4"/>
      <c r="E231" s="4"/>
      <c r="F231" s="3"/>
    </row>
    <row r="232" spans="2:6" ht="15.75">
      <c r="B232" s="4"/>
      <c r="C232" s="4"/>
      <c r="D232" s="4"/>
      <c r="E232" s="4"/>
      <c r="F232" s="3"/>
    </row>
    <row r="233" spans="2:6" ht="15.75">
      <c r="B233" s="4"/>
      <c r="C233" s="4"/>
      <c r="D233" s="4"/>
      <c r="E233" s="4"/>
      <c r="F233" s="3"/>
    </row>
    <row r="234" spans="2:6" ht="15.75">
      <c r="B234" s="4"/>
      <c r="C234" s="4"/>
      <c r="D234" s="4"/>
      <c r="E234" s="4"/>
      <c r="F234" s="3"/>
    </row>
    <row r="235" spans="2:6" ht="15.75">
      <c r="B235" s="4"/>
      <c r="C235" s="4"/>
      <c r="D235" s="4"/>
      <c r="E235" s="4"/>
      <c r="F235" s="3"/>
    </row>
    <row r="236" spans="2:6" ht="15.75">
      <c r="B236" s="4"/>
      <c r="C236" s="4"/>
      <c r="D236" s="4"/>
      <c r="E236" s="4"/>
      <c r="F236" s="3"/>
    </row>
    <row r="237" spans="2:6" ht="15.75">
      <c r="B237" s="4"/>
      <c r="C237" s="4"/>
      <c r="D237" s="4"/>
      <c r="E237" s="4"/>
      <c r="F237" s="3"/>
    </row>
    <row r="238" spans="2:6" ht="15.75">
      <c r="B238" s="4"/>
      <c r="C238" s="4"/>
      <c r="D238" s="4"/>
      <c r="E238" s="4"/>
      <c r="F238" s="3"/>
    </row>
    <row r="239" spans="2:6" ht="15.75">
      <c r="B239" s="4"/>
      <c r="C239" s="4"/>
      <c r="D239" s="4"/>
      <c r="E239" s="4"/>
      <c r="F239" s="3"/>
    </row>
    <row r="240" spans="2:6" ht="15.75">
      <c r="B240" s="4"/>
      <c r="C240" s="4"/>
      <c r="D240" s="4"/>
      <c r="E240" s="4"/>
      <c r="F240" s="3"/>
    </row>
    <row r="241" spans="2:6" ht="15.75">
      <c r="B241" s="4"/>
      <c r="C241" s="4"/>
      <c r="D241" s="4"/>
      <c r="E241" s="4"/>
      <c r="F241" s="3"/>
    </row>
    <row r="242" spans="2:6" ht="15.75">
      <c r="B242" s="4"/>
      <c r="C242" s="4"/>
      <c r="D242" s="4"/>
      <c r="E242" s="4"/>
      <c r="F242" s="3"/>
    </row>
    <row r="243" spans="2:6" ht="15.75">
      <c r="B243" s="4"/>
      <c r="C243" s="4"/>
      <c r="D243" s="4"/>
      <c r="E243" s="4"/>
      <c r="F243" s="3"/>
    </row>
    <row r="244" spans="2:6" ht="15.75">
      <c r="B244" s="4"/>
      <c r="C244" s="4"/>
      <c r="D244" s="4"/>
      <c r="E244" s="4"/>
      <c r="F244" s="3"/>
    </row>
    <row r="245" spans="2:6" ht="15.75">
      <c r="B245" s="4"/>
      <c r="C245" s="4"/>
      <c r="D245" s="4"/>
      <c r="E245" s="4"/>
      <c r="F245" s="3"/>
    </row>
    <row r="246" spans="2:6" ht="15.75">
      <c r="B246" s="4"/>
      <c r="C246" s="4"/>
      <c r="D246" s="4"/>
      <c r="E246" s="4"/>
      <c r="F246" s="3"/>
    </row>
    <row r="247" spans="2:6" ht="15.75">
      <c r="B247" s="4"/>
      <c r="C247" s="4"/>
      <c r="D247" s="4"/>
      <c r="E247" s="4"/>
      <c r="F247" s="3"/>
    </row>
    <row r="248" spans="2:6" ht="15.75">
      <c r="B248" s="4"/>
      <c r="C248" s="4"/>
      <c r="D248" s="4"/>
      <c r="E248" s="4"/>
      <c r="F248" s="3"/>
    </row>
    <row r="249" spans="2:6" ht="15.75">
      <c r="B249" s="4"/>
      <c r="C249" s="4"/>
      <c r="D249" s="4"/>
      <c r="E249" s="4"/>
      <c r="F249" s="3"/>
    </row>
    <row r="250" spans="2:6" ht="15.75">
      <c r="B250" s="4"/>
      <c r="C250" s="4"/>
      <c r="D250" s="4"/>
      <c r="E250" s="4"/>
      <c r="F250" s="3"/>
    </row>
    <row r="251" spans="2:6" ht="15.75">
      <c r="B251" s="4"/>
      <c r="C251" s="4"/>
      <c r="D251" s="4"/>
      <c r="E251" s="4"/>
      <c r="F251" s="3"/>
    </row>
    <row r="252" spans="2:6" ht="15.75">
      <c r="B252" s="4"/>
      <c r="C252" s="4"/>
      <c r="D252" s="4"/>
      <c r="E252" s="4"/>
      <c r="F252" s="3"/>
    </row>
  </sheetData>
  <sheetProtection/>
  <printOptions horizontalCentered="1"/>
  <pageMargins left="0.6692913385826772" right="0.3937007874015748" top="0.5905511811023623" bottom="0.5118110236220472" header="0.31496062992125984" footer="0.31496062992125984"/>
  <pageSetup horizontalDpi="300" verticalDpi="300" orientation="portrait" paperSize="9" scale="70" r:id="rId1"/>
  <headerFooter alignWithMargins="0">
    <oddFooter>&amp;R&amp;P</oddFooter>
  </headerFooter>
  <rowBreaks count="1" manualBreakCount="1">
    <brk id="63" min="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B1:Y252"/>
  <sheetViews>
    <sheetView view="pageBreakPreview" zoomScaleSheetLayoutView="100" workbookViewId="0" topLeftCell="A1">
      <selection activeCell="F2" sqref="F2"/>
    </sheetView>
  </sheetViews>
  <sheetFormatPr defaultColWidth="9.140625" defaultRowHeight="15"/>
  <cols>
    <col min="1" max="1" width="9.140625" style="103" customWidth="1"/>
    <col min="2" max="2" width="77.421875" style="103" customWidth="1"/>
    <col min="3" max="3" width="11.8515625" style="103" customWidth="1"/>
    <col min="4" max="4" width="10.421875" style="103" customWidth="1"/>
    <col min="5" max="5" width="13.140625" style="103" customWidth="1"/>
    <col min="6" max="6" width="12.7109375" style="110" customWidth="1"/>
    <col min="7" max="16384" width="9.140625" style="103" customWidth="1"/>
  </cols>
  <sheetData>
    <row r="1" s="4" customFormat="1" ht="15.75">
      <c r="F1" s="71" t="s">
        <v>19</v>
      </c>
    </row>
    <row r="2" spans="2:6" s="4" customFormat="1" ht="20.25">
      <c r="B2" s="68" t="s">
        <v>755</v>
      </c>
      <c r="F2" s="144" t="s">
        <v>68</v>
      </c>
    </row>
    <row r="3" spans="2:6" s="4" customFormat="1" ht="15.75">
      <c r="B3" s="85" t="s">
        <v>772</v>
      </c>
      <c r="C3" s="101"/>
      <c r="D3" s="101"/>
      <c r="E3" s="101"/>
      <c r="F3" s="98"/>
    </row>
    <row r="4" spans="2:6" s="4" customFormat="1" ht="15.75">
      <c r="B4" s="84" t="s">
        <v>390</v>
      </c>
      <c r="C4" s="97"/>
      <c r="D4" s="97"/>
      <c r="E4" s="97"/>
      <c r="F4" s="85"/>
    </row>
    <row r="5" spans="2:6" ht="15.75">
      <c r="B5" s="102"/>
      <c r="F5" s="103"/>
    </row>
    <row r="6" spans="2:6" ht="31.5">
      <c r="B6" s="72" t="s">
        <v>76</v>
      </c>
      <c r="C6" s="79" t="s">
        <v>77</v>
      </c>
      <c r="D6" s="104" t="s">
        <v>769</v>
      </c>
      <c r="E6" s="104" t="s">
        <v>770</v>
      </c>
      <c r="F6" s="105" t="s">
        <v>28</v>
      </c>
    </row>
    <row r="7" spans="2:6" ht="15.75">
      <c r="B7" s="106" t="s">
        <v>328</v>
      </c>
      <c r="C7" s="107" t="s">
        <v>112</v>
      </c>
      <c r="D7" s="92">
        <f>4898+6448+540+342+1413+315</f>
        <v>13956</v>
      </c>
      <c r="E7" s="92"/>
      <c r="F7" s="93">
        <f>+D7+E7</f>
        <v>13956</v>
      </c>
    </row>
    <row r="8" spans="2:6" ht="15.75">
      <c r="B8" s="82" t="s">
        <v>329</v>
      </c>
      <c r="C8" s="107" t="s">
        <v>113</v>
      </c>
      <c r="D8" s="92"/>
      <c r="E8" s="92">
        <f>4718+803</f>
        <v>5521</v>
      </c>
      <c r="F8" s="93">
        <f>+D8+E8</f>
        <v>5521</v>
      </c>
    </row>
    <row r="9" spans="2:6" ht="15.75">
      <c r="B9" s="108" t="s">
        <v>526</v>
      </c>
      <c r="C9" s="109" t="s">
        <v>114</v>
      </c>
      <c r="D9" s="93">
        <f>SUM(D7:D8)</f>
        <v>13956</v>
      </c>
      <c r="E9" s="93">
        <f>SUM(E7:E8)</f>
        <v>5521</v>
      </c>
      <c r="F9" s="93">
        <f>SUM(F7:F8)</f>
        <v>19477</v>
      </c>
    </row>
    <row r="10" spans="2:6" ht="15.75">
      <c r="B10" s="90" t="s">
        <v>553</v>
      </c>
      <c r="C10" s="109" t="s">
        <v>115</v>
      </c>
      <c r="D10" s="92">
        <f>1322+2360+117+85</f>
        <v>3884</v>
      </c>
      <c r="E10" s="92">
        <f>1146+217</f>
        <v>1363</v>
      </c>
      <c r="F10" s="93">
        <f aca="true" t="shared" si="0" ref="F10:F15">+D10+E10</f>
        <v>5247</v>
      </c>
    </row>
    <row r="11" spans="2:6" ht="15.75">
      <c r="B11" s="82" t="s">
        <v>330</v>
      </c>
      <c r="C11" s="107" t="s">
        <v>116</v>
      </c>
      <c r="D11" s="92">
        <f>629+660</f>
        <v>1289</v>
      </c>
      <c r="E11" s="92">
        <f>350+20</f>
        <v>370</v>
      </c>
      <c r="F11" s="93">
        <f t="shared" si="0"/>
        <v>1659</v>
      </c>
    </row>
    <row r="12" spans="2:6" ht="15.75">
      <c r="B12" s="82" t="s">
        <v>561</v>
      </c>
      <c r="C12" s="107" t="s">
        <v>117</v>
      </c>
      <c r="D12" s="92">
        <f>150+150+150</f>
        <v>450</v>
      </c>
      <c r="E12" s="92">
        <v>154</v>
      </c>
      <c r="F12" s="93">
        <f t="shared" si="0"/>
        <v>604</v>
      </c>
    </row>
    <row r="13" spans="2:6" ht="15.75">
      <c r="B13" s="82" t="s">
        <v>331</v>
      </c>
      <c r="C13" s="107" t="s">
        <v>118</v>
      </c>
      <c r="D13" s="92">
        <f>60+60+782+30+10+20+50+50+50+50+100+150+450+300+1700</f>
        <v>3862</v>
      </c>
      <c r="E13" s="92">
        <v>5247</v>
      </c>
      <c r="F13" s="93">
        <f t="shared" si="0"/>
        <v>9109</v>
      </c>
    </row>
    <row r="14" spans="2:6" ht="15.75">
      <c r="B14" s="82" t="s">
        <v>332</v>
      </c>
      <c r="C14" s="107" t="s">
        <v>119</v>
      </c>
      <c r="D14" s="92">
        <v>100</v>
      </c>
      <c r="E14" s="92">
        <f>70+235</f>
        <v>305</v>
      </c>
      <c r="F14" s="93">
        <f t="shared" si="0"/>
        <v>405</v>
      </c>
    </row>
    <row r="15" spans="2:6" ht="15.75">
      <c r="B15" s="82" t="s">
        <v>333</v>
      </c>
      <c r="C15" s="107" t="s">
        <v>120</v>
      </c>
      <c r="D15" s="92">
        <f>399+996</f>
        <v>1395</v>
      </c>
      <c r="E15" s="92">
        <f>634+110+25</f>
        <v>769</v>
      </c>
      <c r="F15" s="93">
        <f t="shared" si="0"/>
        <v>2164</v>
      </c>
    </row>
    <row r="16" spans="2:6" ht="15.75">
      <c r="B16" s="90" t="s">
        <v>525</v>
      </c>
      <c r="C16" s="109" t="s">
        <v>121</v>
      </c>
      <c r="D16" s="93">
        <f>SUM(D11:D15)</f>
        <v>7096</v>
      </c>
      <c r="E16" s="93">
        <f>SUM(E11:E15)</f>
        <v>6845</v>
      </c>
      <c r="F16" s="93">
        <f>SUM(F11:F15)</f>
        <v>13941</v>
      </c>
    </row>
    <row r="17" spans="2:6" ht="15.75">
      <c r="B17" s="78" t="s">
        <v>398</v>
      </c>
      <c r="C17" s="109" t="s">
        <v>128</v>
      </c>
      <c r="D17" s="92"/>
      <c r="E17" s="92"/>
      <c r="F17" s="93">
        <f aca="true" t="shared" si="1" ref="F17:F30">+D17+E17</f>
        <v>0</v>
      </c>
    </row>
    <row r="18" spans="2:6" ht="15.75">
      <c r="B18" s="88" t="s">
        <v>554</v>
      </c>
      <c r="C18" s="107" t="s">
        <v>129</v>
      </c>
      <c r="D18" s="92"/>
      <c r="E18" s="92"/>
      <c r="F18" s="93">
        <f t="shared" si="1"/>
        <v>0</v>
      </c>
    </row>
    <row r="19" spans="2:6" ht="15.75">
      <c r="B19" s="88" t="s">
        <v>130</v>
      </c>
      <c r="C19" s="107" t="s">
        <v>131</v>
      </c>
      <c r="D19" s="92"/>
      <c r="E19" s="92"/>
      <c r="F19" s="93">
        <f t="shared" si="1"/>
        <v>0</v>
      </c>
    </row>
    <row r="20" spans="2:6" ht="15.75">
      <c r="B20" s="88" t="s">
        <v>803</v>
      </c>
      <c r="C20" s="107" t="s">
        <v>132</v>
      </c>
      <c r="D20" s="92"/>
      <c r="E20" s="92"/>
      <c r="F20" s="93">
        <f t="shared" si="1"/>
        <v>0</v>
      </c>
    </row>
    <row r="21" spans="2:6" ht="15.75">
      <c r="B21" s="88" t="s">
        <v>802</v>
      </c>
      <c r="C21" s="107" t="s">
        <v>133</v>
      </c>
      <c r="D21" s="92"/>
      <c r="E21" s="92"/>
      <c r="F21" s="93">
        <f t="shared" si="1"/>
        <v>0</v>
      </c>
    </row>
    <row r="22" spans="2:6" ht="15.75">
      <c r="B22" s="88" t="s">
        <v>801</v>
      </c>
      <c r="C22" s="107" t="s">
        <v>134</v>
      </c>
      <c r="D22" s="92"/>
      <c r="E22" s="92"/>
      <c r="F22" s="93">
        <f t="shared" si="1"/>
        <v>0</v>
      </c>
    </row>
    <row r="23" spans="2:6" ht="15.75">
      <c r="B23" s="88" t="s">
        <v>804</v>
      </c>
      <c r="C23" s="107" t="s">
        <v>135</v>
      </c>
      <c r="D23" s="92"/>
      <c r="E23" s="92"/>
      <c r="F23" s="93">
        <f t="shared" si="1"/>
        <v>0</v>
      </c>
    </row>
    <row r="24" spans="2:6" ht="15.75">
      <c r="B24" s="88" t="s">
        <v>799</v>
      </c>
      <c r="C24" s="107" t="s">
        <v>136</v>
      </c>
      <c r="D24" s="92"/>
      <c r="E24" s="92"/>
      <c r="F24" s="93">
        <f t="shared" si="1"/>
        <v>0</v>
      </c>
    </row>
    <row r="25" spans="2:6" ht="15.75">
      <c r="B25" s="88" t="s">
        <v>798</v>
      </c>
      <c r="C25" s="107" t="s">
        <v>137</v>
      </c>
      <c r="D25" s="92"/>
      <c r="E25" s="92"/>
      <c r="F25" s="93">
        <f t="shared" si="1"/>
        <v>0</v>
      </c>
    </row>
    <row r="26" spans="2:6" ht="15.75">
      <c r="B26" s="88" t="s">
        <v>138</v>
      </c>
      <c r="C26" s="107" t="s">
        <v>139</v>
      </c>
      <c r="D26" s="92"/>
      <c r="E26" s="92"/>
      <c r="F26" s="93">
        <f t="shared" si="1"/>
        <v>0</v>
      </c>
    </row>
    <row r="27" spans="2:6" ht="15.75">
      <c r="B27" s="87" t="s">
        <v>140</v>
      </c>
      <c r="C27" s="107" t="s">
        <v>141</v>
      </c>
      <c r="D27" s="92"/>
      <c r="E27" s="92"/>
      <c r="F27" s="93">
        <f t="shared" si="1"/>
        <v>0</v>
      </c>
    </row>
    <row r="28" spans="2:6" ht="15.75">
      <c r="B28" s="88" t="s">
        <v>555</v>
      </c>
      <c r="C28" s="107" t="s">
        <v>142</v>
      </c>
      <c r="D28" s="92"/>
      <c r="E28" s="92"/>
      <c r="F28" s="93">
        <f t="shared" si="1"/>
        <v>0</v>
      </c>
    </row>
    <row r="29" spans="2:6" ht="15.75">
      <c r="B29" s="87" t="s">
        <v>790</v>
      </c>
      <c r="C29" s="107" t="s">
        <v>143</v>
      </c>
      <c r="D29" s="92"/>
      <c r="E29" s="92"/>
      <c r="F29" s="93">
        <f t="shared" si="1"/>
        <v>0</v>
      </c>
    </row>
    <row r="30" spans="2:6" ht="15.75">
      <c r="B30" s="87" t="s">
        <v>791</v>
      </c>
      <c r="C30" s="107" t="s">
        <v>143</v>
      </c>
      <c r="D30" s="92"/>
      <c r="E30" s="92"/>
      <c r="F30" s="93">
        <f t="shared" si="1"/>
        <v>0</v>
      </c>
    </row>
    <row r="31" spans="2:6" s="110" customFormat="1" ht="15.75">
      <c r="B31" s="78" t="s">
        <v>524</v>
      </c>
      <c r="C31" s="109" t="s">
        <v>144</v>
      </c>
      <c r="D31" s="93">
        <f>SUM(D18:D30)</f>
        <v>0</v>
      </c>
      <c r="E31" s="93">
        <f>SUM(E18:E30)</f>
        <v>0</v>
      </c>
      <c r="F31" s="93">
        <f>SUM(F18:F30)</f>
        <v>0</v>
      </c>
    </row>
    <row r="32" spans="2:6" ht="15.75">
      <c r="B32" s="111" t="s">
        <v>523</v>
      </c>
      <c r="C32" s="112" t="s">
        <v>673</v>
      </c>
      <c r="D32" s="113">
        <f>+D31+D17+D16+D10+D9</f>
        <v>24936</v>
      </c>
      <c r="E32" s="113">
        <f>+E31+E17+E16+E10+E9</f>
        <v>13729</v>
      </c>
      <c r="F32" s="113">
        <f>+F31+F17+F16+F10+F9</f>
        <v>38665</v>
      </c>
    </row>
    <row r="33" spans="2:9" ht="15.75">
      <c r="B33" s="114" t="s">
        <v>145</v>
      </c>
      <c r="C33" s="107" t="s">
        <v>146</v>
      </c>
      <c r="D33" s="92">
        <v>120</v>
      </c>
      <c r="E33" s="92">
        <f>552+910</f>
        <v>1462</v>
      </c>
      <c r="F33" s="93">
        <f aca="true" t="shared" si="2" ref="F33:F39">+D33+E33</f>
        <v>1582</v>
      </c>
      <c r="I33" s="115"/>
    </row>
    <row r="34" spans="2:6" ht="15.75">
      <c r="B34" s="114" t="s">
        <v>556</v>
      </c>
      <c r="C34" s="107" t="s">
        <v>147</v>
      </c>
      <c r="D34" s="92"/>
      <c r="E34" s="92"/>
      <c r="F34" s="93">
        <f t="shared" si="2"/>
        <v>0</v>
      </c>
    </row>
    <row r="35" spans="2:6" ht="15.75">
      <c r="B35" s="114" t="s">
        <v>148</v>
      </c>
      <c r="C35" s="107" t="s">
        <v>149</v>
      </c>
      <c r="D35" s="92"/>
      <c r="E35" s="92"/>
      <c r="F35" s="93">
        <f t="shared" si="2"/>
        <v>0</v>
      </c>
    </row>
    <row r="36" spans="2:6" ht="15.75">
      <c r="B36" s="114" t="s">
        <v>150</v>
      </c>
      <c r="C36" s="107" t="s">
        <v>151</v>
      </c>
      <c r="D36" s="92"/>
      <c r="E36" s="92">
        <v>2023</v>
      </c>
      <c r="F36" s="93">
        <f t="shared" si="2"/>
        <v>2023</v>
      </c>
    </row>
    <row r="37" spans="2:6" ht="15.75">
      <c r="B37" s="81" t="s">
        <v>152</v>
      </c>
      <c r="C37" s="107" t="s">
        <v>153</v>
      </c>
      <c r="D37" s="92"/>
      <c r="E37" s="92"/>
      <c r="F37" s="93">
        <f t="shared" si="2"/>
        <v>0</v>
      </c>
    </row>
    <row r="38" spans="2:6" ht="15.75">
      <c r="B38" s="81" t="s">
        <v>154</v>
      </c>
      <c r="C38" s="107" t="s">
        <v>155</v>
      </c>
      <c r="D38" s="92"/>
      <c r="E38" s="92"/>
      <c r="F38" s="93">
        <f t="shared" si="2"/>
        <v>0</v>
      </c>
    </row>
    <row r="39" spans="2:6" ht="15.75">
      <c r="B39" s="81" t="s">
        <v>156</v>
      </c>
      <c r="C39" s="107" t="s">
        <v>157</v>
      </c>
      <c r="D39" s="92">
        <v>32</v>
      </c>
      <c r="E39" s="92">
        <f>148+792</f>
        <v>940</v>
      </c>
      <c r="F39" s="93">
        <f t="shared" si="2"/>
        <v>972</v>
      </c>
    </row>
    <row r="40" spans="2:6" s="110" customFormat="1" ht="15.75">
      <c r="B40" s="83" t="s">
        <v>522</v>
      </c>
      <c r="C40" s="109" t="s">
        <v>158</v>
      </c>
      <c r="D40" s="93">
        <f>SUM(D33:D39)</f>
        <v>152</v>
      </c>
      <c r="E40" s="93">
        <f>SUM(E33:E39)</f>
        <v>4425</v>
      </c>
      <c r="F40" s="93">
        <f>SUM(F33:F39)</f>
        <v>4577</v>
      </c>
    </row>
    <row r="41" spans="2:6" ht="15.75">
      <c r="B41" s="80" t="s">
        <v>159</v>
      </c>
      <c r="C41" s="107" t="s">
        <v>160</v>
      </c>
      <c r="D41" s="92"/>
      <c r="E41" s="92"/>
      <c r="F41" s="93">
        <f>+D41+E41</f>
        <v>0</v>
      </c>
    </row>
    <row r="42" spans="2:6" ht="15.75">
      <c r="B42" s="80" t="s">
        <v>161</v>
      </c>
      <c r="C42" s="107" t="s">
        <v>162</v>
      </c>
      <c r="D42" s="92"/>
      <c r="E42" s="92"/>
      <c r="F42" s="93">
        <f>+D42+E42</f>
        <v>0</v>
      </c>
    </row>
    <row r="43" spans="2:6" ht="15.75">
      <c r="B43" s="80" t="s">
        <v>163</v>
      </c>
      <c r="C43" s="107" t="s">
        <v>164</v>
      </c>
      <c r="D43" s="92"/>
      <c r="E43" s="92"/>
      <c r="F43" s="93">
        <f>+D43+E43</f>
        <v>0</v>
      </c>
    </row>
    <row r="44" spans="2:6" ht="15.75">
      <c r="B44" s="80" t="s">
        <v>165</v>
      </c>
      <c r="C44" s="107" t="s">
        <v>166</v>
      </c>
      <c r="D44" s="92"/>
      <c r="E44" s="92"/>
      <c r="F44" s="93">
        <f>+D44+E44</f>
        <v>0</v>
      </c>
    </row>
    <row r="45" spans="2:6" s="110" customFormat="1" ht="15.75">
      <c r="B45" s="90" t="s">
        <v>521</v>
      </c>
      <c r="C45" s="109" t="s">
        <v>167</v>
      </c>
      <c r="D45" s="93">
        <f>SUM(D41:D44)</f>
        <v>0</v>
      </c>
      <c r="E45" s="93">
        <f>SUM(E41:E44)</f>
        <v>0</v>
      </c>
      <c r="F45" s="93">
        <f>SUM(F41:F44)</f>
        <v>0</v>
      </c>
    </row>
    <row r="46" spans="2:6" ht="15.75">
      <c r="B46" s="80" t="s">
        <v>793</v>
      </c>
      <c r="C46" s="107" t="s">
        <v>168</v>
      </c>
      <c r="D46" s="92"/>
      <c r="E46" s="92"/>
      <c r="F46" s="93">
        <f aca="true" t="shared" si="3" ref="F46:F53">+D46+E46</f>
        <v>0</v>
      </c>
    </row>
    <row r="47" spans="2:6" ht="15.75">
      <c r="B47" s="80" t="s">
        <v>794</v>
      </c>
      <c r="C47" s="107" t="s">
        <v>169</v>
      </c>
      <c r="D47" s="92"/>
      <c r="E47" s="92"/>
      <c r="F47" s="93">
        <f t="shared" si="3"/>
        <v>0</v>
      </c>
    </row>
    <row r="48" spans="2:6" ht="15.75">
      <c r="B48" s="80" t="s">
        <v>795</v>
      </c>
      <c r="C48" s="107" t="s">
        <v>170</v>
      </c>
      <c r="D48" s="92"/>
      <c r="E48" s="92"/>
      <c r="F48" s="93">
        <f t="shared" si="3"/>
        <v>0</v>
      </c>
    </row>
    <row r="49" spans="2:6" ht="15.75">
      <c r="B49" s="80" t="s">
        <v>805</v>
      </c>
      <c r="C49" s="107" t="s">
        <v>171</v>
      </c>
      <c r="D49" s="92"/>
      <c r="E49" s="92"/>
      <c r="F49" s="93">
        <f t="shared" si="3"/>
        <v>0</v>
      </c>
    </row>
    <row r="50" spans="2:6" ht="15.75">
      <c r="B50" s="80" t="s">
        <v>796</v>
      </c>
      <c r="C50" s="107" t="s">
        <v>172</v>
      </c>
      <c r="D50" s="92"/>
      <c r="E50" s="92"/>
      <c r="F50" s="93">
        <f t="shared" si="3"/>
        <v>0</v>
      </c>
    </row>
    <row r="51" spans="2:6" ht="15.75">
      <c r="B51" s="80" t="s">
        <v>797</v>
      </c>
      <c r="C51" s="107" t="s">
        <v>173</v>
      </c>
      <c r="D51" s="92"/>
      <c r="E51" s="92"/>
      <c r="F51" s="93">
        <f t="shared" si="3"/>
        <v>0</v>
      </c>
    </row>
    <row r="52" spans="2:6" ht="15.75">
      <c r="B52" s="80" t="s">
        <v>174</v>
      </c>
      <c r="C52" s="107" t="s">
        <v>175</v>
      </c>
      <c r="D52" s="92"/>
      <c r="E52" s="92"/>
      <c r="F52" s="93">
        <f t="shared" si="3"/>
        <v>0</v>
      </c>
    </row>
    <row r="53" spans="2:6" ht="15.75">
      <c r="B53" s="80" t="s">
        <v>557</v>
      </c>
      <c r="C53" s="107" t="s">
        <v>176</v>
      </c>
      <c r="D53" s="92"/>
      <c r="E53" s="92"/>
      <c r="F53" s="93">
        <f t="shared" si="3"/>
        <v>0</v>
      </c>
    </row>
    <row r="54" spans="2:6" s="110" customFormat="1" ht="15.75">
      <c r="B54" s="78" t="s">
        <v>520</v>
      </c>
      <c r="C54" s="109" t="s">
        <v>177</v>
      </c>
      <c r="D54" s="93">
        <f>SUM(D46:D53)</f>
        <v>0</v>
      </c>
      <c r="E54" s="93">
        <f>SUM(E46:E53)</f>
        <v>0</v>
      </c>
      <c r="F54" s="93">
        <f>SUM(F46:F53)</f>
        <v>0</v>
      </c>
    </row>
    <row r="55" spans="2:6" ht="15.75">
      <c r="B55" s="111" t="s">
        <v>519</v>
      </c>
      <c r="C55" s="112" t="s">
        <v>674</v>
      </c>
      <c r="D55" s="113">
        <f>+D54+D45+D40</f>
        <v>152</v>
      </c>
      <c r="E55" s="113">
        <f>+E54+E45+E40</f>
        <v>4425</v>
      </c>
      <c r="F55" s="113">
        <f>+F54+F45+F40</f>
        <v>4577</v>
      </c>
    </row>
    <row r="56" spans="2:6" ht="15.75">
      <c r="B56" s="116" t="s">
        <v>518</v>
      </c>
      <c r="C56" s="117" t="s">
        <v>675</v>
      </c>
      <c r="D56" s="118">
        <f>+D54+D45+D40+D31+D17+D16+D10+D9</f>
        <v>25088</v>
      </c>
      <c r="E56" s="118">
        <f>+E54+E45+E40+E31+E17+E16+E10+E9</f>
        <v>18154</v>
      </c>
      <c r="F56" s="118">
        <f>+F54+F45+F40+F31+F17+F16+F10+F9</f>
        <v>43242</v>
      </c>
    </row>
    <row r="57" spans="2:25" ht="15.75">
      <c r="B57" s="125" t="s">
        <v>542</v>
      </c>
      <c r="C57" s="90" t="s">
        <v>204</v>
      </c>
      <c r="D57" s="188"/>
      <c r="E57" s="188"/>
      <c r="F57" s="93">
        <f>+D57+E57</f>
        <v>0</v>
      </c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0"/>
      <c r="Y57" s="120"/>
    </row>
    <row r="58" spans="2:25" ht="15.75">
      <c r="B58" s="125" t="s">
        <v>547</v>
      </c>
      <c r="C58" s="90" t="s">
        <v>214</v>
      </c>
      <c r="D58" s="188"/>
      <c r="E58" s="188"/>
      <c r="F58" s="93">
        <f>+D58+E58</f>
        <v>0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0"/>
      <c r="Y58" s="120"/>
    </row>
    <row r="59" spans="2:25" ht="15.75">
      <c r="B59" s="80" t="s">
        <v>215</v>
      </c>
      <c r="C59" s="82" t="s">
        <v>216</v>
      </c>
      <c r="D59" s="188"/>
      <c r="E59" s="188"/>
      <c r="F59" s="93">
        <f>+D59+E59</f>
        <v>0</v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20"/>
      <c r="Y59" s="120"/>
    </row>
    <row r="60" spans="2:25" ht="15.75">
      <c r="B60" s="128" t="s">
        <v>517</v>
      </c>
      <c r="C60" s="129" t="s">
        <v>217</v>
      </c>
      <c r="D60" s="130">
        <f>+D59+D58+D57</f>
        <v>0</v>
      </c>
      <c r="E60" s="130">
        <f>+E59+E58+E57</f>
        <v>0</v>
      </c>
      <c r="F60" s="130">
        <f>+F59+F58+F57</f>
        <v>0</v>
      </c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0"/>
      <c r="Y60" s="120"/>
    </row>
    <row r="61" spans="2:25" ht="15.75">
      <c r="B61" s="75" t="s">
        <v>771</v>
      </c>
      <c r="C61" s="75" t="s">
        <v>671</v>
      </c>
      <c r="D61" s="131">
        <f>+D56+D60</f>
        <v>25088</v>
      </c>
      <c r="E61" s="131">
        <f>+E56+E60</f>
        <v>18154</v>
      </c>
      <c r="F61" s="131">
        <f>+F56+F60</f>
        <v>43242</v>
      </c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</row>
    <row r="62" spans="2:25" ht="15.75">
      <c r="B62" s="4"/>
      <c r="C62" s="132"/>
      <c r="D62" s="133"/>
      <c r="E62" s="133"/>
      <c r="F62" s="134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</row>
    <row r="63" spans="2:25" ht="15.75">
      <c r="B63" s="4"/>
      <c r="C63" s="132"/>
      <c r="D63" s="133"/>
      <c r="E63" s="133"/>
      <c r="F63" s="134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</row>
    <row r="64" spans="2:25" ht="31.5">
      <c r="B64" s="72" t="s">
        <v>76</v>
      </c>
      <c r="C64" s="79" t="s">
        <v>31</v>
      </c>
      <c r="D64" s="135" t="s">
        <v>769</v>
      </c>
      <c r="E64" s="135" t="s">
        <v>770</v>
      </c>
      <c r="F64" s="136" t="s">
        <v>28</v>
      </c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</row>
    <row r="65" spans="2:25" ht="15.75">
      <c r="B65" s="90" t="s">
        <v>620</v>
      </c>
      <c r="C65" s="83" t="s">
        <v>230</v>
      </c>
      <c r="D65" s="93"/>
      <c r="E65" s="93"/>
      <c r="F65" s="93">
        <f aca="true" t="shared" si="4" ref="F65:F70">+E65+D65</f>
        <v>0</v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</row>
    <row r="66" spans="2:25" ht="15.75">
      <c r="B66" s="82" t="s">
        <v>231</v>
      </c>
      <c r="C66" s="81" t="s">
        <v>232</v>
      </c>
      <c r="D66" s="93"/>
      <c r="E66" s="93"/>
      <c r="F66" s="93">
        <f t="shared" si="4"/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</row>
    <row r="67" spans="2:25" ht="15.75">
      <c r="B67" s="82" t="s">
        <v>768</v>
      </c>
      <c r="C67" s="81" t="s">
        <v>233</v>
      </c>
      <c r="D67" s="93"/>
      <c r="E67" s="93"/>
      <c r="F67" s="93">
        <f t="shared" si="4"/>
        <v>0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</row>
    <row r="68" spans="2:25" ht="15.75">
      <c r="B68" s="82" t="s">
        <v>766</v>
      </c>
      <c r="C68" s="81" t="s">
        <v>234</v>
      </c>
      <c r="D68" s="93"/>
      <c r="E68" s="93"/>
      <c r="F68" s="93">
        <f t="shared" si="4"/>
        <v>0</v>
      </c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</row>
    <row r="69" spans="2:25" ht="15.75">
      <c r="B69" s="82" t="s">
        <v>767</v>
      </c>
      <c r="C69" s="81" t="s">
        <v>235</v>
      </c>
      <c r="D69" s="93"/>
      <c r="E69" s="93"/>
      <c r="F69" s="93">
        <f t="shared" si="4"/>
        <v>0</v>
      </c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</row>
    <row r="70" spans="2:25" ht="15.75">
      <c r="B70" s="82" t="s">
        <v>572</v>
      </c>
      <c r="C70" s="81" t="s">
        <v>236</v>
      </c>
      <c r="D70" s="92">
        <f>8300+550</f>
        <v>8850</v>
      </c>
      <c r="E70" s="92">
        <f>12865+5264</f>
        <v>18129</v>
      </c>
      <c r="F70" s="93">
        <f t="shared" si="4"/>
        <v>26979</v>
      </c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</row>
    <row r="71" spans="2:25" ht="15.75">
      <c r="B71" s="90" t="s">
        <v>527</v>
      </c>
      <c r="C71" s="83" t="s">
        <v>237</v>
      </c>
      <c r="D71" s="93">
        <f>+D70+D69+D68+D67+D66+D65</f>
        <v>8850</v>
      </c>
      <c r="E71" s="93">
        <f>+E70+E69+E68+E67+E66+E65</f>
        <v>18129</v>
      </c>
      <c r="F71" s="93">
        <f>+F70+F69+F68+F67+F66+F65</f>
        <v>26979</v>
      </c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</row>
    <row r="72" spans="2:25" ht="15.75">
      <c r="B72" s="90" t="s">
        <v>622</v>
      </c>
      <c r="C72" s="83" t="s">
        <v>242</v>
      </c>
      <c r="D72" s="92"/>
      <c r="E72" s="92"/>
      <c r="F72" s="93">
        <f aca="true" t="shared" si="5" ref="F72:F78">+E72+D72</f>
        <v>0</v>
      </c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</row>
    <row r="73" spans="2:25" ht="15.75">
      <c r="B73" s="82" t="s">
        <v>623</v>
      </c>
      <c r="C73" s="81" t="s">
        <v>243</v>
      </c>
      <c r="D73" s="92"/>
      <c r="E73" s="92"/>
      <c r="F73" s="93">
        <f t="shared" si="5"/>
        <v>0</v>
      </c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</row>
    <row r="74" spans="2:25" ht="15.75">
      <c r="B74" s="82" t="s">
        <v>573</v>
      </c>
      <c r="C74" s="81" t="s">
        <v>244</v>
      </c>
      <c r="D74" s="92"/>
      <c r="E74" s="92"/>
      <c r="F74" s="93">
        <f t="shared" si="5"/>
        <v>0</v>
      </c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</row>
    <row r="75" spans="2:25" ht="15.75">
      <c r="B75" s="82" t="s">
        <v>574</v>
      </c>
      <c r="C75" s="81" t="s">
        <v>245</v>
      </c>
      <c r="D75" s="92"/>
      <c r="E75" s="92"/>
      <c r="F75" s="93">
        <f t="shared" si="5"/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</row>
    <row r="76" spans="2:25" ht="15.75">
      <c r="B76" s="82" t="s">
        <v>575</v>
      </c>
      <c r="C76" s="81" t="s">
        <v>246</v>
      </c>
      <c r="D76" s="92"/>
      <c r="E76" s="92"/>
      <c r="F76" s="93">
        <f t="shared" si="5"/>
        <v>0</v>
      </c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2:25" ht="15.75">
      <c r="B77" s="82" t="s">
        <v>624</v>
      </c>
      <c r="C77" s="81" t="s">
        <v>258</v>
      </c>
      <c r="D77" s="92"/>
      <c r="E77" s="92"/>
      <c r="F77" s="93">
        <f t="shared" si="5"/>
        <v>0</v>
      </c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2:25" ht="15.75">
      <c r="B78" s="82" t="s">
        <v>578</v>
      </c>
      <c r="C78" s="81" t="s">
        <v>259</v>
      </c>
      <c r="D78" s="92"/>
      <c r="E78" s="92"/>
      <c r="F78" s="93">
        <f t="shared" si="5"/>
        <v>0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2:25" ht="15.75">
      <c r="B79" s="90" t="s">
        <v>434</v>
      </c>
      <c r="C79" s="83" t="s">
        <v>260</v>
      </c>
      <c r="D79" s="93">
        <f>SUM(D73:D78)</f>
        <v>0</v>
      </c>
      <c r="E79" s="93">
        <f>SUM(E73:E78)</f>
        <v>0</v>
      </c>
      <c r="F79" s="93">
        <f>SUM(F73:F78)</f>
        <v>0</v>
      </c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2:25" ht="15.75">
      <c r="B80" s="80" t="s">
        <v>261</v>
      </c>
      <c r="C80" s="81" t="s">
        <v>262</v>
      </c>
      <c r="D80" s="92"/>
      <c r="E80" s="92"/>
      <c r="F80" s="93">
        <f aca="true" t="shared" si="6" ref="F80:F89">+E80+D80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2:25" ht="15.75">
      <c r="B81" s="80" t="s">
        <v>579</v>
      </c>
      <c r="C81" s="81" t="s">
        <v>263</v>
      </c>
      <c r="D81" s="92">
        <v>1000</v>
      </c>
      <c r="E81" s="92"/>
      <c r="F81" s="93">
        <f t="shared" si="6"/>
        <v>1000</v>
      </c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2:25" ht="15.75">
      <c r="B82" s="80" t="s">
        <v>580</v>
      </c>
      <c r="C82" s="81" t="s">
        <v>264</v>
      </c>
      <c r="D82" s="92"/>
      <c r="E82" s="92"/>
      <c r="F82" s="93">
        <f t="shared" si="6"/>
        <v>0</v>
      </c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2:25" ht="15.75">
      <c r="B83" s="80" t="s">
        <v>581</v>
      </c>
      <c r="C83" s="81" t="s">
        <v>265</v>
      </c>
      <c r="D83" s="92"/>
      <c r="E83" s="92"/>
      <c r="F83" s="93">
        <f t="shared" si="6"/>
        <v>0</v>
      </c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2:25" ht="15.75">
      <c r="B84" s="80" t="s">
        <v>266</v>
      </c>
      <c r="C84" s="81" t="s">
        <v>267</v>
      </c>
      <c r="D84" s="92"/>
      <c r="E84" s="92"/>
      <c r="F84" s="93">
        <f t="shared" si="6"/>
        <v>0</v>
      </c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2:25" ht="15.75">
      <c r="B85" s="80" t="s">
        <v>268</v>
      </c>
      <c r="C85" s="81" t="s">
        <v>269</v>
      </c>
      <c r="D85" s="92"/>
      <c r="E85" s="92"/>
      <c r="F85" s="93">
        <f t="shared" si="6"/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2:25" ht="15.75">
      <c r="B86" s="80" t="s">
        <v>270</v>
      </c>
      <c r="C86" s="81" t="s">
        <v>271</v>
      </c>
      <c r="D86" s="92"/>
      <c r="E86" s="92"/>
      <c r="F86" s="93">
        <f t="shared" si="6"/>
        <v>0</v>
      </c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</row>
    <row r="87" spans="2:25" ht="15.75">
      <c r="B87" s="80" t="s">
        <v>582</v>
      </c>
      <c r="C87" s="81" t="s">
        <v>272</v>
      </c>
      <c r="D87" s="92">
        <v>35</v>
      </c>
      <c r="E87" s="92">
        <v>25</v>
      </c>
      <c r="F87" s="93">
        <f t="shared" si="6"/>
        <v>60</v>
      </c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</row>
    <row r="88" spans="2:25" ht="15.75">
      <c r="B88" s="80" t="s">
        <v>583</v>
      </c>
      <c r="C88" s="81" t="s">
        <v>273</v>
      </c>
      <c r="D88" s="92"/>
      <c r="E88" s="92"/>
      <c r="F88" s="93">
        <f t="shared" si="6"/>
        <v>0</v>
      </c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</row>
    <row r="89" spans="2:25" ht="15.75">
      <c r="B89" s="80" t="s">
        <v>584</v>
      </c>
      <c r="C89" s="81" t="s">
        <v>274</v>
      </c>
      <c r="D89" s="92">
        <v>1007</v>
      </c>
      <c r="E89" s="92"/>
      <c r="F89" s="93">
        <f t="shared" si="6"/>
        <v>1007</v>
      </c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</row>
    <row r="90" spans="2:25" ht="15.75">
      <c r="B90" s="78" t="s">
        <v>435</v>
      </c>
      <c r="C90" s="83" t="s">
        <v>275</v>
      </c>
      <c r="D90" s="93">
        <f>SUM(D80:D89)</f>
        <v>2042</v>
      </c>
      <c r="E90" s="93">
        <f>SUM(E80:E89)</f>
        <v>25</v>
      </c>
      <c r="F90" s="93">
        <f>SUM(F80:F89)</f>
        <v>2067</v>
      </c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2:25" ht="15.75">
      <c r="B91" s="80" t="s">
        <v>585</v>
      </c>
      <c r="C91" s="81" t="s">
        <v>276</v>
      </c>
      <c r="D91" s="92"/>
      <c r="E91" s="92"/>
      <c r="F91" s="93">
        <f>+E91+D91</f>
        <v>0</v>
      </c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</row>
    <row r="92" spans="2:25" ht="15.75">
      <c r="B92" s="80" t="s">
        <v>586</v>
      </c>
      <c r="C92" s="81" t="s">
        <v>277</v>
      </c>
      <c r="D92" s="92"/>
      <c r="E92" s="92"/>
      <c r="F92" s="93">
        <f>+E92+D92</f>
        <v>0</v>
      </c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</row>
    <row r="93" spans="2:25" ht="15.75">
      <c r="B93" s="80" t="s">
        <v>278</v>
      </c>
      <c r="C93" s="81" t="s">
        <v>279</v>
      </c>
      <c r="D93" s="92"/>
      <c r="E93" s="92"/>
      <c r="F93" s="93">
        <f>+E93+D93</f>
        <v>0</v>
      </c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</row>
    <row r="94" spans="2:25" ht="15.75">
      <c r="B94" s="80" t="s">
        <v>587</v>
      </c>
      <c r="C94" s="81" t="s">
        <v>280</v>
      </c>
      <c r="D94" s="92"/>
      <c r="E94" s="92"/>
      <c r="F94" s="93">
        <f>+E94+D94</f>
        <v>0</v>
      </c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</row>
    <row r="95" spans="2:25" ht="15.75">
      <c r="B95" s="80" t="s">
        <v>281</v>
      </c>
      <c r="C95" s="81" t="s">
        <v>282</v>
      </c>
      <c r="D95" s="92"/>
      <c r="E95" s="92"/>
      <c r="F95" s="93">
        <f>+E95+D95</f>
        <v>0</v>
      </c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</row>
    <row r="96" spans="2:25" ht="15.75">
      <c r="B96" s="90" t="s">
        <v>693</v>
      </c>
      <c r="C96" s="83" t="s">
        <v>283</v>
      </c>
      <c r="D96" s="93">
        <f>SUM(D91:D95)</f>
        <v>0</v>
      </c>
      <c r="E96" s="93">
        <f>SUM(E91:E95)</f>
        <v>0</v>
      </c>
      <c r="F96" s="93">
        <f>SUM(F91:F95)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</row>
    <row r="97" spans="2:25" ht="15.75">
      <c r="B97" s="90" t="s">
        <v>628</v>
      </c>
      <c r="C97" s="83" t="s">
        <v>286</v>
      </c>
      <c r="D97" s="92"/>
      <c r="E97" s="92"/>
      <c r="F97" s="93">
        <f>+E97+D97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</row>
    <row r="98" spans="2:25" ht="15.75">
      <c r="B98" s="80" t="s">
        <v>808</v>
      </c>
      <c r="C98" s="81" t="s">
        <v>287</v>
      </c>
      <c r="D98" s="92"/>
      <c r="E98" s="92"/>
      <c r="F98" s="93">
        <f>+E98+D98</f>
        <v>0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</row>
    <row r="99" spans="2:25" ht="15.75">
      <c r="B99" s="82" t="s">
        <v>807</v>
      </c>
      <c r="C99" s="81" t="s">
        <v>288</v>
      </c>
      <c r="D99" s="92"/>
      <c r="E99" s="92"/>
      <c r="F99" s="93">
        <f>+E99+D99</f>
        <v>0</v>
      </c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</row>
    <row r="100" spans="2:25" ht="15.75">
      <c r="B100" s="80" t="s">
        <v>612</v>
      </c>
      <c r="C100" s="81" t="s">
        <v>289</v>
      </c>
      <c r="D100" s="92"/>
      <c r="E100" s="92"/>
      <c r="F100" s="93">
        <f>+E100+D100</f>
        <v>0</v>
      </c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</row>
    <row r="101" spans="2:25" ht="15.75">
      <c r="B101" s="90" t="s">
        <v>512</v>
      </c>
      <c r="C101" s="83" t="s">
        <v>290</v>
      </c>
      <c r="D101" s="93">
        <f>SUM(D98:D100)</f>
        <v>0</v>
      </c>
      <c r="E101" s="93">
        <f>SUM(E98:E100)</f>
        <v>0</v>
      </c>
      <c r="F101" s="93">
        <f>SUM(F98:F100)</f>
        <v>0</v>
      </c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</row>
    <row r="102" spans="2:25" ht="15.75">
      <c r="B102" s="137" t="s">
        <v>516</v>
      </c>
      <c r="C102" s="116" t="s">
        <v>672</v>
      </c>
      <c r="D102" s="118">
        <f>+D101+D97+D96+D90+D79+D72+D71</f>
        <v>10892</v>
      </c>
      <c r="E102" s="118">
        <f>+E101+E97+E96+E90+E79+E72+E71</f>
        <v>18154</v>
      </c>
      <c r="F102" s="118">
        <f>+F101+F97+F96+F90+F79+F72+F71</f>
        <v>29046</v>
      </c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</row>
    <row r="103" spans="2:25" ht="15.75">
      <c r="B103" s="138" t="s">
        <v>668</v>
      </c>
      <c r="C103" s="139"/>
      <c r="D103" s="140">
        <f>+D97+D90+D79+D71-D32</f>
        <v>-14044</v>
      </c>
      <c r="E103" s="140">
        <f>+E97+E90+E79+E71-E32</f>
        <v>4425</v>
      </c>
      <c r="F103" s="140">
        <f aca="true" t="shared" si="7" ref="F103:F110">+E103+D103</f>
        <v>-9619</v>
      </c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</row>
    <row r="104" spans="2:25" ht="15.75">
      <c r="B104" s="138" t="s">
        <v>669</v>
      </c>
      <c r="C104" s="139"/>
      <c r="D104" s="140">
        <f>+D101+D96+D72-D55</f>
        <v>-152</v>
      </c>
      <c r="E104" s="140">
        <f>+E101+E96+E72-E55</f>
        <v>-4425</v>
      </c>
      <c r="F104" s="140">
        <f t="shared" si="7"/>
        <v>-4577</v>
      </c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</row>
    <row r="105" spans="2:6" ht="15.75">
      <c r="B105" s="78" t="s">
        <v>631</v>
      </c>
      <c r="C105" s="90" t="s">
        <v>295</v>
      </c>
      <c r="D105" s="92"/>
      <c r="E105" s="92"/>
      <c r="F105" s="93">
        <f t="shared" si="7"/>
        <v>0</v>
      </c>
    </row>
    <row r="106" spans="2:6" ht="15.75">
      <c r="B106" s="125" t="s">
        <v>632</v>
      </c>
      <c r="C106" s="90" t="s">
        <v>302</v>
      </c>
      <c r="D106" s="92"/>
      <c r="E106" s="92"/>
      <c r="F106" s="93">
        <f t="shared" si="7"/>
        <v>0</v>
      </c>
    </row>
    <row r="107" spans="2:6" ht="15.75">
      <c r="B107" s="82" t="s">
        <v>788</v>
      </c>
      <c r="C107" s="82" t="s">
        <v>303</v>
      </c>
      <c r="D107" s="92"/>
      <c r="E107" s="92"/>
      <c r="F107" s="93">
        <f t="shared" si="7"/>
        <v>0</v>
      </c>
    </row>
    <row r="108" spans="2:6" ht="15.75">
      <c r="B108" s="82" t="s">
        <v>789</v>
      </c>
      <c r="C108" s="82" t="s">
        <v>303</v>
      </c>
      <c r="D108" s="92"/>
      <c r="E108" s="92"/>
      <c r="F108" s="93">
        <f t="shared" si="7"/>
        <v>0</v>
      </c>
    </row>
    <row r="109" spans="2:6" ht="15.75">
      <c r="B109" s="82" t="s">
        <v>786</v>
      </c>
      <c r="C109" s="82" t="s">
        <v>304</v>
      </c>
      <c r="D109" s="92"/>
      <c r="E109" s="92"/>
      <c r="F109" s="93">
        <f t="shared" si="7"/>
        <v>0</v>
      </c>
    </row>
    <row r="110" spans="2:6" ht="15.75">
      <c r="B110" s="82" t="s">
        <v>787</v>
      </c>
      <c r="C110" s="82" t="s">
        <v>304</v>
      </c>
      <c r="D110" s="92"/>
      <c r="E110" s="92"/>
      <c r="F110" s="93">
        <f t="shared" si="7"/>
        <v>0</v>
      </c>
    </row>
    <row r="111" spans="2:6" ht="15.75">
      <c r="B111" s="90" t="s">
        <v>514</v>
      </c>
      <c r="C111" s="90" t="s">
        <v>305</v>
      </c>
      <c r="D111" s="93">
        <f>SUM(D107:D110)</f>
        <v>0</v>
      </c>
      <c r="E111" s="93">
        <f>SUM(E107:E110)</f>
        <v>0</v>
      </c>
      <c r="F111" s="93">
        <f>SUM(F107:F110)</f>
        <v>0</v>
      </c>
    </row>
    <row r="112" spans="2:6" ht="15.75">
      <c r="B112" s="123" t="s">
        <v>306</v>
      </c>
      <c r="C112" s="82" t="s">
        <v>307</v>
      </c>
      <c r="D112" s="92"/>
      <c r="E112" s="92"/>
      <c r="F112" s="93">
        <f aca="true" t="shared" si="8" ref="F112:F118">+E112+D112</f>
        <v>0</v>
      </c>
    </row>
    <row r="113" spans="2:6" ht="15.75">
      <c r="B113" s="123" t="s">
        <v>308</v>
      </c>
      <c r="C113" s="82" t="s">
        <v>309</v>
      </c>
      <c r="D113" s="92"/>
      <c r="E113" s="92"/>
      <c r="F113" s="93">
        <f t="shared" si="8"/>
        <v>0</v>
      </c>
    </row>
    <row r="114" spans="2:6" ht="15.75">
      <c r="B114" s="123" t="s">
        <v>310</v>
      </c>
      <c r="C114" s="82" t="s">
        <v>311</v>
      </c>
      <c r="D114" s="92">
        <f>6546+7650</f>
        <v>14196</v>
      </c>
      <c r="E114" s="92"/>
      <c r="F114" s="93">
        <f t="shared" si="8"/>
        <v>14196</v>
      </c>
    </row>
    <row r="115" spans="2:6" s="208" customFormat="1" ht="15.75">
      <c r="B115" s="204" t="s">
        <v>366</v>
      </c>
      <c r="C115" s="171"/>
      <c r="D115" s="151">
        <v>6546</v>
      </c>
      <c r="E115" s="151"/>
      <c r="F115" s="173">
        <f t="shared" si="8"/>
        <v>6546</v>
      </c>
    </row>
    <row r="116" spans="2:6" s="208" customFormat="1" ht="15.75">
      <c r="B116" s="206" t="s">
        <v>356</v>
      </c>
      <c r="C116" s="171"/>
      <c r="D116" s="151">
        <f>+D114-D115</f>
        <v>7650</v>
      </c>
      <c r="E116" s="151">
        <f>+E114-E115</f>
        <v>0</v>
      </c>
      <c r="F116" s="173">
        <f t="shared" si="8"/>
        <v>7650</v>
      </c>
    </row>
    <row r="117" spans="2:6" ht="15.75">
      <c r="B117" s="123" t="s">
        <v>312</v>
      </c>
      <c r="C117" s="82" t="s">
        <v>313</v>
      </c>
      <c r="D117" s="92"/>
      <c r="E117" s="92"/>
      <c r="F117" s="93">
        <f t="shared" si="8"/>
        <v>0</v>
      </c>
    </row>
    <row r="118" spans="2:6" ht="15.75">
      <c r="B118" s="80" t="s">
        <v>615</v>
      </c>
      <c r="C118" s="82" t="s">
        <v>314</v>
      </c>
      <c r="D118" s="92"/>
      <c r="E118" s="92"/>
      <c r="F118" s="93">
        <f t="shared" si="8"/>
        <v>0</v>
      </c>
    </row>
    <row r="119" spans="2:6" ht="15.75">
      <c r="B119" s="78" t="s">
        <v>428</v>
      </c>
      <c r="C119" s="90" t="s">
        <v>316</v>
      </c>
      <c r="D119" s="93">
        <f>SUM(D112:D118)+D111+D106+D105-D115-D116</f>
        <v>14196</v>
      </c>
      <c r="E119" s="93">
        <f>SUM(E112:E118)+E111+E106+E105-E115-E116</f>
        <v>0</v>
      </c>
      <c r="F119" s="93">
        <f>SUM(F112:F118)+F111+F106+F105-F115-F116</f>
        <v>14196</v>
      </c>
    </row>
    <row r="120" spans="2:6" ht="15.75">
      <c r="B120" s="123" t="s">
        <v>635</v>
      </c>
      <c r="C120" s="82" t="s">
        <v>324</v>
      </c>
      <c r="D120" s="92"/>
      <c r="E120" s="92"/>
      <c r="F120" s="93">
        <f>+E120+D120</f>
        <v>0</v>
      </c>
    </row>
    <row r="121" spans="2:6" ht="15.75">
      <c r="B121" s="80" t="s">
        <v>325</v>
      </c>
      <c r="C121" s="82" t="s">
        <v>326</v>
      </c>
      <c r="D121" s="92"/>
      <c r="E121" s="92"/>
      <c r="F121" s="93">
        <f>+E121+D121</f>
        <v>0</v>
      </c>
    </row>
    <row r="122" spans="2:6" ht="15.75">
      <c r="B122" s="128" t="s">
        <v>515</v>
      </c>
      <c r="C122" s="129" t="s">
        <v>327</v>
      </c>
      <c r="D122" s="118">
        <f>+D121+D120+D119</f>
        <v>14196</v>
      </c>
      <c r="E122" s="118">
        <f>+E121+E120+E119</f>
        <v>0</v>
      </c>
      <c r="F122" s="118">
        <f>+F121+F120+F119</f>
        <v>14196</v>
      </c>
    </row>
    <row r="123" spans="2:6" ht="15.75">
      <c r="B123" s="75" t="s">
        <v>654</v>
      </c>
      <c r="C123" s="75" t="s">
        <v>670</v>
      </c>
      <c r="D123" s="131">
        <f>+D102+D122</f>
        <v>25088</v>
      </c>
      <c r="E123" s="131">
        <f>+E102+E122</f>
        <v>18154</v>
      </c>
      <c r="F123" s="131">
        <f>+F102+F122</f>
        <v>43242</v>
      </c>
    </row>
    <row r="124" spans="2:6" ht="15.75">
      <c r="B124" s="4"/>
      <c r="C124" s="4"/>
      <c r="D124" s="141"/>
      <c r="E124" s="141"/>
      <c r="F124" s="142"/>
    </row>
    <row r="125" spans="2:6" ht="15.75">
      <c r="B125" s="74" t="s">
        <v>676</v>
      </c>
      <c r="C125" s="74"/>
      <c r="D125" s="93">
        <f>+D102-D56</f>
        <v>-14196</v>
      </c>
      <c r="E125" s="93">
        <f>+E102-E56</f>
        <v>0</v>
      </c>
      <c r="F125" s="93">
        <f>+F102-F56</f>
        <v>-14196</v>
      </c>
    </row>
    <row r="126" spans="2:6" ht="15.75">
      <c r="B126" s="74" t="s">
        <v>746</v>
      </c>
      <c r="C126" s="74"/>
      <c r="D126" s="93">
        <f>+D122-D60</f>
        <v>14196</v>
      </c>
      <c r="E126" s="93">
        <f>+E122-E60</f>
        <v>0</v>
      </c>
      <c r="F126" s="93">
        <f>+F122-F60</f>
        <v>14196</v>
      </c>
    </row>
    <row r="127" spans="2:6" ht="15.75">
      <c r="B127" s="4"/>
      <c r="C127" s="4"/>
      <c r="D127" s="141"/>
      <c r="E127" s="141"/>
      <c r="F127" s="142"/>
    </row>
    <row r="128" spans="2:6" ht="15.75">
      <c r="B128" s="143" t="s">
        <v>756</v>
      </c>
      <c r="C128" s="4"/>
      <c r="D128" s="141">
        <f>+D123-D61</f>
        <v>0</v>
      </c>
      <c r="E128" s="141">
        <f>+E123-E61</f>
        <v>0</v>
      </c>
      <c r="F128" s="141">
        <f>+F123-F61</f>
        <v>0</v>
      </c>
    </row>
    <row r="129" spans="2:6" ht="15.75">
      <c r="B129" s="4"/>
      <c r="C129" s="4"/>
      <c r="D129" s="141"/>
      <c r="E129" s="141"/>
      <c r="F129" s="142"/>
    </row>
    <row r="130" spans="2:6" ht="15.75">
      <c r="B130" s="4"/>
      <c r="C130" s="4"/>
      <c r="D130" s="141"/>
      <c r="E130" s="141"/>
      <c r="F130" s="142"/>
    </row>
    <row r="131" spans="2:6" ht="15.75">
      <c r="B131" s="4"/>
      <c r="C131" s="4"/>
      <c r="D131" s="141"/>
      <c r="E131" s="141"/>
      <c r="F131" s="142"/>
    </row>
    <row r="132" spans="2:6" ht="15.75">
      <c r="B132" s="4"/>
      <c r="C132" s="4"/>
      <c r="D132" s="141"/>
      <c r="E132" s="141"/>
      <c r="F132" s="142"/>
    </row>
    <row r="133" spans="2:6" ht="15.75">
      <c r="B133" s="4"/>
      <c r="C133" s="4"/>
      <c r="D133" s="141"/>
      <c r="E133" s="141"/>
      <c r="F133" s="142"/>
    </row>
    <row r="134" spans="2:6" ht="15.75">
      <c r="B134" s="4"/>
      <c r="C134" s="4"/>
      <c r="D134" s="141"/>
      <c r="E134" s="141"/>
      <c r="F134" s="142"/>
    </row>
    <row r="135" spans="2:6" ht="15.75">
      <c r="B135" s="4"/>
      <c r="C135" s="4"/>
      <c r="D135" s="141"/>
      <c r="E135" s="141"/>
      <c r="F135" s="142"/>
    </row>
    <row r="136" spans="2:6" ht="15.75">
      <c r="B136" s="4"/>
      <c r="C136" s="4"/>
      <c r="D136" s="141"/>
      <c r="E136" s="141"/>
      <c r="F136" s="142"/>
    </row>
    <row r="137" spans="2:6" ht="15.75">
      <c r="B137" s="4"/>
      <c r="C137" s="4"/>
      <c r="D137" s="141"/>
      <c r="E137" s="141"/>
      <c r="F137" s="142"/>
    </row>
    <row r="138" spans="2:6" ht="15.75">
      <c r="B138" s="4"/>
      <c r="C138" s="4"/>
      <c r="D138" s="141"/>
      <c r="E138" s="141"/>
      <c r="F138" s="142"/>
    </row>
    <row r="139" spans="2:6" ht="15.75">
      <c r="B139" s="4"/>
      <c r="C139" s="4"/>
      <c r="D139" s="141"/>
      <c r="E139" s="141"/>
      <c r="F139" s="142"/>
    </row>
    <row r="140" spans="2:6" ht="15.75">
      <c r="B140" s="4"/>
      <c r="C140" s="4"/>
      <c r="D140" s="141"/>
      <c r="E140" s="141"/>
      <c r="F140" s="142"/>
    </row>
    <row r="141" spans="2:6" ht="15.75">
      <c r="B141" s="4"/>
      <c r="C141" s="4"/>
      <c r="D141" s="141"/>
      <c r="E141" s="141"/>
      <c r="F141" s="142"/>
    </row>
    <row r="142" spans="2:6" ht="15.75">
      <c r="B142" s="4"/>
      <c r="C142" s="4"/>
      <c r="D142" s="141"/>
      <c r="E142" s="141"/>
      <c r="F142" s="142"/>
    </row>
    <row r="143" spans="2:6" ht="15.75">
      <c r="B143" s="4"/>
      <c r="C143" s="4"/>
      <c r="D143" s="141"/>
      <c r="E143" s="141"/>
      <c r="F143" s="142"/>
    </row>
    <row r="144" spans="2:6" ht="15.75">
      <c r="B144" s="4"/>
      <c r="C144" s="4"/>
      <c r="D144" s="141"/>
      <c r="E144" s="141"/>
      <c r="F144" s="142"/>
    </row>
    <row r="145" spans="2:6" ht="15.75">
      <c r="B145" s="4"/>
      <c r="C145" s="4"/>
      <c r="D145" s="141"/>
      <c r="E145" s="141"/>
      <c r="F145" s="142"/>
    </row>
    <row r="146" spans="2:6" ht="15.75">
      <c r="B146" s="4"/>
      <c r="C146" s="4"/>
      <c r="D146" s="141"/>
      <c r="E146" s="141"/>
      <c r="F146" s="142"/>
    </row>
    <row r="147" spans="2:6" ht="15.75">
      <c r="B147" s="4"/>
      <c r="C147" s="4"/>
      <c r="D147" s="141"/>
      <c r="E147" s="141"/>
      <c r="F147" s="142"/>
    </row>
    <row r="148" spans="2:6" ht="15.75">
      <c r="B148" s="4"/>
      <c r="C148" s="4"/>
      <c r="D148" s="141"/>
      <c r="E148" s="141"/>
      <c r="F148" s="142"/>
    </row>
    <row r="149" spans="2:6" ht="15.75">
      <c r="B149" s="4"/>
      <c r="C149" s="4"/>
      <c r="D149" s="141"/>
      <c r="E149" s="141"/>
      <c r="F149" s="142"/>
    </row>
    <row r="150" spans="2:6" ht="15.75">
      <c r="B150" s="4"/>
      <c r="C150" s="4"/>
      <c r="D150" s="141"/>
      <c r="E150" s="141"/>
      <c r="F150" s="142"/>
    </row>
    <row r="151" spans="2:6" ht="15.75">
      <c r="B151" s="4"/>
      <c r="C151" s="4"/>
      <c r="D151" s="141"/>
      <c r="E151" s="141"/>
      <c r="F151" s="142"/>
    </row>
    <row r="152" spans="2:6" ht="15.75">
      <c r="B152" s="4"/>
      <c r="C152" s="4"/>
      <c r="D152" s="141"/>
      <c r="E152" s="141"/>
      <c r="F152" s="142"/>
    </row>
    <row r="153" spans="2:6" ht="15.75">
      <c r="B153" s="4"/>
      <c r="C153" s="4"/>
      <c r="D153" s="141"/>
      <c r="E153" s="141"/>
      <c r="F153" s="142"/>
    </row>
    <row r="154" spans="2:6" ht="15.75">
      <c r="B154" s="4"/>
      <c r="C154" s="4"/>
      <c r="D154" s="141"/>
      <c r="E154" s="141"/>
      <c r="F154" s="142"/>
    </row>
    <row r="155" spans="2:6" ht="15.75">
      <c r="B155" s="4"/>
      <c r="C155" s="4"/>
      <c r="D155" s="141"/>
      <c r="E155" s="141"/>
      <c r="F155" s="142"/>
    </row>
    <row r="156" spans="2:6" ht="15.75">
      <c r="B156" s="4"/>
      <c r="C156" s="4"/>
      <c r="D156" s="141"/>
      <c r="E156" s="141"/>
      <c r="F156" s="142"/>
    </row>
    <row r="157" spans="2:6" ht="15.75">
      <c r="B157" s="4"/>
      <c r="C157" s="4"/>
      <c r="D157" s="141"/>
      <c r="E157" s="141"/>
      <c r="F157" s="142"/>
    </row>
    <row r="158" spans="2:6" ht="15.75">
      <c r="B158" s="4"/>
      <c r="C158" s="4"/>
      <c r="D158" s="141"/>
      <c r="E158" s="141"/>
      <c r="F158" s="142"/>
    </row>
    <row r="159" spans="2:6" ht="15.75">
      <c r="B159" s="4"/>
      <c r="C159" s="4"/>
      <c r="D159" s="141"/>
      <c r="E159" s="141"/>
      <c r="F159" s="142"/>
    </row>
    <row r="160" spans="2:6" ht="15.75">
      <c r="B160" s="4"/>
      <c r="C160" s="4"/>
      <c r="D160" s="141"/>
      <c r="E160" s="141"/>
      <c r="F160" s="142"/>
    </row>
    <row r="161" spans="2:6" ht="15.75">
      <c r="B161" s="4"/>
      <c r="C161" s="4"/>
      <c r="D161" s="141"/>
      <c r="E161" s="141"/>
      <c r="F161" s="142"/>
    </row>
    <row r="162" spans="2:6" ht="15.75">
      <c r="B162" s="4"/>
      <c r="C162" s="4"/>
      <c r="D162" s="141"/>
      <c r="E162" s="141"/>
      <c r="F162" s="142"/>
    </row>
    <row r="163" spans="2:6" ht="15.75">
      <c r="B163" s="4"/>
      <c r="C163" s="4"/>
      <c r="D163" s="141"/>
      <c r="E163" s="141"/>
      <c r="F163" s="142"/>
    </row>
    <row r="164" spans="2:6" ht="15.75">
      <c r="B164" s="4"/>
      <c r="C164" s="4"/>
      <c r="D164" s="141"/>
      <c r="E164" s="141"/>
      <c r="F164" s="142"/>
    </row>
    <row r="165" spans="2:6" ht="15.75">
      <c r="B165" s="4"/>
      <c r="C165" s="4"/>
      <c r="D165" s="141"/>
      <c r="E165" s="141"/>
      <c r="F165" s="142"/>
    </row>
    <row r="166" spans="2:6" ht="15.75">
      <c r="B166" s="4"/>
      <c r="C166" s="4"/>
      <c r="D166" s="141"/>
      <c r="E166" s="141"/>
      <c r="F166" s="142"/>
    </row>
    <row r="167" spans="2:6" ht="15.75">
      <c r="B167" s="4"/>
      <c r="C167" s="4"/>
      <c r="D167" s="141"/>
      <c r="E167" s="141"/>
      <c r="F167" s="142"/>
    </row>
    <row r="168" spans="2:6" ht="15.75">
      <c r="B168" s="4"/>
      <c r="C168" s="4"/>
      <c r="D168" s="141"/>
      <c r="E168" s="141"/>
      <c r="F168" s="142"/>
    </row>
    <row r="169" spans="2:6" ht="15.75">
      <c r="B169" s="4"/>
      <c r="C169" s="4"/>
      <c r="D169" s="141"/>
      <c r="E169" s="141"/>
      <c r="F169" s="142"/>
    </row>
    <row r="170" spans="2:6" ht="15.75">
      <c r="B170" s="4"/>
      <c r="C170" s="4"/>
      <c r="D170" s="141"/>
      <c r="E170" s="141"/>
      <c r="F170" s="142"/>
    </row>
    <row r="171" spans="2:6" ht="15.75">
      <c r="B171" s="4"/>
      <c r="C171" s="4"/>
      <c r="D171" s="141"/>
      <c r="E171" s="141"/>
      <c r="F171" s="142"/>
    </row>
    <row r="172" spans="2:6" ht="15.75">
      <c r="B172" s="4"/>
      <c r="C172" s="4"/>
      <c r="D172" s="141"/>
      <c r="E172" s="141"/>
      <c r="F172" s="142"/>
    </row>
    <row r="173" spans="2:6" ht="15.75">
      <c r="B173" s="4"/>
      <c r="C173" s="4"/>
      <c r="D173" s="141"/>
      <c r="E173" s="141"/>
      <c r="F173" s="142"/>
    </row>
    <row r="174" spans="2:6" ht="15.75">
      <c r="B174" s="4"/>
      <c r="C174" s="4"/>
      <c r="D174" s="141"/>
      <c r="E174" s="141"/>
      <c r="F174" s="142"/>
    </row>
    <row r="175" spans="2:6" ht="15.75">
      <c r="B175" s="4"/>
      <c r="C175" s="4"/>
      <c r="D175" s="141"/>
      <c r="E175" s="141"/>
      <c r="F175" s="142"/>
    </row>
    <row r="176" spans="2:6" ht="15.75">
      <c r="B176" s="4"/>
      <c r="C176" s="4"/>
      <c r="D176" s="141"/>
      <c r="E176" s="141"/>
      <c r="F176" s="142"/>
    </row>
    <row r="177" spans="2:6" ht="15.75">
      <c r="B177" s="4"/>
      <c r="C177" s="4"/>
      <c r="D177" s="141"/>
      <c r="E177" s="141"/>
      <c r="F177" s="142"/>
    </row>
    <row r="178" spans="2:6" ht="15.75">
      <c r="B178" s="4"/>
      <c r="C178" s="4"/>
      <c r="D178" s="141"/>
      <c r="E178" s="141"/>
      <c r="F178" s="142"/>
    </row>
    <row r="179" spans="2:6" ht="15.75">
      <c r="B179" s="4"/>
      <c r="C179" s="4"/>
      <c r="D179" s="141"/>
      <c r="E179" s="141"/>
      <c r="F179" s="142"/>
    </row>
    <row r="180" spans="2:6" ht="15.75">
      <c r="B180" s="4"/>
      <c r="C180" s="4"/>
      <c r="D180" s="141"/>
      <c r="E180" s="141"/>
      <c r="F180" s="142"/>
    </row>
    <row r="181" spans="2:6" ht="15.75">
      <c r="B181" s="4"/>
      <c r="C181" s="4"/>
      <c r="D181" s="141"/>
      <c r="E181" s="141"/>
      <c r="F181" s="142"/>
    </row>
    <row r="182" spans="2:6" ht="15.75">
      <c r="B182" s="4"/>
      <c r="C182" s="4"/>
      <c r="D182" s="141"/>
      <c r="E182" s="141"/>
      <c r="F182" s="142"/>
    </row>
    <row r="183" spans="2:6" ht="15.75">
      <c r="B183" s="4"/>
      <c r="C183" s="4"/>
      <c r="D183" s="141"/>
      <c r="E183" s="141"/>
      <c r="F183" s="142"/>
    </row>
    <row r="184" spans="2:6" ht="15.75">
      <c r="B184" s="4"/>
      <c r="C184" s="4"/>
      <c r="D184" s="141"/>
      <c r="E184" s="141"/>
      <c r="F184" s="142"/>
    </row>
    <row r="185" spans="2:6" ht="15.75">
      <c r="B185" s="4"/>
      <c r="C185" s="4"/>
      <c r="D185" s="141"/>
      <c r="E185" s="141"/>
      <c r="F185" s="142"/>
    </row>
    <row r="186" spans="2:6" ht="15.75">
      <c r="B186" s="4"/>
      <c r="C186" s="4"/>
      <c r="D186" s="141"/>
      <c r="E186" s="141"/>
      <c r="F186" s="142"/>
    </row>
    <row r="187" spans="2:6" ht="15.75">
      <c r="B187" s="4"/>
      <c r="C187" s="4"/>
      <c r="D187" s="4"/>
      <c r="E187" s="4"/>
      <c r="F187" s="3"/>
    </row>
    <row r="188" spans="2:6" ht="15.75">
      <c r="B188" s="4"/>
      <c r="C188" s="4"/>
      <c r="D188" s="4"/>
      <c r="E188" s="4"/>
      <c r="F188" s="3"/>
    </row>
    <row r="189" spans="2:6" ht="15.75">
      <c r="B189" s="4"/>
      <c r="C189" s="4"/>
      <c r="D189" s="4"/>
      <c r="E189" s="4"/>
      <c r="F189" s="3"/>
    </row>
    <row r="190" spans="2:6" ht="15.75">
      <c r="B190" s="4"/>
      <c r="C190" s="4"/>
      <c r="D190" s="4"/>
      <c r="E190" s="4"/>
      <c r="F190" s="3"/>
    </row>
    <row r="191" spans="2:6" ht="15.75">
      <c r="B191" s="4"/>
      <c r="C191" s="4"/>
      <c r="D191" s="4"/>
      <c r="E191" s="4"/>
      <c r="F191" s="3"/>
    </row>
    <row r="192" spans="2:6" ht="15.75">
      <c r="B192" s="4"/>
      <c r="C192" s="4"/>
      <c r="D192" s="4"/>
      <c r="E192" s="4"/>
      <c r="F192" s="3"/>
    </row>
    <row r="193" spans="2:6" ht="15.75">
      <c r="B193" s="4"/>
      <c r="C193" s="4"/>
      <c r="D193" s="4"/>
      <c r="E193" s="4"/>
      <c r="F193" s="3"/>
    </row>
    <row r="194" spans="2:6" ht="15.75">
      <c r="B194" s="4"/>
      <c r="C194" s="4"/>
      <c r="D194" s="4"/>
      <c r="E194" s="4"/>
      <c r="F194" s="3"/>
    </row>
    <row r="195" spans="2:6" ht="15.75">
      <c r="B195" s="4"/>
      <c r="C195" s="4"/>
      <c r="D195" s="4"/>
      <c r="E195" s="4"/>
      <c r="F195" s="3"/>
    </row>
    <row r="196" spans="2:6" ht="15.75">
      <c r="B196" s="4"/>
      <c r="C196" s="4"/>
      <c r="D196" s="4"/>
      <c r="E196" s="4"/>
      <c r="F196" s="3"/>
    </row>
    <row r="197" spans="2:6" ht="15.75">
      <c r="B197" s="4"/>
      <c r="C197" s="4"/>
      <c r="D197" s="4"/>
      <c r="E197" s="4"/>
      <c r="F197" s="3"/>
    </row>
    <row r="198" spans="2:6" ht="15.75">
      <c r="B198" s="4"/>
      <c r="C198" s="4"/>
      <c r="D198" s="4"/>
      <c r="E198" s="4"/>
      <c r="F198" s="3"/>
    </row>
    <row r="199" spans="2:6" ht="15.75">
      <c r="B199" s="4"/>
      <c r="C199" s="4"/>
      <c r="D199" s="4"/>
      <c r="E199" s="4"/>
      <c r="F199" s="3"/>
    </row>
    <row r="200" spans="2:6" ht="15.75">
      <c r="B200" s="4"/>
      <c r="C200" s="4"/>
      <c r="D200" s="4"/>
      <c r="E200" s="4"/>
      <c r="F200" s="3"/>
    </row>
    <row r="201" spans="2:6" ht="15.75">
      <c r="B201" s="4"/>
      <c r="C201" s="4"/>
      <c r="D201" s="4"/>
      <c r="E201" s="4"/>
      <c r="F201" s="3"/>
    </row>
    <row r="202" spans="2:6" ht="15.75">
      <c r="B202" s="4"/>
      <c r="C202" s="4"/>
      <c r="D202" s="4"/>
      <c r="E202" s="4"/>
      <c r="F202" s="3"/>
    </row>
    <row r="203" spans="2:6" ht="15.75">
      <c r="B203" s="4"/>
      <c r="C203" s="4"/>
      <c r="D203" s="4"/>
      <c r="E203" s="4"/>
      <c r="F203" s="3"/>
    </row>
    <row r="204" spans="2:6" ht="15.75">
      <c r="B204" s="4"/>
      <c r="C204" s="4"/>
      <c r="D204" s="4"/>
      <c r="E204" s="4"/>
      <c r="F204" s="3"/>
    </row>
    <row r="205" spans="2:6" ht="15.75">
      <c r="B205" s="4"/>
      <c r="C205" s="4"/>
      <c r="D205" s="4"/>
      <c r="E205" s="4"/>
      <c r="F205" s="3"/>
    </row>
    <row r="206" spans="2:6" ht="15.75">
      <c r="B206" s="4"/>
      <c r="C206" s="4"/>
      <c r="D206" s="4"/>
      <c r="E206" s="4"/>
      <c r="F206" s="3"/>
    </row>
    <row r="207" spans="2:6" ht="15.75">
      <c r="B207" s="4"/>
      <c r="C207" s="4"/>
      <c r="D207" s="4"/>
      <c r="E207" s="4"/>
      <c r="F207" s="3"/>
    </row>
    <row r="208" spans="2:6" ht="15.75">
      <c r="B208" s="4"/>
      <c r="C208" s="4"/>
      <c r="D208" s="4"/>
      <c r="E208" s="4"/>
      <c r="F208" s="3"/>
    </row>
    <row r="209" spans="2:6" ht="15.75">
      <c r="B209" s="4"/>
      <c r="C209" s="4"/>
      <c r="D209" s="4"/>
      <c r="E209" s="4"/>
      <c r="F209" s="3"/>
    </row>
    <row r="210" spans="2:6" ht="15.75">
      <c r="B210" s="4"/>
      <c r="C210" s="4"/>
      <c r="D210" s="4"/>
      <c r="E210" s="4"/>
      <c r="F210" s="3"/>
    </row>
    <row r="211" spans="2:6" ht="15.75">
      <c r="B211" s="4"/>
      <c r="C211" s="4"/>
      <c r="D211" s="4"/>
      <c r="E211" s="4"/>
      <c r="F211" s="3"/>
    </row>
    <row r="212" spans="2:6" ht="15.75">
      <c r="B212" s="4"/>
      <c r="C212" s="4"/>
      <c r="D212" s="4"/>
      <c r="E212" s="4"/>
      <c r="F212" s="3"/>
    </row>
    <row r="213" spans="2:6" ht="15.75">
      <c r="B213" s="4"/>
      <c r="C213" s="4"/>
      <c r="D213" s="4"/>
      <c r="E213" s="4"/>
      <c r="F213" s="3"/>
    </row>
    <row r="214" spans="2:6" ht="15.75">
      <c r="B214" s="4"/>
      <c r="C214" s="4"/>
      <c r="D214" s="4"/>
      <c r="E214" s="4"/>
      <c r="F214" s="3"/>
    </row>
    <row r="215" spans="2:6" ht="15.75">
      <c r="B215" s="4"/>
      <c r="C215" s="4"/>
      <c r="D215" s="4"/>
      <c r="E215" s="4"/>
      <c r="F215" s="3"/>
    </row>
    <row r="216" spans="2:6" ht="15.75">
      <c r="B216" s="4"/>
      <c r="C216" s="4"/>
      <c r="D216" s="4"/>
      <c r="E216" s="4"/>
      <c r="F216" s="3"/>
    </row>
    <row r="217" spans="2:6" ht="15.75">
      <c r="B217" s="4"/>
      <c r="C217" s="4"/>
      <c r="D217" s="4"/>
      <c r="E217" s="4"/>
      <c r="F217" s="3"/>
    </row>
    <row r="218" spans="2:6" ht="15.75">
      <c r="B218" s="4"/>
      <c r="C218" s="4"/>
      <c r="D218" s="4"/>
      <c r="E218" s="4"/>
      <c r="F218" s="3"/>
    </row>
    <row r="219" spans="2:6" ht="15.75">
      <c r="B219" s="4"/>
      <c r="C219" s="4"/>
      <c r="D219" s="4"/>
      <c r="E219" s="4"/>
      <c r="F219" s="3"/>
    </row>
    <row r="220" spans="2:6" ht="15.75">
      <c r="B220" s="4"/>
      <c r="C220" s="4"/>
      <c r="D220" s="4"/>
      <c r="E220" s="4"/>
      <c r="F220" s="3"/>
    </row>
    <row r="221" spans="2:6" ht="15.75">
      <c r="B221" s="4"/>
      <c r="C221" s="4"/>
      <c r="D221" s="4"/>
      <c r="E221" s="4"/>
      <c r="F221" s="3"/>
    </row>
    <row r="222" spans="2:6" ht="15.75">
      <c r="B222" s="4"/>
      <c r="C222" s="4"/>
      <c r="D222" s="4"/>
      <c r="E222" s="4"/>
      <c r="F222" s="3"/>
    </row>
    <row r="223" spans="2:6" ht="15.75">
      <c r="B223" s="4"/>
      <c r="C223" s="4"/>
      <c r="D223" s="4"/>
      <c r="E223" s="4"/>
      <c r="F223" s="3"/>
    </row>
    <row r="224" spans="2:6" ht="15.75">
      <c r="B224" s="4"/>
      <c r="C224" s="4"/>
      <c r="D224" s="4"/>
      <c r="E224" s="4"/>
      <c r="F224" s="3"/>
    </row>
    <row r="225" spans="2:6" ht="15.75">
      <c r="B225" s="4"/>
      <c r="C225" s="4"/>
      <c r="D225" s="4"/>
      <c r="E225" s="4"/>
      <c r="F225" s="3"/>
    </row>
    <row r="226" spans="2:6" ht="15.75">
      <c r="B226" s="4"/>
      <c r="C226" s="4"/>
      <c r="D226" s="4"/>
      <c r="E226" s="4"/>
      <c r="F226" s="3"/>
    </row>
    <row r="227" spans="2:6" ht="15.75">
      <c r="B227" s="4"/>
      <c r="C227" s="4"/>
      <c r="D227" s="4"/>
      <c r="E227" s="4"/>
      <c r="F227" s="3"/>
    </row>
    <row r="228" spans="2:6" ht="15.75">
      <c r="B228" s="4"/>
      <c r="C228" s="4"/>
      <c r="D228" s="4"/>
      <c r="E228" s="4"/>
      <c r="F228" s="3"/>
    </row>
    <row r="229" spans="2:6" ht="15.75">
      <c r="B229" s="4"/>
      <c r="C229" s="4"/>
      <c r="D229" s="4"/>
      <c r="E229" s="4"/>
      <c r="F229" s="3"/>
    </row>
    <row r="230" spans="2:6" ht="15.75">
      <c r="B230" s="4"/>
      <c r="C230" s="4"/>
      <c r="D230" s="4"/>
      <c r="E230" s="4"/>
      <c r="F230" s="3"/>
    </row>
    <row r="231" spans="2:6" ht="15.75">
      <c r="B231" s="4"/>
      <c r="C231" s="4"/>
      <c r="D231" s="4"/>
      <c r="E231" s="4"/>
      <c r="F231" s="3"/>
    </row>
    <row r="232" spans="2:6" ht="15.75">
      <c r="B232" s="4"/>
      <c r="C232" s="4"/>
      <c r="D232" s="4"/>
      <c r="E232" s="4"/>
      <c r="F232" s="3"/>
    </row>
    <row r="233" spans="2:6" ht="15.75">
      <c r="B233" s="4"/>
      <c r="C233" s="4"/>
      <c r="D233" s="4"/>
      <c r="E233" s="4"/>
      <c r="F233" s="3"/>
    </row>
    <row r="234" spans="2:6" ht="15.75">
      <c r="B234" s="4"/>
      <c r="C234" s="4"/>
      <c r="D234" s="4"/>
      <c r="E234" s="4"/>
      <c r="F234" s="3"/>
    </row>
    <row r="235" spans="2:6" ht="15.75">
      <c r="B235" s="4"/>
      <c r="C235" s="4"/>
      <c r="D235" s="4"/>
      <c r="E235" s="4"/>
      <c r="F235" s="3"/>
    </row>
    <row r="236" spans="2:6" ht="15.75">
      <c r="B236" s="4"/>
      <c r="C236" s="4"/>
      <c r="D236" s="4"/>
      <c r="E236" s="4"/>
      <c r="F236" s="3"/>
    </row>
    <row r="237" spans="2:6" ht="15.75">
      <c r="B237" s="4"/>
      <c r="C237" s="4"/>
      <c r="D237" s="4"/>
      <c r="E237" s="4"/>
      <c r="F237" s="3"/>
    </row>
    <row r="238" spans="2:6" ht="15.75">
      <c r="B238" s="4"/>
      <c r="C238" s="4"/>
      <c r="D238" s="4"/>
      <c r="E238" s="4"/>
      <c r="F238" s="3"/>
    </row>
    <row r="239" spans="2:6" ht="15.75">
      <c r="B239" s="4"/>
      <c r="C239" s="4"/>
      <c r="D239" s="4"/>
      <c r="E239" s="4"/>
      <c r="F239" s="3"/>
    </row>
    <row r="240" spans="2:6" ht="15.75">
      <c r="B240" s="4"/>
      <c r="C240" s="4"/>
      <c r="D240" s="4"/>
      <c r="E240" s="4"/>
      <c r="F240" s="3"/>
    </row>
    <row r="241" spans="2:6" ht="15.75">
      <c r="B241" s="4"/>
      <c r="C241" s="4"/>
      <c r="D241" s="4"/>
      <c r="E241" s="4"/>
      <c r="F241" s="3"/>
    </row>
    <row r="242" spans="2:6" ht="15.75">
      <c r="B242" s="4"/>
      <c r="C242" s="4"/>
      <c r="D242" s="4"/>
      <c r="E242" s="4"/>
      <c r="F242" s="3"/>
    </row>
    <row r="243" spans="2:6" ht="15.75">
      <c r="B243" s="4"/>
      <c r="C243" s="4"/>
      <c r="D243" s="4"/>
      <c r="E243" s="4"/>
      <c r="F243" s="3"/>
    </row>
    <row r="244" spans="2:6" ht="15.75">
      <c r="B244" s="4"/>
      <c r="C244" s="4"/>
      <c r="D244" s="4"/>
      <c r="E244" s="4"/>
      <c r="F244" s="3"/>
    </row>
    <row r="245" spans="2:6" ht="15.75">
      <c r="B245" s="4"/>
      <c r="C245" s="4"/>
      <c r="D245" s="4"/>
      <c r="E245" s="4"/>
      <c r="F245" s="3"/>
    </row>
    <row r="246" spans="2:6" ht="15.75">
      <c r="B246" s="4"/>
      <c r="C246" s="4"/>
      <c r="D246" s="4"/>
      <c r="E246" s="4"/>
      <c r="F246" s="3"/>
    </row>
    <row r="247" spans="2:6" ht="15.75">
      <c r="B247" s="4"/>
      <c r="C247" s="4"/>
      <c r="D247" s="4"/>
      <c r="E247" s="4"/>
      <c r="F247" s="3"/>
    </row>
    <row r="248" spans="2:6" ht="15.75">
      <c r="B248" s="4"/>
      <c r="C248" s="4"/>
      <c r="D248" s="4"/>
      <c r="E248" s="4"/>
      <c r="F248" s="3"/>
    </row>
    <row r="249" spans="2:6" ht="15.75">
      <c r="B249" s="4"/>
      <c r="C249" s="4"/>
      <c r="D249" s="4"/>
      <c r="E249" s="4"/>
      <c r="F249" s="3"/>
    </row>
    <row r="250" spans="2:6" ht="15.75">
      <c r="B250" s="4"/>
      <c r="C250" s="4"/>
      <c r="D250" s="4"/>
      <c r="E250" s="4"/>
      <c r="F250" s="3"/>
    </row>
    <row r="251" spans="2:6" ht="15.75">
      <c r="B251" s="4"/>
      <c r="C251" s="4"/>
      <c r="D251" s="4"/>
      <c r="E251" s="4"/>
      <c r="F251" s="3"/>
    </row>
    <row r="252" spans="2:6" ht="15.75">
      <c r="B252" s="4"/>
      <c r="C252" s="4"/>
      <c r="D252" s="4"/>
      <c r="E252" s="4"/>
      <c r="F252" s="3"/>
    </row>
  </sheetData>
  <sheetProtection/>
  <printOptions horizontalCentered="1"/>
  <pageMargins left="0.6692913385826772" right="0.3937007874015748" top="0.5905511811023623" bottom="0.5118110236220472" header="0.31496062992125984" footer="0.31496062992125984"/>
  <pageSetup horizontalDpi="300" verticalDpi="300" orientation="portrait" paperSize="9" scale="70" r:id="rId1"/>
  <headerFooter alignWithMargins="0">
    <oddFooter>&amp;R&amp;P</oddFooter>
  </headerFooter>
  <rowBreaks count="1" manualBreakCount="1">
    <brk id="63" min="1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35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1" width="5.421875" style="21" customWidth="1"/>
    <col min="2" max="2" width="68.57421875" style="21" customWidth="1"/>
    <col min="3" max="3" width="13.57421875" style="21" customWidth="1"/>
    <col min="4" max="4" width="12.7109375" style="21" customWidth="1"/>
    <col min="5" max="5" width="14.00390625" style="21" customWidth="1"/>
    <col min="6" max="6" width="9.8515625" style="21" customWidth="1"/>
    <col min="7" max="7" width="9.421875" style="21" customWidth="1"/>
    <col min="8" max="8" width="9.57421875" style="21" customWidth="1"/>
    <col min="9" max="9" width="15.140625" style="21" customWidth="1"/>
    <col min="10" max="10" width="16.8515625" style="21" customWidth="1"/>
    <col min="11" max="11" width="15.140625" style="21" bestFit="1" customWidth="1"/>
    <col min="12" max="16384" width="9.140625" style="21" customWidth="1"/>
  </cols>
  <sheetData>
    <row r="1" spans="2:11" ht="25.5" customHeight="1">
      <c r="B1" s="393" t="s">
        <v>757</v>
      </c>
      <c r="C1" s="393"/>
      <c r="D1" s="393"/>
      <c r="E1" s="393"/>
      <c r="F1" s="393"/>
      <c r="G1" s="393"/>
      <c r="H1" s="393"/>
      <c r="I1" s="34"/>
      <c r="J1" s="34"/>
      <c r="K1" s="71" t="s">
        <v>18</v>
      </c>
    </row>
    <row r="2" spans="2:11" ht="23.25" customHeight="1">
      <c r="B2" s="401" t="s">
        <v>758</v>
      </c>
      <c r="C2" s="401"/>
      <c r="D2" s="401"/>
      <c r="E2" s="401"/>
      <c r="F2" s="401"/>
      <c r="G2" s="401"/>
      <c r="H2" s="401"/>
      <c r="I2" s="67"/>
      <c r="J2" s="67"/>
      <c r="K2" s="144" t="s">
        <v>68</v>
      </c>
    </row>
    <row r="3" ht="15">
      <c r="B3" s="60"/>
    </row>
    <row r="4" spans="2:3" ht="15">
      <c r="B4" s="60"/>
      <c r="C4" s="56" t="s">
        <v>747</v>
      </c>
    </row>
    <row r="5" ht="15">
      <c r="B5" s="60"/>
    </row>
    <row r="6" spans="1:11" s="59" customFormat="1" ht="102" customHeight="1">
      <c r="A6" s="63" t="s">
        <v>759</v>
      </c>
      <c r="B6" s="61" t="s">
        <v>783</v>
      </c>
      <c r="C6" s="62" t="s">
        <v>750</v>
      </c>
      <c r="D6" s="62" t="s">
        <v>748</v>
      </c>
      <c r="E6" s="62" t="s">
        <v>751</v>
      </c>
      <c r="F6" s="62" t="s">
        <v>752</v>
      </c>
      <c r="G6" s="62" t="s">
        <v>753</v>
      </c>
      <c r="H6" s="62" t="s">
        <v>755</v>
      </c>
      <c r="I6" s="62" t="s">
        <v>754</v>
      </c>
      <c r="J6" s="62" t="s">
        <v>749</v>
      </c>
      <c r="K6" s="63" t="s">
        <v>813</v>
      </c>
    </row>
    <row r="7" spans="1:11" s="29" customFormat="1" ht="15" customHeight="1">
      <c r="A7" s="58">
        <v>1</v>
      </c>
      <c r="B7" s="64" t="s">
        <v>656</v>
      </c>
      <c r="C7" s="65"/>
      <c r="D7" s="65">
        <v>2</v>
      </c>
      <c r="E7" s="65"/>
      <c r="F7" s="65"/>
      <c r="G7" s="65"/>
      <c r="H7" s="65"/>
      <c r="I7" s="65"/>
      <c r="J7" s="65"/>
      <c r="K7" s="66">
        <f>SUM(C7:J7)</f>
        <v>2</v>
      </c>
    </row>
    <row r="8" spans="1:11" s="38" customFormat="1" ht="15" customHeight="1">
      <c r="A8" s="69">
        <v>2</v>
      </c>
      <c r="B8" s="64" t="s">
        <v>657</v>
      </c>
      <c r="C8" s="65"/>
      <c r="D8" s="65">
        <f>18+1</f>
        <v>19</v>
      </c>
      <c r="E8" s="65"/>
      <c r="F8" s="65"/>
      <c r="G8" s="65"/>
      <c r="H8" s="65"/>
      <c r="I8" s="65"/>
      <c r="J8" s="65"/>
      <c r="K8" s="66">
        <f aca="true" t="shared" si="0" ref="K8:K32">SUM(C8:J8)</f>
        <v>19</v>
      </c>
    </row>
    <row r="9" spans="1:11" s="38" customFormat="1" ht="15" customHeight="1">
      <c r="A9" s="69">
        <v>3</v>
      </c>
      <c r="B9" s="64" t="s">
        <v>658</v>
      </c>
      <c r="C9" s="65"/>
      <c r="D9" s="65">
        <v>16</v>
      </c>
      <c r="E9" s="65"/>
      <c r="F9" s="65"/>
      <c r="G9" s="65"/>
      <c r="H9" s="65"/>
      <c r="I9" s="65"/>
      <c r="J9" s="65"/>
      <c r="K9" s="66">
        <f t="shared" si="0"/>
        <v>16</v>
      </c>
    </row>
    <row r="10" spans="1:11" s="38" customFormat="1" ht="15" customHeight="1">
      <c r="A10" s="58">
        <v>4</v>
      </c>
      <c r="B10" s="64" t="s">
        <v>659</v>
      </c>
      <c r="C10" s="65"/>
      <c r="D10" s="65">
        <v>1</v>
      </c>
      <c r="E10" s="65"/>
      <c r="F10" s="65"/>
      <c r="G10" s="65"/>
      <c r="H10" s="65"/>
      <c r="I10" s="65"/>
      <c r="J10" s="65"/>
      <c r="K10" s="66">
        <f t="shared" si="0"/>
        <v>1</v>
      </c>
    </row>
    <row r="11" spans="1:11" s="284" customFormat="1" ht="15" customHeight="1">
      <c r="A11" s="338">
        <v>5</v>
      </c>
      <c r="B11" s="339" t="s">
        <v>760</v>
      </c>
      <c r="C11" s="340">
        <f>SUM(C7:C10)</f>
        <v>0</v>
      </c>
      <c r="D11" s="340">
        <f aca="true" t="shared" si="1" ref="D11:K11">SUM(D7:D10)</f>
        <v>38</v>
      </c>
      <c r="E11" s="340">
        <f t="shared" si="1"/>
        <v>0</v>
      </c>
      <c r="F11" s="340">
        <f t="shared" si="1"/>
        <v>0</v>
      </c>
      <c r="G11" s="340">
        <f t="shared" si="1"/>
        <v>0</v>
      </c>
      <c r="H11" s="340">
        <f t="shared" si="1"/>
        <v>0</v>
      </c>
      <c r="I11" s="340">
        <f t="shared" si="1"/>
        <v>0</v>
      </c>
      <c r="J11" s="340">
        <f t="shared" si="1"/>
        <v>0</v>
      </c>
      <c r="K11" s="340">
        <f t="shared" si="1"/>
        <v>38</v>
      </c>
    </row>
    <row r="12" spans="1:11" s="38" customFormat="1" ht="15" customHeight="1">
      <c r="A12" s="69">
        <v>6</v>
      </c>
      <c r="B12" s="64" t="s">
        <v>660</v>
      </c>
      <c r="C12" s="65"/>
      <c r="D12" s="65"/>
      <c r="E12" s="65">
        <v>1</v>
      </c>
      <c r="F12" s="65">
        <v>3</v>
      </c>
      <c r="G12" s="65">
        <v>1</v>
      </c>
      <c r="H12" s="65">
        <v>1</v>
      </c>
      <c r="I12" s="65">
        <v>1</v>
      </c>
      <c r="J12" s="65">
        <v>1</v>
      </c>
      <c r="K12" s="66">
        <f t="shared" si="0"/>
        <v>8</v>
      </c>
    </row>
    <row r="13" spans="1:11" s="38" customFormat="1" ht="27.75" customHeight="1">
      <c r="A13" s="58">
        <v>7</v>
      </c>
      <c r="B13" s="64" t="s">
        <v>661</v>
      </c>
      <c r="C13" s="65"/>
      <c r="D13" s="65"/>
      <c r="E13" s="65"/>
      <c r="F13" s="65">
        <v>1</v>
      </c>
      <c r="G13" s="65">
        <v>1</v>
      </c>
      <c r="H13" s="65"/>
      <c r="I13" s="65">
        <v>0</v>
      </c>
      <c r="J13" s="65">
        <v>3</v>
      </c>
      <c r="K13" s="66">
        <f t="shared" si="0"/>
        <v>5</v>
      </c>
    </row>
    <row r="14" spans="1:11" s="38" customFormat="1" ht="15" customHeight="1">
      <c r="A14" s="69">
        <v>8</v>
      </c>
      <c r="B14" s="64" t="s">
        <v>662</v>
      </c>
      <c r="C14" s="65"/>
      <c r="D14" s="65"/>
      <c r="E14" s="65"/>
      <c r="F14" s="65">
        <v>8</v>
      </c>
      <c r="G14" s="65"/>
      <c r="H14" s="65"/>
      <c r="I14" s="65">
        <v>0</v>
      </c>
      <c r="J14" s="65"/>
      <c r="K14" s="66">
        <f t="shared" si="0"/>
        <v>8</v>
      </c>
    </row>
    <row r="15" spans="1:11" s="38" customFormat="1" ht="15" customHeight="1">
      <c r="A15" s="69">
        <v>9</v>
      </c>
      <c r="B15" s="64" t="s">
        <v>663</v>
      </c>
      <c r="C15" s="65"/>
      <c r="D15" s="65"/>
      <c r="E15" s="65">
        <v>5</v>
      </c>
      <c r="F15" s="65">
        <v>28</v>
      </c>
      <c r="G15" s="65">
        <v>46</v>
      </c>
      <c r="H15" s="65">
        <v>1</v>
      </c>
      <c r="I15" s="65">
        <v>3</v>
      </c>
      <c r="J15" s="65">
        <v>30</v>
      </c>
      <c r="K15" s="66">
        <f t="shared" si="0"/>
        <v>113</v>
      </c>
    </row>
    <row r="16" spans="1:11" s="38" customFormat="1" ht="15" customHeight="1">
      <c r="A16" s="58">
        <v>10</v>
      </c>
      <c r="B16" s="64" t="s">
        <v>664</v>
      </c>
      <c r="C16" s="65"/>
      <c r="D16" s="65"/>
      <c r="E16" s="65">
        <v>20</v>
      </c>
      <c r="F16" s="65">
        <v>13</v>
      </c>
      <c r="G16" s="65">
        <v>18</v>
      </c>
      <c r="H16" s="65">
        <v>1</v>
      </c>
      <c r="I16" s="65">
        <v>3</v>
      </c>
      <c r="J16" s="65">
        <f>14+5</f>
        <v>19</v>
      </c>
      <c r="K16" s="66">
        <f t="shared" si="0"/>
        <v>74</v>
      </c>
    </row>
    <row r="17" spans="1:11" s="38" customFormat="1" ht="15" customHeight="1">
      <c r="A17" s="69">
        <v>11</v>
      </c>
      <c r="B17" s="64" t="s">
        <v>665</v>
      </c>
      <c r="C17" s="65"/>
      <c r="D17" s="65"/>
      <c r="E17" s="65">
        <v>28</v>
      </c>
      <c r="F17" s="65">
        <v>44</v>
      </c>
      <c r="G17" s="65">
        <v>33</v>
      </c>
      <c r="H17" s="65">
        <v>3</v>
      </c>
      <c r="I17" s="65">
        <v>2</v>
      </c>
      <c r="J17" s="65">
        <v>1</v>
      </c>
      <c r="K17" s="66">
        <f t="shared" si="0"/>
        <v>111</v>
      </c>
    </row>
    <row r="18" spans="1:11" s="38" customFormat="1" ht="15" customHeight="1">
      <c r="A18" s="69">
        <v>12</v>
      </c>
      <c r="B18" s="64" t="s">
        <v>666</v>
      </c>
      <c r="C18" s="65"/>
      <c r="D18" s="65"/>
      <c r="E18" s="65"/>
      <c r="F18" s="65"/>
      <c r="G18" s="65"/>
      <c r="H18" s="65"/>
      <c r="I18" s="65">
        <v>0</v>
      </c>
      <c r="J18" s="65"/>
      <c r="K18" s="66">
        <f t="shared" si="0"/>
        <v>0</v>
      </c>
    </row>
    <row r="19" spans="1:11" s="284" customFormat="1" ht="15" customHeight="1">
      <c r="A19" s="341">
        <v>13</v>
      </c>
      <c r="B19" s="339" t="s">
        <v>761</v>
      </c>
      <c r="C19" s="340">
        <f>SUM(C12:C18)</f>
        <v>0</v>
      </c>
      <c r="D19" s="340">
        <f aca="true" t="shared" si="2" ref="D19:K19">SUM(D12:D18)</f>
        <v>0</v>
      </c>
      <c r="E19" s="340">
        <f t="shared" si="2"/>
        <v>54</v>
      </c>
      <c r="F19" s="340">
        <f t="shared" si="2"/>
        <v>97</v>
      </c>
      <c r="G19" s="340">
        <f t="shared" si="2"/>
        <v>99</v>
      </c>
      <c r="H19" s="340">
        <f t="shared" si="2"/>
        <v>6</v>
      </c>
      <c r="I19" s="340">
        <f t="shared" si="2"/>
        <v>9</v>
      </c>
      <c r="J19" s="340">
        <f t="shared" si="2"/>
        <v>54</v>
      </c>
      <c r="K19" s="340">
        <f t="shared" si="2"/>
        <v>319</v>
      </c>
    </row>
    <row r="20" spans="1:11" s="38" customFormat="1" ht="25.5">
      <c r="A20" s="69">
        <v>14</v>
      </c>
      <c r="B20" s="64" t="s">
        <v>773</v>
      </c>
      <c r="C20" s="65"/>
      <c r="D20" s="65">
        <v>10</v>
      </c>
      <c r="E20" s="65"/>
      <c r="F20" s="65"/>
      <c r="G20" s="65"/>
      <c r="H20" s="65"/>
      <c r="I20" s="65"/>
      <c r="J20" s="65"/>
      <c r="K20" s="66">
        <f t="shared" si="0"/>
        <v>10</v>
      </c>
    </row>
    <row r="21" spans="1:11" s="38" customFormat="1" ht="15" customHeight="1">
      <c r="A21" s="69">
        <v>15</v>
      </c>
      <c r="B21" s="64" t="s">
        <v>774</v>
      </c>
      <c r="C21" s="65"/>
      <c r="D21" s="65"/>
      <c r="E21" s="65"/>
      <c r="F21" s="65"/>
      <c r="G21" s="65"/>
      <c r="H21" s="65"/>
      <c r="I21" s="65"/>
      <c r="J21" s="65"/>
      <c r="K21" s="66">
        <f t="shared" si="0"/>
        <v>0</v>
      </c>
    </row>
    <row r="22" spans="1:11" s="38" customFormat="1" ht="15" customHeight="1">
      <c r="A22" s="58">
        <v>16</v>
      </c>
      <c r="B22" s="64" t="s">
        <v>775</v>
      </c>
      <c r="C22" s="65"/>
      <c r="D22" s="65">
        <v>7</v>
      </c>
      <c r="E22" s="65">
        <v>3</v>
      </c>
      <c r="F22" s="65"/>
      <c r="G22" s="65">
        <v>7.5</v>
      </c>
      <c r="H22" s="65"/>
      <c r="I22" s="65"/>
      <c r="J22" s="65">
        <v>177</v>
      </c>
      <c r="K22" s="66">
        <f t="shared" si="0"/>
        <v>194.5</v>
      </c>
    </row>
    <row r="23" spans="1:11" s="284" customFormat="1" ht="15" customHeight="1">
      <c r="A23" s="338">
        <v>17</v>
      </c>
      <c r="B23" s="339" t="s">
        <v>762</v>
      </c>
      <c r="C23" s="340">
        <f>SUM(C20:C22)</f>
        <v>0</v>
      </c>
      <c r="D23" s="340">
        <f aca="true" t="shared" si="3" ref="D23:K23">SUM(D20:D22)</f>
        <v>17</v>
      </c>
      <c r="E23" s="340">
        <f t="shared" si="3"/>
        <v>3</v>
      </c>
      <c r="F23" s="340">
        <f t="shared" si="3"/>
        <v>0</v>
      </c>
      <c r="G23" s="340">
        <f t="shared" si="3"/>
        <v>7.5</v>
      </c>
      <c r="H23" s="340">
        <f t="shared" si="3"/>
        <v>0</v>
      </c>
      <c r="I23" s="340">
        <f t="shared" si="3"/>
        <v>0</v>
      </c>
      <c r="J23" s="340">
        <f t="shared" si="3"/>
        <v>177</v>
      </c>
      <c r="K23" s="340">
        <f t="shared" si="3"/>
        <v>204.5</v>
      </c>
    </row>
    <row r="24" spans="1:11" s="38" customFormat="1" ht="12.75">
      <c r="A24" s="69">
        <v>18</v>
      </c>
      <c r="B24" s="64" t="s">
        <v>776</v>
      </c>
      <c r="C24" s="65">
        <v>1</v>
      </c>
      <c r="D24" s="65"/>
      <c r="E24" s="65"/>
      <c r="F24" s="65"/>
      <c r="G24" s="65"/>
      <c r="H24" s="65"/>
      <c r="I24" s="65"/>
      <c r="J24" s="65"/>
      <c r="K24" s="66">
        <f t="shared" si="0"/>
        <v>1</v>
      </c>
    </row>
    <row r="25" spans="1:11" s="38" customFormat="1" ht="12.75">
      <c r="A25" s="58">
        <v>19</v>
      </c>
      <c r="B25" s="64" t="s">
        <v>777</v>
      </c>
      <c r="C25" s="65">
        <v>12</v>
      </c>
      <c r="D25" s="65"/>
      <c r="E25" s="65"/>
      <c r="F25" s="65"/>
      <c r="G25" s="65"/>
      <c r="H25" s="65"/>
      <c r="I25" s="65"/>
      <c r="J25" s="65"/>
      <c r="K25" s="66">
        <f t="shared" si="0"/>
        <v>12</v>
      </c>
    </row>
    <row r="26" spans="1:11" s="38" customFormat="1" ht="25.5">
      <c r="A26" s="69">
        <v>20</v>
      </c>
      <c r="B26" s="64" t="s">
        <v>778</v>
      </c>
      <c r="C26" s="65">
        <v>1</v>
      </c>
      <c r="D26" s="65"/>
      <c r="E26" s="65"/>
      <c r="F26" s="65"/>
      <c r="G26" s="65"/>
      <c r="H26" s="65"/>
      <c r="I26" s="65"/>
      <c r="J26" s="65"/>
      <c r="K26" s="66">
        <f t="shared" si="0"/>
        <v>1</v>
      </c>
    </row>
    <row r="27" spans="1:11" s="284" customFormat="1" ht="15" customHeight="1">
      <c r="A27" s="338">
        <v>21</v>
      </c>
      <c r="B27" s="339" t="s">
        <v>763</v>
      </c>
      <c r="C27" s="340">
        <f>SUM(C24:C26)</f>
        <v>14</v>
      </c>
      <c r="D27" s="340">
        <f aca="true" t="shared" si="4" ref="D27:K27">SUM(D24:D26)</f>
        <v>0</v>
      </c>
      <c r="E27" s="340">
        <f t="shared" si="4"/>
        <v>0</v>
      </c>
      <c r="F27" s="340">
        <f t="shared" si="4"/>
        <v>0</v>
      </c>
      <c r="G27" s="340">
        <f t="shared" si="4"/>
        <v>0</v>
      </c>
      <c r="H27" s="340">
        <f t="shared" si="4"/>
        <v>0</v>
      </c>
      <c r="I27" s="340">
        <f t="shared" si="4"/>
        <v>0</v>
      </c>
      <c r="J27" s="340">
        <f t="shared" si="4"/>
        <v>0</v>
      </c>
      <c r="K27" s="340">
        <f t="shared" si="4"/>
        <v>14</v>
      </c>
    </row>
    <row r="28" spans="1:11" s="284" customFormat="1" ht="37.5" customHeight="1">
      <c r="A28" s="341">
        <v>22</v>
      </c>
      <c r="B28" s="339" t="s">
        <v>764</v>
      </c>
      <c r="C28" s="342">
        <f>+C27+C23+C19+C11</f>
        <v>14</v>
      </c>
      <c r="D28" s="342">
        <f aca="true" t="shared" si="5" ref="D28:K28">+D27+D23+D19+D11</f>
        <v>55</v>
      </c>
      <c r="E28" s="342">
        <f t="shared" si="5"/>
        <v>57</v>
      </c>
      <c r="F28" s="342">
        <f t="shared" si="5"/>
        <v>97</v>
      </c>
      <c r="G28" s="342">
        <f t="shared" si="5"/>
        <v>106.5</v>
      </c>
      <c r="H28" s="342">
        <f t="shared" si="5"/>
        <v>6</v>
      </c>
      <c r="I28" s="342">
        <f t="shared" si="5"/>
        <v>9</v>
      </c>
      <c r="J28" s="342">
        <f t="shared" si="5"/>
        <v>231</v>
      </c>
      <c r="K28" s="342">
        <f t="shared" si="5"/>
        <v>575.5</v>
      </c>
    </row>
    <row r="29" spans="1:11" s="38" customFormat="1" ht="25.5">
      <c r="A29" s="69">
        <v>23</v>
      </c>
      <c r="B29" s="64" t="s">
        <v>779</v>
      </c>
      <c r="C29" s="65"/>
      <c r="D29" s="65"/>
      <c r="E29" s="65"/>
      <c r="F29" s="65"/>
      <c r="G29" s="65"/>
      <c r="H29" s="65"/>
      <c r="I29" s="65"/>
      <c r="J29" s="65"/>
      <c r="K29" s="66">
        <f t="shared" si="0"/>
        <v>0</v>
      </c>
    </row>
    <row r="30" spans="1:11" s="38" customFormat="1" ht="38.25">
      <c r="A30" s="69">
        <v>24</v>
      </c>
      <c r="B30" s="64" t="s">
        <v>780</v>
      </c>
      <c r="C30" s="65"/>
      <c r="D30" s="65"/>
      <c r="E30" s="65"/>
      <c r="F30" s="65"/>
      <c r="G30" s="65"/>
      <c r="H30" s="65"/>
      <c r="I30" s="65"/>
      <c r="J30" s="65"/>
      <c r="K30" s="66">
        <f t="shared" si="0"/>
        <v>0</v>
      </c>
    </row>
    <row r="31" spans="1:11" s="38" customFormat="1" ht="25.5">
      <c r="A31" s="58">
        <v>25</v>
      </c>
      <c r="B31" s="64" t="s">
        <v>781</v>
      </c>
      <c r="C31" s="65"/>
      <c r="D31" s="65"/>
      <c r="E31" s="65"/>
      <c r="F31" s="65"/>
      <c r="G31" s="65"/>
      <c r="H31" s="65"/>
      <c r="I31" s="65"/>
      <c r="J31" s="65"/>
      <c r="K31" s="66">
        <f t="shared" si="0"/>
        <v>0</v>
      </c>
    </row>
    <row r="32" spans="1:11" s="38" customFormat="1" ht="12.75">
      <c r="A32" s="69">
        <v>26</v>
      </c>
      <c r="B32" s="64" t="s">
        <v>782</v>
      </c>
      <c r="C32" s="65"/>
      <c r="D32" s="65"/>
      <c r="E32" s="65"/>
      <c r="F32" s="65"/>
      <c r="G32" s="65"/>
      <c r="H32" s="65"/>
      <c r="I32" s="65"/>
      <c r="J32" s="65"/>
      <c r="K32" s="66">
        <f t="shared" si="0"/>
        <v>0</v>
      </c>
    </row>
    <row r="33" spans="1:11" s="284" customFormat="1" ht="36.75" customHeight="1">
      <c r="A33" s="338">
        <v>27</v>
      </c>
      <c r="B33" s="339" t="s">
        <v>765</v>
      </c>
      <c r="C33" s="340">
        <f>SUM(C29:C32)</f>
        <v>0</v>
      </c>
      <c r="D33" s="340">
        <f aca="true" t="shared" si="6" ref="D33:K33">SUM(D29:D32)</f>
        <v>0</v>
      </c>
      <c r="E33" s="340">
        <f t="shared" si="6"/>
        <v>0</v>
      </c>
      <c r="F33" s="340">
        <f t="shared" si="6"/>
        <v>0</v>
      </c>
      <c r="G33" s="340">
        <f t="shared" si="6"/>
        <v>0</v>
      </c>
      <c r="H33" s="340">
        <f t="shared" si="6"/>
        <v>0</v>
      </c>
      <c r="I33" s="340">
        <f t="shared" si="6"/>
        <v>0</v>
      </c>
      <c r="J33" s="340">
        <f t="shared" si="6"/>
        <v>0</v>
      </c>
      <c r="K33" s="340">
        <f t="shared" si="6"/>
        <v>0</v>
      </c>
    </row>
    <row r="34" spans="2:10" s="38" customFormat="1" ht="12.75">
      <c r="B34" s="402"/>
      <c r="C34" s="403"/>
      <c r="D34" s="403"/>
      <c r="E34" s="403"/>
      <c r="F34" s="403"/>
      <c r="G34" s="403"/>
      <c r="H34" s="403"/>
      <c r="I34" s="403"/>
      <c r="J34" s="403"/>
    </row>
    <row r="35" spans="2:10" s="38" customFormat="1" ht="12.75">
      <c r="B35" s="404"/>
      <c r="C35" s="403"/>
      <c r="D35" s="403"/>
      <c r="E35" s="403"/>
      <c r="F35" s="403"/>
      <c r="G35" s="403"/>
      <c r="H35" s="403"/>
      <c r="I35" s="403"/>
      <c r="J35" s="403"/>
    </row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</sheetData>
  <sheetProtection/>
  <mergeCells count="4">
    <mergeCell ref="B1:H1"/>
    <mergeCell ref="B2:H2"/>
    <mergeCell ref="B34:J34"/>
    <mergeCell ref="B35:J35"/>
  </mergeCells>
  <printOptions/>
  <pageMargins left="0.59" right="0.41" top="0.71" bottom="0.55" header="0.31496062992125984" footer="0.31496062992125984"/>
  <pageSetup fitToHeight="1" fitToWidth="1" horizontalDpi="300" verticalDpi="300" orientation="landscape" paperSize="9" scale="71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52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79.7109375" style="4" customWidth="1"/>
    <col min="2" max="2" width="9.140625" style="4" customWidth="1"/>
    <col min="3" max="3" width="15.421875" style="141" customWidth="1"/>
    <col min="4" max="16384" width="9.140625" style="4" customWidth="1"/>
  </cols>
  <sheetData>
    <row r="1" ht="15.75">
      <c r="C1" s="71" t="s">
        <v>17</v>
      </c>
    </row>
    <row r="2" ht="15.75">
      <c r="C2" s="144" t="s">
        <v>68</v>
      </c>
    </row>
    <row r="3" ht="15.75">
      <c r="C3" s="144"/>
    </row>
    <row r="4" spans="1:3" ht="28.5" customHeight="1">
      <c r="A4" s="32" t="s">
        <v>757</v>
      </c>
      <c r="B4" s="101"/>
      <c r="C4" s="101"/>
    </row>
    <row r="5" spans="1:3" ht="18.75">
      <c r="A5" s="32"/>
      <c r="B5" s="101"/>
      <c r="C5" s="101"/>
    </row>
    <row r="6" spans="1:3" ht="15.75" customHeight="1">
      <c r="A6" s="185" t="s">
        <v>32</v>
      </c>
      <c r="B6" s="185"/>
      <c r="C6" s="185"/>
    </row>
    <row r="7" spans="1:3" ht="15.75">
      <c r="A7" s="191"/>
      <c r="B7" s="192"/>
      <c r="C7" s="194"/>
    </row>
    <row r="9" spans="1:3" s="77" customFormat="1" ht="31.5">
      <c r="A9" s="253" t="s">
        <v>792</v>
      </c>
      <c r="B9" s="79" t="s">
        <v>77</v>
      </c>
      <c r="C9" s="335" t="s">
        <v>819</v>
      </c>
    </row>
    <row r="10" spans="1:3" ht="15.75">
      <c r="A10" s="207" t="s">
        <v>358</v>
      </c>
      <c r="B10" s="81" t="s">
        <v>122</v>
      </c>
      <c r="C10" s="154">
        <v>13340</v>
      </c>
    </row>
    <row r="11" spans="1:3" ht="15.75">
      <c r="A11" s="207" t="s">
        <v>361</v>
      </c>
      <c r="B11" s="81" t="s">
        <v>122</v>
      </c>
      <c r="C11" s="154">
        <v>1200</v>
      </c>
    </row>
    <row r="12" spans="1:3" ht="15.75">
      <c r="A12" s="207" t="s">
        <v>362</v>
      </c>
      <c r="B12" s="81" t="s">
        <v>122</v>
      </c>
      <c r="C12" s="154">
        <v>4000</v>
      </c>
    </row>
    <row r="13" spans="1:3" ht="15.75">
      <c r="A13" s="207" t="s">
        <v>364</v>
      </c>
      <c r="B13" s="81" t="s">
        <v>122</v>
      </c>
      <c r="C13" s="154"/>
    </row>
    <row r="14" spans="1:3" ht="15.75">
      <c r="A14" s="207" t="s">
        <v>363</v>
      </c>
      <c r="B14" s="81" t="s">
        <v>122</v>
      </c>
      <c r="C14" s="154"/>
    </row>
    <row r="15" spans="1:3" s="258" customFormat="1" ht="15.75">
      <c r="A15" s="336" t="s">
        <v>540</v>
      </c>
      <c r="B15" s="256" t="s">
        <v>122</v>
      </c>
      <c r="C15" s="257">
        <f>SUM(C10:C14)</f>
        <v>18540</v>
      </c>
    </row>
    <row r="16" spans="1:3" ht="15.75">
      <c r="A16" s="88" t="s">
        <v>335</v>
      </c>
      <c r="B16" s="81" t="s">
        <v>123</v>
      </c>
      <c r="C16" s="154"/>
    </row>
    <row r="17" spans="1:3" ht="15.75">
      <c r="A17" s="88" t="s">
        <v>336</v>
      </c>
      <c r="B17" s="81" t="s">
        <v>123</v>
      </c>
      <c r="C17" s="154"/>
    </row>
    <row r="18" spans="1:3" ht="15.75">
      <c r="A18" s="88" t="s">
        <v>337</v>
      </c>
      <c r="B18" s="81" t="s">
        <v>123</v>
      </c>
      <c r="C18" s="154"/>
    </row>
    <row r="19" spans="1:3" ht="15.75">
      <c r="A19" s="88" t="s">
        <v>338</v>
      </c>
      <c r="B19" s="81" t="s">
        <v>123</v>
      </c>
      <c r="C19" s="154"/>
    </row>
    <row r="20" spans="1:3" ht="15.75">
      <c r="A20" s="80" t="s">
        <v>339</v>
      </c>
      <c r="B20" s="81" t="s">
        <v>123</v>
      </c>
      <c r="C20" s="92">
        <v>3399</v>
      </c>
    </row>
    <row r="21" spans="1:3" ht="15.75">
      <c r="A21" s="80" t="s">
        <v>340</v>
      </c>
      <c r="B21" s="81" t="s">
        <v>123</v>
      </c>
      <c r="C21" s="92">
        <v>500</v>
      </c>
    </row>
    <row r="22" spans="1:3" s="260" customFormat="1" ht="15.75">
      <c r="A22" s="267" t="s">
        <v>539</v>
      </c>
      <c r="B22" s="337" t="s">
        <v>123</v>
      </c>
      <c r="C22" s="262">
        <f>SUM(C16:C21)</f>
        <v>3899</v>
      </c>
    </row>
    <row r="23" spans="1:3" ht="15.75">
      <c r="A23" s="88" t="s">
        <v>341</v>
      </c>
      <c r="B23" s="81" t="s">
        <v>124</v>
      </c>
      <c r="C23" s="92">
        <v>168948</v>
      </c>
    </row>
    <row r="24" spans="1:3" s="260" customFormat="1" ht="15.75">
      <c r="A24" s="267" t="s">
        <v>538</v>
      </c>
      <c r="B24" s="337" t="s">
        <v>124</v>
      </c>
      <c r="C24" s="262">
        <f>+C23</f>
        <v>168948</v>
      </c>
    </row>
    <row r="25" spans="1:3" ht="15.75">
      <c r="A25" s="88" t="s">
        <v>342</v>
      </c>
      <c r="B25" s="81" t="s">
        <v>125</v>
      </c>
      <c r="C25" s="92"/>
    </row>
    <row r="26" spans="1:3" ht="15.75">
      <c r="A26" s="88" t="s">
        <v>343</v>
      </c>
      <c r="B26" s="81" t="s">
        <v>125</v>
      </c>
      <c r="C26" s="92">
        <v>1260</v>
      </c>
    </row>
    <row r="27" spans="1:3" ht="15.75">
      <c r="A27" s="80" t="s">
        <v>344</v>
      </c>
      <c r="B27" s="81" t="s">
        <v>125</v>
      </c>
      <c r="C27" s="92">
        <v>34344</v>
      </c>
    </row>
    <row r="28" spans="1:3" ht="15.75">
      <c r="A28" s="80" t="s">
        <v>345</v>
      </c>
      <c r="B28" s="81" t="s">
        <v>125</v>
      </c>
      <c r="C28" s="92"/>
    </row>
    <row r="29" spans="1:3" ht="15.75">
      <c r="A29" s="80" t="s">
        <v>346</v>
      </c>
      <c r="B29" s="81" t="s">
        <v>125</v>
      </c>
      <c r="C29" s="92"/>
    </row>
    <row r="30" spans="1:3" ht="31.5">
      <c r="A30" s="193" t="s">
        <v>347</v>
      </c>
      <c r="B30" s="81" t="s">
        <v>125</v>
      </c>
      <c r="C30" s="92"/>
    </row>
    <row r="31" spans="1:3" s="260" customFormat="1" ht="15.75">
      <c r="A31" s="329" t="s">
        <v>537</v>
      </c>
      <c r="B31" s="337" t="s">
        <v>125</v>
      </c>
      <c r="C31" s="262">
        <f>SUM(C25:C30)</f>
        <v>35604</v>
      </c>
    </row>
    <row r="32" spans="1:3" ht="15.75">
      <c r="A32" s="88" t="s">
        <v>348</v>
      </c>
      <c r="B32" s="81" t="s">
        <v>126</v>
      </c>
      <c r="C32" s="92"/>
    </row>
    <row r="33" spans="1:3" ht="15.75">
      <c r="A33" s="88" t="s">
        <v>349</v>
      </c>
      <c r="B33" s="81" t="s">
        <v>126</v>
      </c>
      <c r="C33" s="92"/>
    </row>
    <row r="34" spans="1:3" s="260" customFormat="1" ht="15.75">
      <c r="A34" s="329" t="s">
        <v>536</v>
      </c>
      <c r="B34" s="256" t="s">
        <v>126</v>
      </c>
      <c r="C34" s="262">
        <f>SUM(C32:C33)</f>
        <v>0</v>
      </c>
    </row>
    <row r="35" spans="1:3" ht="15.75">
      <c r="A35" s="88" t="s">
        <v>350</v>
      </c>
      <c r="B35" s="81" t="s">
        <v>127</v>
      </c>
      <c r="C35" s="92"/>
    </row>
    <row r="36" spans="1:3" ht="15.75">
      <c r="A36" s="88" t="s">
        <v>351</v>
      </c>
      <c r="B36" s="81" t="s">
        <v>127</v>
      </c>
      <c r="C36" s="92">
        <v>15396</v>
      </c>
    </row>
    <row r="37" spans="1:3" ht="15.75">
      <c r="A37" s="80" t="s">
        <v>352</v>
      </c>
      <c r="B37" s="81" t="s">
        <v>127</v>
      </c>
      <c r="C37" s="92">
        <v>22500</v>
      </c>
    </row>
    <row r="38" spans="1:3" ht="15.75">
      <c r="A38" s="80" t="s">
        <v>353</v>
      </c>
      <c r="B38" s="81" t="s">
        <v>127</v>
      </c>
      <c r="C38" s="92">
        <v>1500</v>
      </c>
    </row>
    <row r="39" spans="1:3" ht="15.75">
      <c r="A39" s="80" t="s">
        <v>354</v>
      </c>
      <c r="B39" s="81" t="s">
        <v>127</v>
      </c>
      <c r="C39" s="92"/>
    </row>
    <row r="40" spans="1:3" ht="15.75">
      <c r="A40" s="80" t="s">
        <v>391</v>
      </c>
      <c r="B40" s="81" t="s">
        <v>127</v>
      </c>
      <c r="C40" s="92"/>
    </row>
    <row r="41" spans="1:3" ht="15.75">
      <c r="A41" s="80" t="s">
        <v>392</v>
      </c>
      <c r="B41" s="81" t="s">
        <v>127</v>
      </c>
      <c r="C41" s="92"/>
    </row>
    <row r="42" spans="1:3" ht="15.75">
      <c r="A42" s="80" t="s">
        <v>393</v>
      </c>
      <c r="B42" s="81" t="s">
        <v>127</v>
      </c>
      <c r="C42" s="92"/>
    </row>
    <row r="43" spans="1:3" ht="15.75">
      <c r="A43" s="80" t="s">
        <v>394</v>
      </c>
      <c r="B43" s="81" t="s">
        <v>127</v>
      </c>
      <c r="C43" s="92">
        <v>4500</v>
      </c>
    </row>
    <row r="44" spans="1:3" ht="15.75">
      <c r="A44" s="80" t="s">
        <v>395</v>
      </c>
      <c r="B44" s="81" t="s">
        <v>127</v>
      </c>
      <c r="C44" s="92"/>
    </row>
    <row r="45" spans="1:3" ht="31.5">
      <c r="A45" s="80" t="s">
        <v>396</v>
      </c>
      <c r="B45" s="81" t="s">
        <v>127</v>
      </c>
      <c r="C45" s="92"/>
    </row>
    <row r="46" spans="1:3" ht="31.5">
      <c r="A46" s="80" t="s">
        <v>397</v>
      </c>
      <c r="B46" s="81" t="s">
        <v>127</v>
      </c>
      <c r="C46" s="92"/>
    </row>
    <row r="47" spans="1:3" s="260" customFormat="1" ht="15.75">
      <c r="A47" s="329" t="s">
        <v>535</v>
      </c>
      <c r="B47" s="337" t="s">
        <v>127</v>
      </c>
      <c r="C47" s="262">
        <f>SUM(C35:C46)</f>
        <v>43896</v>
      </c>
    </row>
    <row r="48" spans="1:3" s="260" customFormat="1" ht="15.75">
      <c r="A48" s="334" t="s">
        <v>541</v>
      </c>
      <c r="B48" s="270" t="s">
        <v>128</v>
      </c>
      <c r="C48" s="262">
        <f>+C47+C34+C31+C24+C22+C15</f>
        <v>270887</v>
      </c>
    </row>
    <row r="51" ht="15.75">
      <c r="C51" s="141">
        <v>274387</v>
      </c>
    </row>
    <row r="52" spans="3:4" ht="15.75">
      <c r="C52" s="141">
        <f>+C51-C48</f>
        <v>3500</v>
      </c>
      <c r="D52" s="4" t="s">
        <v>238</v>
      </c>
    </row>
  </sheetData>
  <sheetProtection/>
  <printOptions/>
  <pageMargins left="0.69" right="0.53" top="0.7480314960629921" bottom="0.7480314960629921" header="0.31496062992125984" footer="0.31496062992125984"/>
  <pageSetup fitToHeight="1" fitToWidth="1" horizontalDpi="300" verticalDpi="300" orientation="portrait" paperSize="9" scale="86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79.57421875" style="4" customWidth="1"/>
    <col min="2" max="2" width="11.00390625" style="4" customWidth="1"/>
    <col min="3" max="4" width="15.8515625" style="141" customWidth="1"/>
    <col min="5" max="16384" width="9.140625" style="4" customWidth="1"/>
  </cols>
  <sheetData>
    <row r="1" ht="15.75">
      <c r="D1" s="71" t="s">
        <v>80</v>
      </c>
    </row>
    <row r="2" ht="15.75">
      <c r="D2" s="144" t="s">
        <v>68</v>
      </c>
    </row>
    <row r="3" ht="15.75">
      <c r="D3" s="36"/>
    </row>
    <row r="4" spans="1:5" ht="18.75">
      <c r="A4" s="32" t="s">
        <v>757</v>
      </c>
      <c r="B4" s="211"/>
      <c r="C4" s="211"/>
      <c r="D4" s="211"/>
      <c r="E4" s="211"/>
    </row>
    <row r="5" spans="1:5" ht="18.75">
      <c r="A5" s="32"/>
      <c r="B5"/>
      <c r="C5"/>
      <c r="D5"/>
      <c r="E5"/>
    </row>
    <row r="6" spans="1:4" ht="36" customHeight="1">
      <c r="A6" s="394" t="s">
        <v>105</v>
      </c>
      <c r="B6" s="395"/>
      <c r="C6" s="395"/>
      <c r="D6" s="405"/>
    </row>
    <row r="7" spans="1:3" ht="15.75">
      <c r="A7" s="84"/>
      <c r="B7" s="97"/>
      <c r="C7" s="166"/>
    </row>
    <row r="9" spans="1:4" s="77" customFormat="1" ht="31.5">
      <c r="A9" s="253" t="s">
        <v>533</v>
      </c>
      <c r="B9" s="79" t="s">
        <v>77</v>
      </c>
      <c r="C9" s="145" t="s">
        <v>769</v>
      </c>
      <c r="D9" s="145" t="s">
        <v>770</v>
      </c>
    </row>
    <row r="10" spans="1:4" s="86" customFormat="1" ht="15.75">
      <c r="A10" s="250" t="s">
        <v>440</v>
      </c>
      <c r="B10" s="150" t="s">
        <v>178</v>
      </c>
      <c r="C10" s="92">
        <f>934*2</f>
        <v>1868</v>
      </c>
      <c r="D10" s="92"/>
    </row>
    <row r="11" spans="1:4" s="86" customFormat="1" ht="15.75">
      <c r="A11" s="250" t="s">
        <v>441</v>
      </c>
      <c r="B11" s="150" t="s">
        <v>178</v>
      </c>
      <c r="C11" s="92"/>
      <c r="D11" s="92"/>
    </row>
    <row r="12" spans="1:5" s="86" customFormat="1" ht="15.75">
      <c r="A12" s="323" t="s">
        <v>110</v>
      </c>
      <c r="B12" s="150" t="s">
        <v>178</v>
      </c>
      <c r="C12" s="322">
        <f>510*12/2</f>
        <v>3060</v>
      </c>
      <c r="D12" s="92"/>
      <c r="E12" s="86" t="s">
        <v>436</v>
      </c>
    </row>
    <row r="13" spans="1:5" s="86" customFormat="1" ht="15.75">
      <c r="A13" s="324" t="s">
        <v>109</v>
      </c>
      <c r="B13" s="150" t="s">
        <v>178</v>
      </c>
      <c r="C13" s="322">
        <f>170*12/2</f>
        <v>1020</v>
      </c>
      <c r="D13" s="92"/>
      <c r="E13" s="86" t="s">
        <v>437</v>
      </c>
    </row>
    <row r="14" spans="1:4" s="328" customFormat="1" ht="15.75">
      <c r="A14" s="326" t="s">
        <v>424</v>
      </c>
      <c r="B14" s="327" t="s">
        <v>178</v>
      </c>
      <c r="C14" s="264">
        <f>SUM(C10:C13)</f>
        <v>5948</v>
      </c>
      <c r="D14" s="264">
        <f>SUM(D10:D13)</f>
        <v>0</v>
      </c>
    </row>
    <row r="15" spans="1:4" ht="15.75">
      <c r="A15" s="174" t="s">
        <v>179</v>
      </c>
      <c r="B15" s="150" t="s">
        <v>178</v>
      </c>
      <c r="C15" s="92">
        <f>+C14</f>
        <v>5948</v>
      </c>
      <c r="D15" s="92">
        <f>+D14</f>
        <v>0</v>
      </c>
    </row>
    <row r="16" spans="1:4" ht="15.75">
      <c r="A16" s="174" t="s">
        <v>180</v>
      </c>
      <c r="B16" s="150" t="s">
        <v>178</v>
      </c>
      <c r="C16" s="92"/>
      <c r="D16" s="92"/>
    </row>
    <row r="17" spans="1:4" s="328" customFormat="1" ht="20.25" customHeight="1">
      <c r="A17" s="326" t="s">
        <v>181</v>
      </c>
      <c r="B17" s="327" t="s">
        <v>182</v>
      </c>
      <c r="C17" s="264"/>
      <c r="D17" s="264"/>
    </row>
    <row r="18" spans="1:4" s="248" customFormat="1" ht="15.75">
      <c r="A18" s="325"/>
      <c r="B18" s="150" t="s">
        <v>183</v>
      </c>
      <c r="C18" s="151"/>
      <c r="D18" s="173"/>
    </row>
    <row r="19" spans="1:4" s="248" customFormat="1" ht="15.75">
      <c r="A19" s="325" t="s">
        <v>422</v>
      </c>
      <c r="B19" s="150" t="s">
        <v>183</v>
      </c>
      <c r="C19" s="151">
        <v>88500</v>
      </c>
      <c r="D19" s="173"/>
    </row>
    <row r="20" spans="1:4" s="328" customFormat="1" ht="15.75">
      <c r="A20" s="326" t="s">
        <v>423</v>
      </c>
      <c r="B20" s="327" t="s">
        <v>183</v>
      </c>
      <c r="C20" s="264">
        <f>SUM(C18:C19)</f>
        <v>88500</v>
      </c>
      <c r="D20" s="264"/>
    </row>
    <row r="21" spans="1:4" ht="15.75">
      <c r="A21" s="174" t="s">
        <v>179</v>
      </c>
      <c r="B21" s="150" t="s">
        <v>183</v>
      </c>
      <c r="C21" s="92">
        <f>+C20</f>
        <v>88500</v>
      </c>
      <c r="D21" s="92"/>
    </row>
    <row r="22" spans="1:4" ht="15.75">
      <c r="A22" s="174" t="s">
        <v>180</v>
      </c>
      <c r="B22" s="150" t="s">
        <v>183</v>
      </c>
      <c r="C22" s="92"/>
      <c r="D22" s="92"/>
    </row>
    <row r="23" spans="1:4" s="260" customFormat="1" ht="15.75">
      <c r="A23" s="329" t="s">
        <v>433</v>
      </c>
      <c r="B23" s="255" t="s">
        <v>184</v>
      </c>
      <c r="C23" s="262">
        <f>+C20+C17+C14</f>
        <v>94448</v>
      </c>
      <c r="D23" s="262">
        <f>+D20+D17+D14</f>
        <v>0</v>
      </c>
    </row>
    <row r="24" spans="1:4" s="248" customFormat="1" ht="15.75">
      <c r="A24" s="249" t="s">
        <v>543</v>
      </c>
      <c r="B24" s="247" t="s">
        <v>185</v>
      </c>
      <c r="C24" s="173"/>
      <c r="D24" s="173"/>
    </row>
    <row r="25" spans="1:4" ht="15.75">
      <c r="A25" s="174" t="s">
        <v>186</v>
      </c>
      <c r="B25" s="150" t="s">
        <v>185</v>
      </c>
      <c r="C25" s="92"/>
      <c r="D25" s="92"/>
    </row>
    <row r="26" spans="1:4" ht="15.75">
      <c r="A26" s="174" t="s">
        <v>187</v>
      </c>
      <c r="B26" s="150" t="s">
        <v>185</v>
      </c>
      <c r="C26" s="92"/>
      <c r="D26" s="92"/>
    </row>
    <row r="27" spans="1:4" s="328" customFormat="1" ht="15.75">
      <c r="A27" s="332" t="s">
        <v>544</v>
      </c>
      <c r="B27" s="327" t="s">
        <v>188</v>
      </c>
      <c r="C27" s="264">
        <v>0</v>
      </c>
      <c r="D27" s="264">
        <v>0</v>
      </c>
    </row>
    <row r="28" spans="1:4" ht="15.75">
      <c r="A28" s="174" t="s">
        <v>180</v>
      </c>
      <c r="B28" s="150" t="s">
        <v>188</v>
      </c>
      <c r="C28" s="92"/>
      <c r="D28" s="92"/>
    </row>
    <row r="29" spans="1:4" s="328" customFormat="1" ht="15.75">
      <c r="A29" s="331" t="s">
        <v>189</v>
      </c>
      <c r="B29" s="327" t="s">
        <v>190</v>
      </c>
      <c r="C29" s="264"/>
      <c r="D29" s="264"/>
    </row>
    <row r="30" spans="1:4" s="248" customFormat="1" ht="15.75">
      <c r="A30" s="388"/>
      <c r="B30" s="150" t="s">
        <v>191</v>
      </c>
      <c r="C30" s="151"/>
      <c r="D30" s="151"/>
    </row>
    <row r="31" spans="1:4" s="328" customFormat="1" ht="15.75">
      <c r="A31" s="331" t="s">
        <v>532</v>
      </c>
      <c r="B31" s="327" t="s">
        <v>191</v>
      </c>
      <c r="C31" s="264">
        <f>+C30</f>
        <v>0</v>
      </c>
      <c r="D31" s="264">
        <f>+D30</f>
        <v>0</v>
      </c>
    </row>
    <row r="32" spans="1:4" ht="15.75">
      <c r="A32" s="174" t="s">
        <v>187</v>
      </c>
      <c r="B32" s="150" t="s">
        <v>191</v>
      </c>
      <c r="C32" s="92"/>
      <c r="D32" s="92"/>
    </row>
    <row r="33" spans="1:4" ht="15.75">
      <c r="A33" s="174" t="s">
        <v>180</v>
      </c>
      <c r="B33" s="150" t="s">
        <v>191</v>
      </c>
      <c r="C33" s="92"/>
      <c r="D33" s="92"/>
    </row>
    <row r="34" spans="1:4" s="260" customFormat="1" ht="15.75">
      <c r="A34" s="330" t="s">
        <v>432</v>
      </c>
      <c r="B34" s="255" t="s">
        <v>192</v>
      </c>
      <c r="C34" s="262">
        <f>+C31+C29+C27+C24</f>
        <v>0</v>
      </c>
      <c r="D34" s="262">
        <f>+D31+D29+D27+D24</f>
        <v>0</v>
      </c>
    </row>
    <row r="35" spans="1:4" ht="15.75">
      <c r="A35" s="91" t="s">
        <v>193</v>
      </c>
      <c r="B35" s="90" t="s">
        <v>194</v>
      </c>
      <c r="C35" s="92"/>
      <c r="D35" s="92"/>
    </row>
    <row r="36" spans="1:4" ht="15.75">
      <c r="A36" s="91" t="s">
        <v>195</v>
      </c>
      <c r="B36" s="90" t="s">
        <v>196</v>
      </c>
      <c r="C36" s="92"/>
      <c r="D36" s="92"/>
    </row>
    <row r="37" spans="1:4" ht="15.75">
      <c r="A37" s="91" t="s">
        <v>198</v>
      </c>
      <c r="B37" s="90" t="s">
        <v>199</v>
      </c>
      <c r="C37" s="92"/>
      <c r="D37" s="92"/>
    </row>
    <row r="38" spans="1:4" ht="15.75">
      <c r="A38" s="91" t="s">
        <v>200</v>
      </c>
      <c r="B38" s="90" t="s">
        <v>201</v>
      </c>
      <c r="C38" s="92"/>
      <c r="D38" s="92"/>
    </row>
    <row r="39" spans="1:4" ht="15.75">
      <c r="A39" s="91" t="s">
        <v>202</v>
      </c>
      <c r="B39" s="90" t="s">
        <v>203</v>
      </c>
      <c r="C39" s="92"/>
      <c r="D39" s="92"/>
    </row>
    <row r="40" spans="1:4" s="260" customFormat="1" ht="15.75">
      <c r="A40" s="333" t="s">
        <v>431</v>
      </c>
      <c r="B40" s="300" t="s">
        <v>204</v>
      </c>
      <c r="C40" s="262">
        <f>SUM(C34:C39)+C23</f>
        <v>94448</v>
      </c>
      <c r="D40" s="262">
        <f>SUM(D34:D39)+D23</f>
        <v>0</v>
      </c>
    </row>
    <row r="41" spans="1:4" ht="15.75">
      <c r="A41" s="87" t="s">
        <v>205</v>
      </c>
      <c r="B41" s="82" t="s">
        <v>206</v>
      </c>
      <c r="C41" s="92"/>
      <c r="D41" s="92"/>
    </row>
    <row r="42" spans="1:4" ht="15.75">
      <c r="A42" s="88" t="s">
        <v>207</v>
      </c>
      <c r="B42" s="82" t="s">
        <v>208</v>
      </c>
      <c r="C42" s="92"/>
      <c r="D42" s="92"/>
    </row>
    <row r="43" spans="1:4" ht="15.75">
      <c r="A43" s="87" t="s">
        <v>545</v>
      </c>
      <c r="B43" s="82" t="s">
        <v>209</v>
      </c>
      <c r="C43" s="92"/>
      <c r="D43" s="92"/>
    </row>
    <row r="44" spans="1:4" ht="15.75">
      <c r="A44" s="174" t="s">
        <v>180</v>
      </c>
      <c r="B44" s="150" t="s">
        <v>209</v>
      </c>
      <c r="C44" s="92"/>
      <c r="D44" s="92"/>
    </row>
    <row r="45" spans="1:4" ht="15.75">
      <c r="A45" s="87" t="s">
        <v>546</v>
      </c>
      <c r="B45" s="82" t="s">
        <v>210</v>
      </c>
      <c r="C45" s="92"/>
      <c r="D45" s="92"/>
    </row>
    <row r="46" spans="1:4" ht="15.75">
      <c r="A46" s="174" t="s">
        <v>211</v>
      </c>
      <c r="B46" s="150" t="s">
        <v>210</v>
      </c>
      <c r="C46" s="92"/>
      <c r="D46" s="92"/>
    </row>
    <row r="47" spans="1:4" ht="15.75">
      <c r="A47" s="174" t="s">
        <v>212</v>
      </c>
      <c r="B47" s="150" t="s">
        <v>210</v>
      </c>
      <c r="C47" s="92"/>
      <c r="D47" s="92"/>
    </row>
    <row r="48" spans="1:4" ht="15.75">
      <c r="A48" s="174" t="s">
        <v>213</v>
      </c>
      <c r="B48" s="150" t="s">
        <v>210</v>
      </c>
      <c r="C48" s="92"/>
      <c r="D48" s="92"/>
    </row>
    <row r="49" spans="1:4" ht="15.75">
      <c r="A49" s="174" t="s">
        <v>180</v>
      </c>
      <c r="B49" s="150" t="s">
        <v>210</v>
      </c>
      <c r="C49" s="92"/>
      <c r="D49" s="92"/>
    </row>
    <row r="50" spans="1:4" s="260" customFormat="1" ht="15.75">
      <c r="A50" s="333" t="s">
        <v>430</v>
      </c>
      <c r="B50" s="300" t="s">
        <v>214</v>
      </c>
      <c r="C50" s="262">
        <f>+C41+C42+C43+C45</f>
        <v>0</v>
      </c>
      <c r="D50" s="262">
        <f>+D41+D42+D43+D45</f>
        <v>0</v>
      </c>
    </row>
    <row r="51" ht="15.75">
      <c r="B51" s="210"/>
    </row>
    <row r="52" ht="15.75">
      <c r="A52" s="4" t="s">
        <v>812</v>
      </c>
    </row>
    <row r="53" spans="1:4" ht="31.5">
      <c r="A53" s="253" t="s">
        <v>534</v>
      </c>
      <c r="B53" s="79" t="s">
        <v>77</v>
      </c>
      <c r="C53" s="145" t="s">
        <v>769</v>
      </c>
      <c r="D53" s="145" t="s">
        <v>770</v>
      </c>
    </row>
    <row r="54" spans="1:4" ht="15.75">
      <c r="A54" s="251" t="s">
        <v>110</v>
      </c>
      <c r="B54" s="150" t="s">
        <v>291</v>
      </c>
      <c r="C54" s="151">
        <v>24705</v>
      </c>
      <c r="D54" s="151"/>
    </row>
    <row r="55" spans="1:4" ht="15.75">
      <c r="A55" s="252" t="s">
        <v>109</v>
      </c>
      <c r="B55" s="150" t="s">
        <v>291</v>
      </c>
      <c r="C55" s="151">
        <v>8333</v>
      </c>
      <c r="D55" s="151"/>
    </row>
    <row r="56" spans="1:4" s="328" customFormat="1" ht="15.75">
      <c r="A56" s="332" t="s">
        <v>426</v>
      </c>
      <c r="B56" s="327" t="s">
        <v>291</v>
      </c>
      <c r="C56" s="264">
        <f>+C55+C54</f>
        <v>33038</v>
      </c>
      <c r="D56" s="264">
        <f>+D55+D54</f>
        <v>0</v>
      </c>
    </row>
    <row r="57" spans="1:4" ht="15.75">
      <c r="A57" s="174" t="s">
        <v>179</v>
      </c>
      <c r="B57" s="150" t="s">
        <v>291</v>
      </c>
      <c r="C57" s="92">
        <f>+C56</f>
        <v>33038</v>
      </c>
      <c r="D57" s="92">
        <f>+D56</f>
        <v>0</v>
      </c>
    </row>
    <row r="58" spans="1:4" ht="15.75">
      <c r="A58" s="174"/>
      <c r="B58" s="150" t="s">
        <v>293</v>
      </c>
      <c r="C58" s="92"/>
      <c r="D58" s="92"/>
    </row>
    <row r="59" spans="1:4" s="328" customFormat="1" ht="22.5" customHeight="1">
      <c r="A59" s="326" t="s">
        <v>292</v>
      </c>
      <c r="B59" s="327" t="s">
        <v>293</v>
      </c>
      <c r="C59" s="264">
        <f>+C58</f>
        <v>0</v>
      </c>
      <c r="D59" s="264">
        <f>+D58</f>
        <v>0</v>
      </c>
    </row>
    <row r="60" spans="1:4" s="248" customFormat="1" ht="15.75">
      <c r="A60" s="325" t="s">
        <v>422</v>
      </c>
      <c r="B60" s="150" t="s">
        <v>294</v>
      </c>
      <c r="C60" s="151">
        <v>88500</v>
      </c>
      <c r="D60" s="173"/>
    </row>
    <row r="61" spans="1:4" s="328" customFormat="1" ht="15.75">
      <c r="A61" s="332" t="s">
        <v>427</v>
      </c>
      <c r="B61" s="327" t="s">
        <v>294</v>
      </c>
      <c r="C61" s="264">
        <f>+C60</f>
        <v>88500</v>
      </c>
      <c r="D61" s="264">
        <f>+D60</f>
        <v>0</v>
      </c>
    </row>
    <row r="62" spans="1:4" ht="15.75">
      <c r="A62" s="174" t="s">
        <v>179</v>
      </c>
      <c r="B62" s="150" t="s">
        <v>294</v>
      </c>
      <c r="C62" s="92">
        <f>+C61</f>
        <v>88500</v>
      </c>
      <c r="D62" s="92">
        <f>+D61</f>
        <v>0</v>
      </c>
    </row>
    <row r="63" spans="1:4" s="260" customFormat="1" ht="15.75">
      <c r="A63" s="329" t="s">
        <v>425</v>
      </c>
      <c r="B63" s="255" t="s">
        <v>295</v>
      </c>
      <c r="C63" s="262">
        <f>+C56+C59+C61</f>
        <v>121538</v>
      </c>
      <c r="D63" s="262">
        <f>+D56+D59+D61</f>
        <v>0</v>
      </c>
    </row>
    <row r="64" spans="1:4" ht="15.75">
      <c r="A64" s="88" t="s">
        <v>651</v>
      </c>
      <c r="B64" s="82" t="s">
        <v>296</v>
      </c>
      <c r="C64" s="92"/>
      <c r="D64" s="92"/>
    </row>
    <row r="65" spans="1:4" ht="15.75">
      <c r="A65" s="174" t="s">
        <v>186</v>
      </c>
      <c r="B65" s="150" t="s">
        <v>296</v>
      </c>
      <c r="C65" s="92"/>
      <c r="D65" s="92"/>
    </row>
    <row r="66" spans="1:4" ht="15.75">
      <c r="A66" s="87" t="s">
        <v>297</v>
      </c>
      <c r="B66" s="82" t="s">
        <v>298</v>
      </c>
      <c r="C66" s="92"/>
      <c r="D66" s="92"/>
    </row>
    <row r="67" spans="1:4" ht="15.75">
      <c r="A67" s="80" t="s">
        <v>653</v>
      </c>
      <c r="B67" s="82" t="s">
        <v>299</v>
      </c>
      <c r="C67" s="92"/>
      <c r="D67" s="92"/>
    </row>
    <row r="68" spans="1:4" ht="15.75">
      <c r="A68" s="174" t="s">
        <v>187</v>
      </c>
      <c r="B68" s="150" t="s">
        <v>299</v>
      </c>
      <c r="C68" s="92"/>
      <c r="D68" s="92"/>
    </row>
    <row r="69" spans="1:4" ht="15.75">
      <c r="A69" s="87" t="s">
        <v>300</v>
      </c>
      <c r="B69" s="82" t="s">
        <v>301</v>
      </c>
      <c r="C69" s="92"/>
      <c r="D69" s="92"/>
    </row>
    <row r="70" spans="1:4" ht="15.75">
      <c r="A70" s="91" t="s">
        <v>632</v>
      </c>
      <c r="B70" s="90" t="s">
        <v>302</v>
      </c>
      <c r="C70" s="92"/>
      <c r="D70" s="92"/>
    </row>
    <row r="71" spans="1:4" ht="15.75">
      <c r="A71" s="91" t="s">
        <v>306</v>
      </c>
      <c r="B71" s="90" t="s">
        <v>307</v>
      </c>
      <c r="C71" s="92"/>
      <c r="D71" s="92"/>
    </row>
    <row r="72" spans="1:4" ht="15.75">
      <c r="A72" s="91" t="s">
        <v>308</v>
      </c>
      <c r="B72" s="90" t="s">
        <v>309</v>
      </c>
      <c r="C72" s="92"/>
      <c r="D72" s="92"/>
    </row>
    <row r="73" spans="1:4" ht="15.75">
      <c r="A73" s="91" t="s">
        <v>312</v>
      </c>
      <c r="B73" s="90" t="s">
        <v>313</v>
      </c>
      <c r="C73" s="92"/>
      <c r="D73" s="92"/>
    </row>
    <row r="74" spans="1:4" ht="15.75">
      <c r="A74" s="89" t="s">
        <v>811</v>
      </c>
      <c r="B74" s="90" t="s">
        <v>314</v>
      </c>
      <c r="C74" s="92"/>
      <c r="D74" s="92"/>
    </row>
    <row r="75" spans="1:4" ht="15.75">
      <c r="A75" s="170" t="s">
        <v>315</v>
      </c>
      <c r="B75" s="171" t="s">
        <v>314</v>
      </c>
      <c r="C75" s="92"/>
      <c r="D75" s="92"/>
    </row>
    <row r="76" spans="1:4" s="260" customFormat="1" ht="15.75">
      <c r="A76" s="334" t="s">
        <v>428</v>
      </c>
      <c r="B76" s="300" t="s">
        <v>316</v>
      </c>
      <c r="C76" s="262">
        <f>+C63+C70+C71+C72+C73+C74</f>
        <v>121538</v>
      </c>
      <c r="D76" s="262">
        <f>+D63+D70+D71+D72+D73+D74</f>
        <v>0</v>
      </c>
    </row>
    <row r="77" spans="1:4" ht="15.75">
      <c r="A77" s="88" t="s">
        <v>317</v>
      </c>
      <c r="B77" s="82" t="s">
        <v>318</v>
      </c>
      <c r="C77" s="92"/>
      <c r="D77" s="92"/>
    </row>
    <row r="78" spans="1:4" ht="15.75">
      <c r="A78" s="80" t="s">
        <v>319</v>
      </c>
      <c r="B78" s="82" t="s">
        <v>320</v>
      </c>
      <c r="C78" s="92"/>
      <c r="D78" s="92"/>
    </row>
    <row r="79" spans="1:4" ht="15.75">
      <c r="A79" s="87" t="s">
        <v>321</v>
      </c>
      <c r="B79" s="82" t="s">
        <v>322</v>
      </c>
      <c r="C79" s="92"/>
      <c r="D79" s="92"/>
    </row>
    <row r="80" spans="1:4" ht="15.75">
      <c r="A80" s="87" t="s">
        <v>616</v>
      </c>
      <c r="B80" s="82" t="s">
        <v>323</v>
      </c>
      <c r="C80" s="92"/>
      <c r="D80" s="92"/>
    </row>
    <row r="81" spans="1:4" ht="15.75">
      <c r="A81" s="174" t="s">
        <v>211</v>
      </c>
      <c r="B81" s="150" t="s">
        <v>323</v>
      </c>
      <c r="C81" s="92"/>
      <c r="D81" s="92"/>
    </row>
    <row r="82" spans="1:4" ht="15.75">
      <c r="A82" s="174" t="s">
        <v>212</v>
      </c>
      <c r="B82" s="150" t="s">
        <v>323</v>
      </c>
      <c r="C82" s="92"/>
      <c r="D82" s="92"/>
    </row>
    <row r="83" spans="1:4" ht="15.75">
      <c r="A83" s="174" t="s">
        <v>213</v>
      </c>
      <c r="B83" s="150" t="s">
        <v>323</v>
      </c>
      <c r="C83" s="92"/>
      <c r="D83" s="92"/>
    </row>
    <row r="84" spans="1:4" s="260" customFormat="1" ht="15.75">
      <c r="A84" s="333" t="s">
        <v>429</v>
      </c>
      <c r="B84" s="300" t="s">
        <v>324</v>
      </c>
      <c r="C84" s="262">
        <f>SUM(C77:C80)</f>
        <v>0</v>
      </c>
      <c r="D84" s="262">
        <f>SUM(D77:D80)</f>
        <v>0</v>
      </c>
    </row>
  </sheetData>
  <sheetProtection/>
  <mergeCells count="1">
    <mergeCell ref="A6:D6"/>
  </mergeCells>
  <printOptions horizontalCentered="1"/>
  <pageMargins left="0.7086614173228347" right="0.7086614173228347" top="0.43" bottom="0.58" header="0.31496062992125984" footer="0.31496062992125984"/>
  <pageSetup fitToHeight="1" fitToWidth="1" horizontalDpi="300" verticalDpi="300" orientation="portrait" paperSize="9" scale="56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0"/>
  <sheetViews>
    <sheetView view="pageBreakPreview" zoomScaleSheetLayoutView="100" zoomScalePageLayoutView="0" workbookViewId="0" topLeftCell="A1">
      <selection activeCell="I2" sqref="I2"/>
    </sheetView>
  </sheetViews>
  <sheetFormatPr defaultColWidth="9.140625" defaultRowHeight="15"/>
  <cols>
    <col min="1" max="1" width="55.28125" style="4" customWidth="1"/>
    <col min="2" max="2" width="14.00390625" style="4" customWidth="1"/>
    <col min="3" max="3" width="10.8515625" style="4" customWidth="1"/>
    <col min="4" max="4" width="14.140625" style="4" customWidth="1"/>
    <col min="5" max="7" width="9.140625" style="4" customWidth="1"/>
    <col min="8" max="8" width="11.421875" style="4" customWidth="1"/>
    <col min="9" max="9" width="13.8515625" style="4" customWidth="1"/>
    <col min="10" max="16384" width="9.140625" style="4" customWidth="1"/>
  </cols>
  <sheetData>
    <row r="1" ht="15.75">
      <c r="I1" s="71" t="s">
        <v>82</v>
      </c>
    </row>
    <row r="2" ht="15.75">
      <c r="I2" s="144" t="s">
        <v>68</v>
      </c>
    </row>
    <row r="3" spans="1:9" ht="30.75" customHeight="1">
      <c r="A3" s="393" t="s">
        <v>757</v>
      </c>
      <c r="B3" s="406"/>
      <c r="C3" s="101"/>
      <c r="D3" s="101"/>
      <c r="E3" s="101"/>
      <c r="F3" s="101"/>
      <c r="G3" s="101"/>
      <c r="H3" s="101"/>
      <c r="I3" s="101"/>
    </row>
    <row r="4" spans="1:9" ht="23.25" customHeight="1">
      <c r="A4" s="394" t="s">
        <v>7</v>
      </c>
      <c r="B4" s="395"/>
      <c r="C4" s="395"/>
      <c r="D4" s="395"/>
      <c r="E4" s="395"/>
      <c r="F4" s="395"/>
      <c r="G4" s="395"/>
      <c r="H4" s="395"/>
      <c r="I4" s="395"/>
    </row>
    <row r="7" spans="1:9" s="77" customFormat="1" ht="63">
      <c r="A7" s="349" t="s">
        <v>33</v>
      </c>
      <c r="B7" s="349" t="s">
        <v>416</v>
      </c>
      <c r="C7" s="349" t="s">
        <v>34</v>
      </c>
      <c r="D7" s="349" t="s">
        <v>42</v>
      </c>
      <c r="E7" s="349" t="s">
        <v>35</v>
      </c>
      <c r="F7" s="349" t="s">
        <v>43</v>
      </c>
      <c r="G7" s="349" t="s">
        <v>44</v>
      </c>
      <c r="H7" s="349" t="s">
        <v>45</v>
      </c>
      <c r="I7" s="349" t="s">
        <v>36</v>
      </c>
    </row>
    <row r="8" spans="1:9" ht="15.75">
      <c r="A8" s="73"/>
      <c r="B8" s="321"/>
      <c r="C8" s="322"/>
      <c r="D8" s="322"/>
      <c r="E8" s="322"/>
      <c r="F8" s="322"/>
      <c r="G8" s="322"/>
      <c r="H8" s="322"/>
      <c r="I8" s="322">
        <f>SUM(C8:H8)</f>
        <v>0</v>
      </c>
    </row>
    <row r="9" spans="1:9" ht="15.75">
      <c r="A9" s="73"/>
      <c r="B9" s="321"/>
      <c r="C9" s="322"/>
      <c r="D9" s="322"/>
      <c r="E9" s="322"/>
      <c r="F9" s="322"/>
      <c r="G9" s="322"/>
      <c r="H9" s="322"/>
      <c r="I9" s="322">
        <f aca="true" t="shared" si="0" ref="I9:I28">SUM(C9:H9)</f>
        <v>0</v>
      </c>
    </row>
    <row r="10" spans="1:9" ht="15.75">
      <c r="A10" s="387"/>
      <c r="B10" s="321"/>
      <c r="C10" s="322"/>
      <c r="D10" s="322"/>
      <c r="E10" s="322"/>
      <c r="F10" s="322"/>
      <c r="G10" s="322"/>
      <c r="H10" s="322"/>
      <c r="I10" s="322">
        <f t="shared" si="0"/>
        <v>0</v>
      </c>
    </row>
    <row r="11" spans="1:9" ht="15.75">
      <c r="A11" s="73"/>
      <c r="B11" s="321"/>
      <c r="C11" s="322"/>
      <c r="D11" s="322"/>
      <c r="E11" s="322"/>
      <c r="F11" s="322"/>
      <c r="G11" s="322"/>
      <c r="H11" s="322"/>
      <c r="I11" s="322">
        <f t="shared" si="0"/>
        <v>0</v>
      </c>
    </row>
    <row r="12" spans="1:9" s="260" customFormat="1" ht="15.75">
      <c r="A12" s="343" t="s">
        <v>37</v>
      </c>
      <c r="B12" s="343"/>
      <c r="C12" s="345">
        <f>SUM(C8:C11)</f>
        <v>0</v>
      </c>
      <c r="D12" s="345">
        <f aca="true" t="shared" si="1" ref="D12:I12">SUM(D8:D11)</f>
        <v>0</v>
      </c>
      <c r="E12" s="345">
        <f t="shared" si="1"/>
        <v>0</v>
      </c>
      <c r="F12" s="345">
        <f t="shared" si="1"/>
        <v>0</v>
      </c>
      <c r="G12" s="345">
        <f t="shared" si="1"/>
        <v>0</v>
      </c>
      <c r="H12" s="345">
        <f t="shared" si="1"/>
        <v>0</v>
      </c>
      <c r="I12" s="345">
        <f t="shared" si="1"/>
        <v>0</v>
      </c>
    </row>
    <row r="13" spans="1:9" ht="15.75">
      <c r="A13" s="321"/>
      <c r="B13" s="321"/>
      <c r="C13" s="322"/>
      <c r="D13" s="322"/>
      <c r="E13" s="322"/>
      <c r="F13" s="322"/>
      <c r="G13" s="322"/>
      <c r="H13" s="322"/>
      <c r="I13" s="322">
        <f t="shared" si="0"/>
        <v>0</v>
      </c>
    </row>
    <row r="14" spans="1:10" ht="15.75">
      <c r="A14" s="388" t="s">
        <v>443</v>
      </c>
      <c r="B14" s="321"/>
      <c r="C14" s="322"/>
      <c r="D14" s="322">
        <v>11300</v>
      </c>
      <c r="E14" s="322">
        <v>11300</v>
      </c>
      <c r="F14" s="322">
        <v>11300</v>
      </c>
      <c r="G14" s="322">
        <v>11300</v>
      </c>
      <c r="H14" s="322">
        <f>11300*5+106</f>
        <v>56606</v>
      </c>
      <c r="I14" s="322">
        <f t="shared" si="0"/>
        <v>101806</v>
      </c>
      <c r="J14" s="4">
        <v>101806</v>
      </c>
    </row>
    <row r="15" spans="1:10" ht="15.75">
      <c r="A15" s="388" t="s">
        <v>444</v>
      </c>
      <c r="B15" s="321"/>
      <c r="C15" s="322"/>
      <c r="D15" s="322">
        <v>19400</v>
      </c>
      <c r="E15" s="322">
        <v>19400</v>
      </c>
      <c r="F15" s="322">
        <v>19400</v>
      </c>
      <c r="G15" s="322">
        <v>19400</v>
      </c>
      <c r="H15" s="322">
        <f>19400*7+2200</f>
        <v>138000</v>
      </c>
      <c r="I15" s="322">
        <f t="shared" si="0"/>
        <v>215600</v>
      </c>
      <c r="J15" s="4">
        <v>215600</v>
      </c>
    </row>
    <row r="16" spans="1:12" ht="15.75">
      <c r="A16" s="388" t="s">
        <v>445</v>
      </c>
      <c r="B16" s="321">
        <v>2008</v>
      </c>
      <c r="C16" s="322"/>
      <c r="D16" s="389">
        <f>ROUND(101.318*2*242.14/10,0)*10</f>
        <v>49070</v>
      </c>
      <c r="E16" s="389">
        <f>ROUND(78.9668*2*242.14/10,0)*10</f>
        <v>38240</v>
      </c>
      <c r="F16" s="389">
        <f>ROUND(78.9668*2*242.14/10,0)*10</f>
        <v>38240</v>
      </c>
      <c r="G16" s="389">
        <f>ROUND(78.9668*2*242.14/10,0)*10</f>
        <v>38240</v>
      </c>
      <c r="H16" s="389">
        <f>ROUND(78.9668*2*242.14/10,0)*10*5+12</f>
        <v>191212</v>
      </c>
      <c r="I16" s="322">
        <f t="shared" si="0"/>
        <v>355002</v>
      </c>
      <c r="J16" s="4">
        <v>355002</v>
      </c>
      <c r="K16" s="4">
        <v>242.14</v>
      </c>
      <c r="L16" s="4" t="s">
        <v>446</v>
      </c>
    </row>
    <row r="17" spans="1:10" ht="15.75">
      <c r="A17" s="251" t="s">
        <v>110</v>
      </c>
      <c r="B17" s="321">
        <v>2014</v>
      </c>
      <c r="C17" s="322">
        <v>0</v>
      </c>
      <c r="D17" s="322">
        <f>510*12/2</f>
        <v>3060</v>
      </c>
      <c r="E17" s="322">
        <f>510*12</f>
        <v>6120</v>
      </c>
      <c r="F17" s="322">
        <f>510*12</f>
        <v>6120</v>
      </c>
      <c r="G17" s="322">
        <f>510*12</f>
        <v>6120</v>
      </c>
      <c r="H17" s="322">
        <f>510*18</f>
        <v>9180</v>
      </c>
      <c r="I17" s="322">
        <f t="shared" si="0"/>
        <v>30600</v>
      </c>
      <c r="J17" s="4">
        <v>24705</v>
      </c>
    </row>
    <row r="18" spans="1:10" ht="15.75">
      <c r="A18" s="252" t="s">
        <v>109</v>
      </c>
      <c r="B18" s="321">
        <v>2014</v>
      </c>
      <c r="C18" s="322">
        <v>0</v>
      </c>
      <c r="D18" s="322">
        <f>170*12/2</f>
        <v>1020</v>
      </c>
      <c r="E18" s="322">
        <f>170*12</f>
        <v>2040</v>
      </c>
      <c r="F18" s="322">
        <f>170*12</f>
        <v>2040</v>
      </c>
      <c r="G18" s="322">
        <f>170*12</f>
        <v>2040</v>
      </c>
      <c r="H18" s="322">
        <f>170*18</f>
        <v>3060</v>
      </c>
      <c r="I18" s="322">
        <f t="shared" si="0"/>
        <v>10200</v>
      </c>
      <c r="J18" s="4">
        <v>8333</v>
      </c>
    </row>
    <row r="19" spans="1:9" s="260" customFormat="1" ht="15.75">
      <c r="A19" s="343" t="s">
        <v>38</v>
      </c>
      <c r="B19" s="343"/>
      <c r="C19" s="345">
        <f>SUM(C17:C18)</f>
        <v>0</v>
      </c>
      <c r="D19" s="345">
        <f>SUM(D14:D18)</f>
        <v>83850</v>
      </c>
      <c r="E19" s="345">
        <f>SUM(E14:E18)</f>
        <v>77100</v>
      </c>
      <c r="F19" s="345">
        <f>SUM(F14:F18)</f>
        <v>77100</v>
      </c>
      <c r="G19" s="345">
        <f>SUM(G14:G18)</f>
        <v>77100</v>
      </c>
      <c r="H19" s="345">
        <f>SUM(H14:H18)</f>
        <v>398058</v>
      </c>
      <c r="I19" s="345">
        <f>SUM(I17:I18)</f>
        <v>40800</v>
      </c>
    </row>
    <row r="20" spans="1:9" ht="15.75">
      <c r="A20" s="321"/>
      <c r="B20" s="321"/>
      <c r="C20" s="322"/>
      <c r="D20" s="322"/>
      <c r="E20" s="322"/>
      <c r="F20" s="322"/>
      <c r="G20" s="322"/>
      <c r="H20" s="322"/>
      <c r="I20" s="322">
        <f t="shared" si="0"/>
        <v>0</v>
      </c>
    </row>
    <row r="21" spans="1:9" ht="15.75">
      <c r="A21" s="321"/>
      <c r="B21" s="321"/>
      <c r="C21" s="322"/>
      <c r="D21" s="322"/>
      <c r="E21" s="322"/>
      <c r="F21" s="322"/>
      <c r="G21" s="322"/>
      <c r="H21" s="322"/>
      <c r="I21" s="322">
        <f t="shared" si="0"/>
        <v>0</v>
      </c>
    </row>
    <row r="22" spans="1:9" ht="15.75">
      <c r="A22" s="321"/>
      <c r="B22" s="321"/>
      <c r="C22" s="322"/>
      <c r="D22" s="322"/>
      <c r="E22" s="322"/>
      <c r="F22" s="322"/>
      <c r="G22" s="322"/>
      <c r="H22" s="322"/>
      <c r="I22" s="322">
        <f t="shared" si="0"/>
        <v>0</v>
      </c>
    </row>
    <row r="23" spans="1:9" ht="15.75">
      <c r="A23" s="321"/>
      <c r="B23" s="321"/>
      <c r="C23" s="322"/>
      <c r="D23" s="322"/>
      <c r="E23" s="322"/>
      <c r="F23" s="322"/>
      <c r="G23" s="322"/>
      <c r="H23" s="322"/>
      <c r="I23" s="322">
        <f t="shared" si="0"/>
        <v>0</v>
      </c>
    </row>
    <row r="24" spans="1:9" s="260" customFormat="1" ht="15.75">
      <c r="A24" s="343" t="s">
        <v>39</v>
      </c>
      <c r="B24" s="343"/>
      <c r="C24" s="345">
        <f>SUM(C20:C23)</f>
        <v>0</v>
      </c>
      <c r="D24" s="345">
        <f aca="true" t="shared" si="2" ref="D24:I24">SUM(D20:D23)</f>
        <v>0</v>
      </c>
      <c r="E24" s="345">
        <f t="shared" si="2"/>
        <v>0</v>
      </c>
      <c r="F24" s="345">
        <f t="shared" si="2"/>
        <v>0</v>
      </c>
      <c r="G24" s="345">
        <f t="shared" si="2"/>
        <v>0</v>
      </c>
      <c r="H24" s="345">
        <f t="shared" si="2"/>
        <v>0</v>
      </c>
      <c r="I24" s="345">
        <f t="shared" si="2"/>
        <v>0</v>
      </c>
    </row>
    <row r="25" spans="1:9" ht="15.75">
      <c r="A25" s="321"/>
      <c r="B25" s="321"/>
      <c r="C25" s="322"/>
      <c r="D25" s="322"/>
      <c r="E25" s="322"/>
      <c r="F25" s="322"/>
      <c r="G25" s="322"/>
      <c r="H25" s="322"/>
      <c r="I25" s="322">
        <f t="shared" si="0"/>
        <v>0</v>
      </c>
    </row>
    <row r="26" spans="1:9" ht="15.75">
      <c r="A26" s="321"/>
      <c r="B26" s="321"/>
      <c r="C26" s="322"/>
      <c r="D26" s="322"/>
      <c r="E26" s="322"/>
      <c r="F26" s="322"/>
      <c r="G26" s="322"/>
      <c r="H26" s="322"/>
      <c r="I26" s="322">
        <f t="shared" si="0"/>
        <v>0</v>
      </c>
    </row>
    <row r="27" spans="1:9" ht="15.75">
      <c r="A27" s="251"/>
      <c r="B27" s="321"/>
      <c r="C27" s="322"/>
      <c r="D27" s="322"/>
      <c r="E27" s="322"/>
      <c r="F27" s="322"/>
      <c r="G27" s="322"/>
      <c r="H27" s="322"/>
      <c r="I27" s="322">
        <f t="shared" si="0"/>
        <v>0</v>
      </c>
    </row>
    <row r="28" spans="1:9" ht="15.75">
      <c r="A28" s="252"/>
      <c r="B28" s="321"/>
      <c r="C28" s="322"/>
      <c r="D28" s="322"/>
      <c r="E28" s="322"/>
      <c r="F28" s="322"/>
      <c r="G28" s="322"/>
      <c r="H28" s="322"/>
      <c r="I28" s="322">
        <f t="shared" si="0"/>
        <v>0</v>
      </c>
    </row>
    <row r="29" spans="1:9" s="260" customFormat="1" ht="15.75">
      <c r="A29" s="343" t="s">
        <v>40</v>
      </c>
      <c r="B29" s="343"/>
      <c r="C29" s="345">
        <f>SUM(C25:C28)</f>
        <v>0</v>
      </c>
      <c r="D29" s="345">
        <f aca="true" t="shared" si="3" ref="D29:I29">SUM(D25:D28)</f>
        <v>0</v>
      </c>
      <c r="E29" s="345">
        <f t="shared" si="3"/>
        <v>0</v>
      </c>
      <c r="F29" s="345">
        <f t="shared" si="3"/>
        <v>0</v>
      </c>
      <c r="G29" s="345">
        <f t="shared" si="3"/>
        <v>0</v>
      </c>
      <c r="H29" s="345">
        <f t="shared" si="3"/>
        <v>0</v>
      </c>
      <c r="I29" s="345">
        <f t="shared" si="3"/>
        <v>0</v>
      </c>
    </row>
    <row r="30" spans="1:9" s="260" customFormat="1" ht="15.75">
      <c r="A30" s="346" t="s">
        <v>41</v>
      </c>
      <c r="B30" s="344"/>
      <c r="C30" s="348">
        <f>+C29+C24+C19+C12</f>
        <v>0</v>
      </c>
      <c r="D30" s="348">
        <f aca="true" t="shared" si="4" ref="D30:I30">+D29+D24+D19+D12</f>
        <v>83850</v>
      </c>
      <c r="E30" s="348">
        <f t="shared" si="4"/>
        <v>77100</v>
      </c>
      <c r="F30" s="348">
        <f t="shared" si="4"/>
        <v>77100</v>
      </c>
      <c r="G30" s="348">
        <f t="shared" si="4"/>
        <v>77100</v>
      </c>
      <c r="H30" s="348">
        <f t="shared" si="4"/>
        <v>398058</v>
      </c>
      <c r="I30" s="348">
        <f t="shared" si="4"/>
        <v>40800</v>
      </c>
    </row>
  </sheetData>
  <sheetProtection/>
  <mergeCells count="2">
    <mergeCell ref="A4:I4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33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70.28125" style="4" customWidth="1"/>
    <col min="2" max="2" width="10.28125" style="141" customWidth="1"/>
    <col min="3" max="3" width="11.57421875" style="141" customWidth="1"/>
    <col min="4" max="4" width="13.421875" style="141" customWidth="1"/>
    <col min="5" max="16384" width="9.140625" style="4" customWidth="1"/>
  </cols>
  <sheetData>
    <row r="1" ht="15.75">
      <c r="D1" s="144" t="s">
        <v>610</v>
      </c>
    </row>
    <row r="2" ht="15.75">
      <c r="D2" s="144" t="s">
        <v>68</v>
      </c>
    </row>
    <row r="3" ht="15.75">
      <c r="D3" s="144"/>
    </row>
    <row r="4" ht="20.25">
      <c r="A4" s="76" t="s">
        <v>757</v>
      </c>
    </row>
    <row r="5" ht="20.25">
      <c r="A5" s="76"/>
    </row>
    <row r="6" ht="50.25" customHeight="1">
      <c r="A6" s="33" t="s">
        <v>619</v>
      </c>
    </row>
    <row r="7" ht="19.5">
      <c r="A7" s="33"/>
    </row>
    <row r="9" spans="1:4" s="77" customFormat="1" ht="47.25">
      <c r="A9" s="72" t="s">
        <v>76</v>
      </c>
      <c r="B9" s="145" t="s">
        <v>769</v>
      </c>
      <c r="C9" s="145" t="s">
        <v>770</v>
      </c>
      <c r="D9" s="146" t="s">
        <v>28</v>
      </c>
    </row>
    <row r="10" spans="1:4" ht="15.75">
      <c r="A10" s="73" t="s">
        <v>57</v>
      </c>
      <c r="B10" s="92">
        <f>+'2 Össz'!C9</f>
        <v>802179</v>
      </c>
      <c r="C10" s="92">
        <f>+'2 Össz'!D9</f>
        <v>231388</v>
      </c>
      <c r="D10" s="92">
        <f>SUM(B10:C10)</f>
        <v>1033567</v>
      </c>
    </row>
    <row r="11" spans="1:4" ht="15.75">
      <c r="A11" s="73" t="s">
        <v>58</v>
      </c>
      <c r="B11" s="92">
        <f>+'2 Össz'!C10</f>
        <v>211046</v>
      </c>
      <c r="C11" s="92">
        <f>+'2 Össz'!D10</f>
        <v>53697</v>
      </c>
      <c r="D11" s="92">
        <f aca="true" t="shared" si="0" ref="D11:D29">SUM(B11:C11)</f>
        <v>264743</v>
      </c>
    </row>
    <row r="12" spans="1:4" ht="15.75">
      <c r="A12" s="73" t="s">
        <v>59</v>
      </c>
      <c r="B12" s="92">
        <f>+'2 Össz'!C16</f>
        <v>658776</v>
      </c>
      <c r="C12" s="92">
        <f>+'2 Össz'!D16</f>
        <v>343570</v>
      </c>
      <c r="D12" s="92">
        <f t="shared" si="0"/>
        <v>1002346</v>
      </c>
    </row>
    <row r="13" spans="1:4" ht="15.75">
      <c r="A13" s="73" t="s">
        <v>60</v>
      </c>
      <c r="B13" s="92">
        <f>+'2 Össz'!C17</f>
        <v>270887</v>
      </c>
      <c r="C13" s="92">
        <f>+'2 Össz'!D17</f>
        <v>0</v>
      </c>
      <c r="D13" s="92">
        <f t="shared" si="0"/>
        <v>270887</v>
      </c>
    </row>
    <row r="14" spans="1:4" ht="15.75">
      <c r="A14" s="73" t="s">
        <v>61</v>
      </c>
      <c r="B14" s="92">
        <f>+'2 Össz'!C31</f>
        <v>198843</v>
      </c>
      <c r="C14" s="92">
        <f>+'2 Össz'!D31</f>
        <v>38323</v>
      </c>
      <c r="D14" s="92">
        <f t="shared" si="0"/>
        <v>237166</v>
      </c>
    </row>
    <row r="15" spans="1:4" ht="15.75">
      <c r="A15" s="73" t="s">
        <v>62</v>
      </c>
      <c r="B15" s="92">
        <f>+'2 Össz'!C40</f>
        <v>24701</v>
      </c>
      <c r="C15" s="92">
        <f>+'2 Össz'!D40</f>
        <v>26079</v>
      </c>
      <c r="D15" s="92">
        <f t="shared" si="0"/>
        <v>50780</v>
      </c>
    </row>
    <row r="16" spans="1:4" ht="15.75">
      <c r="A16" s="73" t="s">
        <v>63</v>
      </c>
      <c r="B16" s="92">
        <f>+'2 Össz'!C45</f>
        <v>505496</v>
      </c>
      <c r="C16" s="92">
        <f>+'2 Össz'!D45</f>
        <v>12150</v>
      </c>
      <c r="D16" s="92">
        <f t="shared" si="0"/>
        <v>517646</v>
      </c>
    </row>
    <row r="17" spans="1:4" ht="15.75">
      <c r="A17" s="73" t="s">
        <v>64</v>
      </c>
      <c r="B17" s="92">
        <f>+'2 Össz'!C54</f>
        <v>136194</v>
      </c>
      <c r="C17" s="92">
        <f>+'2 Össz'!D54</f>
        <v>0</v>
      </c>
      <c r="D17" s="92">
        <f t="shared" si="0"/>
        <v>136194</v>
      </c>
    </row>
    <row r="18" spans="1:4" s="3" customFormat="1" ht="15.75">
      <c r="A18" s="74" t="s">
        <v>56</v>
      </c>
      <c r="B18" s="93">
        <f>SUM(B10:B17)</f>
        <v>2808122</v>
      </c>
      <c r="C18" s="93">
        <f>SUM(C10:C17)</f>
        <v>705207</v>
      </c>
      <c r="D18" s="93">
        <f>SUM(D10:D17)</f>
        <v>3513329</v>
      </c>
    </row>
    <row r="19" spans="1:4" s="3" customFormat="1" ht="15.75">
      <c r="A19" s="74" t="s">
        <v>65</v>
      </c>
      <c r="B19" s="93">
        <f>+'2 Össz'!C75</f>
        <v>94448</v>
      </c>
      <c r="C19" s="93">
        <f>+'2 Össz'!D75</f>
        <v>0</v>
      </c>
      <c r="D19" s="93">
        <f t="shared" si="0"/>
        <v>94448</v>
      </c>
    </row>
    <row r="20" spans="1:4" s="3" customFormat="1" ht="15.75">
      <c r="A20" s="75" t="s">
        <v>617</v>
      </c>
      <c r="B20" s="131">
        <f>+B19+B18</f>
        <v>2902570</v>
      </c>
      <c r="C20" s="131">
        <f>+C19+C18</f>
        <v>705207</v>
      </c>
      <c r="D20" s="131">
        <f>+D19+D18</f>
        <v>3607777</v>
      </c>
    </row>
    <row r="21" spans="1:4" ht="15.75">
      <c r="A21" s="73" t="s">
        <v>67</v>
      </c>
      <c r="B21" s="92">
        <f>+'2 Össz'!C92</f>
        <v>1548994</v>
      </c>
      <c r="C21" s="92">
        <f>+'2 Össz'!D92</f>
        <v>388856</v>
      </c>
      <c r="D21" s="92">
        <f t="shared" si="0"/>
        <v>1937850</v>
      </c>
    </row>
    <row r="22" spans="1:4" ht="15.75">
      <c r="A22" s="73" t="s">
        <v>69</v>
      </c>
      <c r="B22" s="92">
        <f>+'2 Össz'!C93</f>
        <v>526269</v>
      </c>
      <c r="C22" s="92">
        <f>+'2 Össz'!D93</f>
        <v>4995</v>
      </c>
      <c r="D22" s="92">
        <f t="shared" si="0"/>
        <v>531264</v>
      </c>
    </row>
    <row r="23" spans="1:4" ht="15.75">
      <c r="A23" s="73" t="s">
        <v>70</v>
      </c>
      <c r="B23" s="92">
        <f>+'2 Össz'!C100</f>
        <v>253025</v>
      </c>
      <c r="C23" s="92">
        <f>+'2 Össz'!D100</f>
        <v>104175</v>
      </c>
      <c r="D23" s="92">
        <f t="shared" si="0"/>
        <v>357200</v>
      </c>
    </row>
    <row r="24" spans="1:4" ht="15.75">
      <c r="A24" s="73" t="s">
        <v>71</v>
      </c>
      <c r="B24" s="92">
        <f>+'2 Össz'!C111</f>
        <v>293968</v>
      </c>
      <c r="C24" s="92">
        <f>+'2 Össz'!D111</f>
        <v>160462</v>
      </c>
      <c r="D24" s="92">
        <f t="shared" si="0"/>
        <v>454430</v>
      </c>
    </row>
    <row r="25" spans="1:4" ht="15.75">
      <c r="A25" s="73" t="s">
        <v>72</v>
      </c>
      <c r="B25" s="92">
        <f>+'2 Össz'!C117</f>
        <v>62632</v>
      </c>
      <c r="C25" s="92">
        <f>+'2 Össz'!D117</f>
        <v>33234</v>
      </c>
      <c r="D25" s="92">
        <f t="shared" si="0"/>
        <v>95866</v>
      </c>
    </row>
    <row r="26" spans="1:4" ht="15.75">
      <c r="A26" s="73" t="s">
        <v>73</v>
      </c>
      <c r="B26" s="92">
        <f>+'2 Össz'!C118</f>
        <v>0</v>
      </c>
      <c r="C26" s="92">
        <f>+'2 Össz'!D118</f>
        <v>0</v>
      </c>
      <c r="D26" s="92">
        <f t="shared" si="0"/>
        <v>0</v>
      </c>
    </row>
    <row r="27" spans="1:4" ht="15.75">
      <c r="A27" s="73" t="s">
        <v>74</v>
      </c>
      <c r="B27" s="92">
        <f>+'2 Össz'!C122</f>
        <v>25400</v>
      </c>
      <c r="C27" s="92">
        <f>+'2 Össz'!D122</f>
        <v>0</v>
      </c>
      <c r="D27" s="92">
        <f t="shared" si="0"/>
        <v>25400</v>
      </c>
    </row>
    <row r="28" spans="1:4" s="3" customFormat="1" ht="15.75">
      <c r="A28" s="74" t="s">
        <v>66</v>
      </c>
      <c r="B28" s="93">
        <f>SUM(B21:B27)</f>
        <v>2710288</v>
      </c>
      <c r="C28" s="93">
        <f>SUM(C21:C27)</f>
        <v>691722</v>
      </c>
      <c r="D28" s="93">
        <f>SUM(D21:D27)</f>
        <v>3402010</v>
      </c>
    </row>
    <row r="29" spans="1:4" s="3" customFormat="1" ht="15.75">
      <c r="A29" s="74" t="s">
        <v>75</v>
      </c>
      <c r="B29" s="93">
        <f>+'2 Össz'!C148</f>
        <v>192282</v>
      </c>
      <c r="C29" s="93">
        <f>+'2 Össz'!D148</f>
        <v>13485</v>
      </c>
      <c r="D29" s="92">
        <f t="shared" si="0"/>
        <v>205767</v>
      </c>
    </row>
    <row r="30" spans="1:4" s="3" customFormat="1" ht="15.75">
      <c r="A30" s="75" t="s">
        <v>618</v>
      </c>
      <c r="B30" s="131">
        <f>+B29+B28</f>
        <v>2902570</v>
      </c>
      <c r="C30" s="131">
        <f>+C29+C28</f>
        <v>705207</v>
      </c>
      <c r="D30" s="131">
        <f>+D29+D28</f>
        <v>3607777</v>
      </c>
    </row>
    <row r="33" spans="2:4" ht="15.75">
      <c r="B33" s="141">
        <f>+B30-B20</f>
        <v>0</v>
      </c>
      <c r="C33" s="141">
        <f>+C30-C20</f>
        <v>0</v>
      </c>
      <c r="D33" s="141">
        <f>+D30-D20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86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83.28125" style="4" customWidth="1"/>
    <col min="2" max="2" width="15.00390625" style="4" customWidth="1"/>
    <col min="3" max="5" width="9.140625" style="4" customWidth="1"/>
    <col min="6" max="6" width="38.8515625" style="4" customWidth="1"/>
    <col min="7" max="16384" width="9.140625" style="4" customWidth="1"/>
  </cols>
  <sheetData>
    <row r="1" ht="15.75">
      <c r="B1" s="71" t="s">
        <v>16</v>
      </c>
    </row>
    <row r="2" ht="15.75">
      <c r="B2" s="144" t="s">
        <v>68</v>
      </c>
    </row>
    <row r="4" spans="1:2" ht="18.75">
      <c r="A4" s="393" t="s">
        <v>757</v>
      </c>
      <c r="B4" s="406"/>
    </row>
    <row r="5" spans="1:2" ht="18.75">
      <c r="A5" s="32"/>
      <c r="B5" s="96"/>
    </row>
    <row r="6" spans="1:7" ht="39.75" customHeight="1">
      <c r="A6" s="394" t="s">
        <v>30</v>
      </c>
      <c r="B6" s="394"/>
      <c r="C6" s="236"/>
      <c r="D6" s="236"/>
      <c r="E6" s="236"/>
      <c r="G6" s="236"/>
    </row>
    <row r="7" spans="1:7" ht="15.75">
      <c r="A7" s="84"/>
      <c r="B7" s="84"/>
      <c r="C7" s="236"/>
      <c r="D7" s="236"/>
      <c r="E7" s="236"/>
      <c r="G7" s="236"/>
    </row>
    <row r="9" spans="1:2" ht="15.75">
      <c r="A9" s="239" t="s">
        <v>110</v>
      </c>
      <c r="B9" s="74" t="s">
        <v>819</v>
      </c>
    </row>
    <row r="10" spans="1:2" ht="15.75">
      <c r="A10" s="73" t="s">
        <v>57</v>
      </c>
      <c r="B10" s="92"/>
    </row>
    <row r="11" spans="1:2" ht="15.75">
      <c r="A11" s="6" t="s">
        <v>58</v>
      </c>
      <c r="B11" s="92"/>
    </row>
    <row r="12" spans="1:2" ht="15.75">
      <c r="A12" s="73" t="s">
        <v>59</v>
      </c>
      <c r="B12" s="92"/>
    </row>
    <row r="13" spans="1:2" ht="15.75">
      <c r="A13" s="73" t="s">
        <v>60</v>
      </c>
      <c r="B13" s="92"/>
    </row>
    <row r="14" spans="1:2" ht="15.75">
      <c r="A14" s="73" t="s">
        <v>61</v>
      </c>
      <c r="B14" s="92"/>
    </row>
    <row r="15" spans="1:2" ht="15.75">
      <c r="A15" s="73" t="s">
        <v>62</v>
      </c>
      <c r="B15" s="92"/>
    </row>
    <row r="16" spans="1:2" ht="15.75">
      <c r="A16" s="73" t="s">
        <v>63</v>
      </c>
      <c r="B16" s="92">
        <v>164700</v>
      </c>
    </row>
    <row r="17" spans="1:2" ht="15.75">
      <c r="A17" s="73" t="s">
        <v>64</v>
      </c>
      <c r="B17" s="92"/>
    </row>
    <row r="18" spans="1:2" s="260" customFormat="1" ht="15.75">
      <c r="A18" s="259" t="s">
        <v>822</v>
      </c>
      <c r="B18" s="262">
        <f>SUM(B10:B17)</f>
        <v>164700</v>
      </c>
    </row>
    <row r="19" spans="1:2" ht="31.5">
      <c r="A19" s="80" t="s">
        <v>814</v>
      </c>
      <c r="B19" s="92"/>
    </row>
    <row r="20" spans="1:2" ht="31.5">
      <c r="A20" s="80" t="s">
        <v>815</v>
      </c>
      <c r="B20" s="92">
        <v>139995</v>
      </c>
    </row>
    <row r="21" spans="1:2" ht="15.75">
      <c r="A21" s="82" t="s">
        <v>816</v>
      </c>
      <c r="B21" s="92"/>
    </row>
    <row r="22" spans="1:2" ht="15.75">
      <c r="A22" s="82" t="s">
        <v>817</v>
      </c>
      <c r="B22" s="92"/>
    </row>
    <row r="23" spans="1:2" ht="15.75">
      <c r="A23" s="73" t="s">
        <v>820</v>
      </c>
      <c r="B23" s="92"/>
    </row>
    <row r="24" spans="1:2" s="260" customFormat="1" ht="15.75">
      <c r="A24" s="267" t="s">
        <v>818</v>
      </c>
      <c r="B24" s="262">
        <f>SUM(B19:B23)</f>
        <v>139995</v>
      </c>
    </row>
    <row r="25" spans="1:2" ht="15.75">
      <c r="A25" s="89" t="s">
        <v>821</v>
      </c>
      <c r="B25" s="237">
        <v>24705</v>
      </c>
    </row>
    <row r="26" spans="1:3" s="260" customFormat="1" ht="15.75">
      <c r="A26" s="259" t="s">
        <v>654</v>
      </c>
      <c r="B26" s="262">
        <f>+B25+B24</f>
        <v>164700</v>
      </c>
      <c r="C26" s="285"/>
    </row>
    <row r="29" spans="1:2" ht="15.75">
      <c r="A29" s="240" t="s">
        <v>108</v>
      </c>
      <c r="B29" s="74" t="s">
        <v>819</v>
      </c>
    </row>
    <row r="30" spans="1:2" ht="15.75">
      <c r="A30" s="73" t="s">
        <v>57</v>
      </c>
      <c r="B30" s="92"/>
    </row>
    <row r="31" spans="1:2" ht="15.75">
      <c r="A31" s="6" t="s">
        <v>58</v>
      </c>
      <c r="B31" s="92"/>
    </row>
    <row r="32" spans="1:2" ht="15.75">
      <c r="A32" s="73" t="s">
        <v>59</v>
      </c>
      <c r="B32" s="92"/>
    </row>
    <row r="33" spans="1:2" ht="15.75">
      <c r="A33" s="73" t="s">
        <v>60</v>
      </c>
      <c r="B33" s="92"/>
    </row>
    <row r="34" spans="1:2" ht="15.75">
      <c r="A34" s="73" t="s">
        <v>61</v>
      </c>
      <c r="B34" s="92"/>
    </row>
    <row r="35" spans="1:2" ht="15.75">
      <c r="A35" s="73" t="s">
        <v>62</v>
      </c>
      <c r="B35" s="92"/>
    </row>
    <row r="36" spans="1:2" ht="15.75">
      <c r="A36" s="73" t="s">
        <v>63</v>
      </c>
      <c r="B36" s="92">
        <v>150000</v>
      </c>
    </row>
    <row r="37" spans="1:2" ht="15.75">
      <c r="A37" s="73" t="s">
        <v>64</v>
      </c>
      <c r="B37" s="92"/>
    </row>
    <row r="38" spans="1:2" s="260" customFormat="1" ht="15.75">
      <c r="A38" s="259" t="s">
        <v>822</v>
      </c>
      <c r="B38" s="262">
        <f>SUM(B30:B37)</f>
        <v>150000</v>
      </c>
    </row>
    <row r="39" spans="1:2" ht="31.5">
      <c r="A39" s="80" t="s">
        <v>814</v>
      </c>
      <c r="B39" s="92"/>
    </row>
    <row r="40" spans="1:2" ht="31.5">
      <c r="A40" s="80" t="s">
        <v>815</v>
      </c>
      <c r="B40" s="92">
        <v>150000</v>
      </c>
    </row>
    <row r="41" spans="1:2" ht="15.75">
      <c r="A41" s="82" t="s">
        <v>816</v>
      </c>
      <c r="B41" s="92"/>
    </row>
    <row r="42" spans="1:2" ht="15.75">
      <c r="A42" s="82" t="s">
        <v>817</v>
      </c>
      <c r="B42" s="92"/>
    </row>
    <row r="43" spans="1:2" ht="15.75">
      <c r="A43" s="73" t="s">
        <v>820</v>
      </c>
      <c r="B43" s="92"/>
    </row>
    <row r="44" spans="1:2" s="260" customFormat="1" ht="15.75">
      <c r="A44" s="267" t="s">
        <v>818</v>
      </c>
      <c r="B44" s="262">
        <f>SUM(B39:B43)</f>
        <v>150000</v>
      </c>
    </row>
    <row r="45" spans="1:2" ht="15.75">
      <c r="A45" s="89" t="s">
        <v>821</v>
      </c>
      <c r="B45" s="237">
        <v>0</v>
      </c>
    </row>
    <row r="46" spans="1:2" s="260" customFormat="1" ht="15.75">
      <c r="A46" s="259" t="s">
        <v>654</v>
      </c>
      <c r="B46" s="262">
        <f>+B45+B44</f>
        <v>150000</v>
      </c>
    </row>
    <row r="49" spans="1:2" ht="15.75">
      <c r="A49" s="238" t="s">
        <v>111</v>
      </c>
      <c r="B49" s="74" t="s">
        <v>819</v>
      </c>
    </row>
    <row r="50" spans="1:2" ht="15.75">
      <c r="A50" s="73" t="s">
        <v>57</v>
      </c>
      <c r="B50" s="92"/>
    </row>
    <row r="51" spans="1:2" ht="15.75">
      <c r="A51" s="6" t="s">
        <v>58</v>
      </c>
      <c r="B51" s="92"/>
    </row>
    <row r="52" spans="1:2" ht="15.75">
      <c r="A52" s="73" t="s">
        <v>59</v>
      </c>
      <c r="B52" s="92"/>
    </row>
    <row r="53" spans="1:2" ht="15.75">
      <c r="A53" s="73" t="s">
        <v>60</v>
      </c>
      <c r="B53" s="92"/>
    </row>
    <row r="54" spans="1:2" ht="15.75">
      <c r="A54" s="73" t="s">
        <v>61</v>
      </c>
      <c r="B54" s="92"/>
    </row>
    <row r="55" spans="1:2" ht="15.75">
      <c r="A55" s="73" t="s">
        <v>62</v>
      </c>
      <c r="B55" s="92"/>
    </row>
    <row r="56" spans="1:2" ht="15.75">
      <c r="A56" s="73" t="s">
        <v>63</v>
      </c>
      <c r="B56" s="92">
        <v>37680</v>
      </c>
    </row>
    <row r="57" spans="1:2" ht="15.75">
      <c r="A57" s="73" t="s">
        <v>64</v>
      </c>
      <c r="B57" s="92"/>
    </row>
    <row r="58" spans="1:2" s="260" customFormat="1" ht="15.75">
      <c r="A58" s="259" t="s">
        <v>822</v>
      </c>
      <c r="B58" s="262">
        <f>SUM(B50:B57)</f>
        <v>37680</v>
      </c>
    </row>
    <row r="59" spans="1:2" ht="31.5">
      <c r="A59" s="80" t="s">
        <v>814</v>
      </c>
      <c r="B59" s="92"/>
    </row>
    <row r="60" spans="1:2" ht="31.5">
      <c r="A60" s="80" t="s">
        <v>815</v>
      </c>
      <c r="B60" s="92">
        <v>37680</v>
      </c>
    </row>
    <row r="61" spans="1:2" ht="15.75">
      <c r="A61" s="82" t="s">
        <v>816</v>
      </c>
      <c r="B61" s="92"/>
    </row>
    <row r="62" spans="1:2" ht="15.75">
      <c r="A62" s="82" t="s">
        <v>817</v>
      </c>
      <c r="B62" s="92"/>
    </row>
    <row r="63" spans="1:2" ht="15.75">
      <c r="A63" s="73" t="s">
        <v>820</v>
      </c>
      <c r="B63" s="92"/>
    </row>
    <row r="64" spans="1:2" s="260" customFormat="1" ht="15.75">
      <c r="A64" s="267" t="s">
        <v>818</v>
      </c>
      <c r="B64" s="262">
        <f>SUM(B59:B63)</f>
        <v>37680</v>
      </c>
    </row>
    <row r="65" spans="1:2" ht="15.75">
      <c r="A65" s="89" t="s">
        <v>821</v>
      </c>
      <c r="B65" s="237">
        <v>0</v>
      </c>
    </row>
    <row r="66" spans="1:2" s="260" customFormat="1" ht="15.75">
      <c r="A66" s="259" t="s">
        <v>654</v>
      </c>
      <c r="B66" s="262">
        <f>+B65+B64</f>
        <v>37680</v>
      </c>
    </row>
    <row r="69" spans="1:2" ht="15.75">
      <c r="A69" s="239" t="s">
        <v>745</v>
      </c>
      <c r="B69" s="74" t="s">
        <v>819</v>
      </c>
    </row>
    <row r="70" spans="1:2" ht="15.75">
      <c r="A70" s="73" t="s">
        <v>57</v>
      </c>
      <c r="B70" s="92">
        <v>2580</v>
      </c>
    </row>
    <row r="71" spans="1:2" ht="15.75">
      <c r="A71" s="6" t="s">
        <v>58</v>
      </c>
      <c r="B71" s="92">
        <v>697</v>
      </c>
    </row>
    <row r="72" spans="1:2" ht="15.75">
      <c r="A72" s="73" t="s">
        <v>59</v>
      </c>
      <c r="B72" s="92">
        <v>16732</v>
      </c>
    </row>
    <row r="73" spans="1:2" ht="15.75">
      <c r="A73" s="73" t="s">
        <v>60</v>
      </c>
      <c r="B73" s="92"/>
    </row>
    <row r="74" spans="1:2" ht="15.75">
      <c r="A74" s="73" t="s">
        <v>61</v>
      </c>
      <c r="B74" s="92"/>
    </row>
    <row r="75" spans="1:2" ht="15.75">
      <c r="A75" s="73" t="s">
        <v>62</v>
      </c>
      <c r="B75" s="92">
        <v>1905</v>
      </c>
    </row>
    <row r="76" spans="1:2" ht="15.75">
      <c r="A76" s="73" t="s">
        <v>63</v>
      </c>
      <c r="B76" s="92"/>
    </row>
    <row r="77" spans="1:2" ht="15.75">
      <c r="A77" s="73" t="s">
        <v>64</v>
      </c>
      <c r="B77" s="92"/>
    </row>
    <row r="78" spans="1:2" s="260" customFormat="1" ht="15.75">
      <c r="A78" s="259" t="s">
        <v>822</v>
      </c>
      <c r="B78" s="262">
        <f>SUM(B70:B77)</f>
        <v>21914</v>
      </c>
    </row>
    <row r="79" spans="1:2" ht="31.5">
      <c r="A79" s="80" t="s">
        <v>814</v>
      </c>
      <c r="B79" s="92">
        <v>21914</v>
      </c>
    </row>
    <row r="80" spans="1:2" ht="31.5">
      <c r="A80" s="80" t="s">
        <v>815</v>
      </c>
      <c r="B80" s="92"/>
    </row>
    <row r="81" spans="1:2" ht="15.75">
      <c r="A81" s="82" t="s">
        <v>816</v>
      </c>
      <c r="B81" s="92"/>
    </row>
    <row r="82" spans="1:2" ht="15.75">
      <c r="A82" s="82" t="s">
        <v>817</v>
      </c>
      <c r="B82" s="92"/>
    </row>
    <row r="83" spans="1:2" ht="15.75">
      <c r="A83" s="73" t="s">
        <v>820</v>
      </c>
      <c r="B83" s="92"/>
    </row>
    <row r="84" spans="1:2" s="260" customFormat="1" ht="15.75">
      <c r="A84" s="267" t="s">
        <v>818</v>
      </c>
      <c r="B84" s="262">
        <f>SUM(B79:B83)</f>
        <v>21914</v>
      </c>
    </row>
    <row r="85" spans="1:2" ht="15.75">
      <c r="A85" s="89" t="s">
        <v>821</v>
      </c>
      <c r="B85" s="237">
        <v>0</v>
      </c>
    </row>
    <row r="86" spans="1:2" s="260" customFormat="1" ht="15.75">
      <c r="A86" s="259" t="s">
        <v>654</v>
      </c>
      <c r="B86" s="262">
        <f>+B85+B84</f>
        <v>21914</v>
      </c>
    </row>
  </sheetData>
  <sheetProtection/>
  <mergeCells count="2">
    <mergeCell ref="A6:B6"/>
    <mergeCell ref="A4:B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8" r:id="rId1"/>
  <headerFooter alignWithMargins="0">
    <oddFooter>&amp;R&amp;P</oddFooter>
  </headerFooter>
  <rowBreaks count="1" manualBreakCount="1">
    <brk id="46" max="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E20"/>
  <sheetViews>
    <sheetView view="pageBreakPreview" zoomScaleSheetLayoutView="100" workbookViewId="0" topLeftCell="A1">
      <selection activeCell="E2" sqref="E2"/>
    </sheetView>
  </sheetViews>
  <sheetFormatPr defaultColWidth="9.140625" defaultRowHeight="15"/>
  <cols>
    <col min="1" max="1" width="21.00390625" style="213" customWidth="1"/>
    <col min="2" max="2" width="29.140625" style="213" customWidth="1"/>
    <col min="3" max="3" width="18.421875" style="213" customWidth="1"/>
    <col min="4" max="4" width="9.28125" style="213" customWidth="1"/>
    <col min="5" max="5" width="12.57421875" style="213" customWidth="1"/>
    <col min="6" max="16384" width="9.140625" style="213" customWidth="1"/>
  </cols>
  <sheetData>
    <row r="1" ht="15.75">
      <c r="E1" s="71" t="s">
        <v>15</v>
      </c>
    </row>
    <row r="2" spans="4:5" ht="15.75">
      <c r="D2" s="215"/>
      <c r="E2" s="144" t="s">
        <v>68</v>
      </c>
    </row>
    <row r="3" ht="12.75">
      <c r="E3" s="214"/>
    </row>
    <row r="4" spans="1:5" ht="15.75">
      <c r="A4" s="409" t="s">
        <v>97</v>
      </c>
      <c r="B4" s="409"/>
      <c r="C4" s="409"/>
      <c r="D4" s="409"/>
      <c r="E4" s="409"/>
    </row>
    <row r="7" ht="13.5" thickBot="1"/>
    <row r="8" spans="1:5" ht="12.75">
      <c r="A8" s="410" t="s">
        <v>83</v>
      </c>
      <c r="B8" s="412" t="s">
        <v>792</v>
      </c>
      <c r="C8" s="390" t="s">
        <v>84</v>
      </c>
      <c r="D8" s="390"/>
      <c r="E8" s="391"/>
    </row>
    <row r="9" spans="1:5" ht="26.25" thickBot="1">
      <c r="A9" s="411"/>
      <c r="B9" s="413"/>
      <c r="C9" s="216" t="s">
        <v>85</v>
      </c>
      <c r="D9" s="216" t="s">
        <v>86</v>
      </c>
      <c r="E9" s="217" t="s">
        <v>87</v>
      </c>
    </row>
    <row r="10" spans="1:5" ht="13.5" thickBot="1">
      <c r="A10" s="218">
        <v>1</v>
      </c>
      <c r="B10" s="219">
        <v>2</v>
      </c>
      <c r="C10" s="219">
        <v>3</v>
      </c>
      <c r="D10" s="219">
        <v>4</v>
      </c>
      <c r="E10" s="220">
        <v>5</v>
      </c>
    </row>
    <row r="11" spans="1:5" s="225" customFormat="1" ht="47.25">
      <c r="A11" s="221" t="s">
        <v>88</v>
      </c>
      <c r="B11" s="222" t="s">
        <v>89</v>
      </c>
      <c r="C11" s="222" t="s">
        <v>90</v>
      </c>
      <c r="D11" s="223">
        <v>142</v>
      </c>
      <c r="E11" s="224">
        <v>2075</v>
      </c>
    </row>
    <row r="12" spans="1:5" s="225" customFormat="1" ht="31.5">
      <c r="A12" s="226" t="s">
        <v>88</v>
      </c>
      <c r="B12" s="227" t="s">
        <v>91</v>
      </c>
      <c r="C12" s="222" t="s">
        <v>92</v>
      </c>
      <c r="D12" s="228">
        <v>3</v>
      </c>
      <c r="E12" s="229">
        <v>167</v>
      </c>
    </row>
    <row r="13" spans="1:5" s="225" customFormat="1" ht="31.5">
      <c r="A13" s="226" t="s">
        <v>88</v>
      </c>
      <c r="B13" s="227" t="s">
        <v>564</v>
      </c>
      <c r="C13" s="222" t="s">
        <v>92</v>
      </c>
      <c r="D13" s="228">
        <v>2</v>
      </c>
      <c r="E13" s="229">
        <v>13</v>
      </c>
    </row>
    <row r="14" spans="1:5" s="225" customFormat="1" ht="31.5">
      <c r="A14" s="226" t="s">
        <v>88</v>
      </c>
      <c r="B14" s="227" t="s">
        <v>565</v>
      </c>
      <c r="C14" s="222" t="s">
        <v>92</v>
      </c>
      <c r="D14" s="228">
        <v>7</v>
      </c>
      <c r="E14" s="229">
        <v>175</v>
      </c>
    </row>
    <row r="15" spans="1:5" s="225" customFormat="1" ht="31.5">
      <c r="A15" s="230"/>
      <c r="B15" s="227" t="s">
        <v>93</v>
      </c>
      <c r="C15" s="222" t="s">
        <v>92</v>
      </c>
      <c r="D15" s="228">
        <v>3</v>
      </c>
      <c r="E15" s="229">
        <v>69</v>
      </c>
    </row>
    <row r="16" spans="1:5" s="225" customFormat="1" ht="31.5">
      <c r="A16" s="230"/>
      <c r="B16" s="227" t="s">
        <v>94</v>
      </c>
      <c r="C16" s="222" t="s">
        <v>92</v>
      </c>
      <c r="D16" s="228">
        <v>1</v>
      </c>
      <c r="E16" s="229">
        <v>5</v>
      </c>
    </row>
    <row r="17" spans="1:5" s="225" customFormat="1" ht="50.25" customHeight="1" thickBot="1">
      <c r="A17" s="231"/>
      <c r="B17" s="232" t="s">
        <v>95</v>
      </c>
      <c r="C17" s="222" t="s">
        <v>96</v>
      </c>
      <c r="D17" s="233">
        <v>521</v>
      </c>
      <c r="E17" s="234">
        <f>1467*4</f>
        <v>5868</v>
      </c>
    </row>
    <row r="18" spans="1:5" ht="19.5" thickBot="1">
      <c r="A18" s="407" t="s">
        <v>81</v>
      </c>
      <c r="B18" s="408"/>
      <c r="C18" s="408"/>
      <c r="D18" s="408"/>
      <c r="E18" s="235">
        <f>SUM(E11:E17)</f>
        <v>8372</v>
      </c>
    </row>
    <row r="20" ht="12.75">
      <c r="D20" s="213">
        <f>SUM(D11:D17)</f>
        <v>679</v>
      </c>
    </row>
  </sheetData>
  <mergeCells count="5">
    <mergeCell ref="A18:D18"/>
    <mergeCell ref="A4:E4"/>
    <mergeCell ref="A8:A9"/>
    <mergeCell ref="B8:B9"/>
    <mergeCell ref="C8:E8"/>
  </mergeCells>
  <printOptions horizontalCentered="1"/>
  <pageMargins left="0.5511811023622047" right="0.43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F160"/>
  <sheetViews>
    <sheetView view="pageBreakPreview" zoomScale="75" zoomScaleSheetLayoutView="75" zoomScalePageLayoutView="0" workbookViewId="0" topLeftCell="A1">
      <selection activeCell="E2" sqref="E2"/>
    </sheetView>
  </sheetViews>
  <sheetFormatPr defaultColWidth="9.140625" defaultRowHeight="15"/>
  <cols>
    <col min="1" max="1" width="78.00390625" style="4" customWidth="1"/>
    <col min="2" max="2" width="10.421875" style="4" bestFit="1" customWidth="1"/>
    <col min="3" max="4" width="11.57421875" style="4" customWidth="1"/>
    <col min="5" max="5" width="11.57421875" style="143" customWidth="1"/>
    <col min="6" max="16384" width="9.140625" style="4" customWidth="1"/>
  </cols>
  <sheetData>
    <row r="1" ht="15.75">
      <c r="E1" s="71" t="s">
        <v>14</v>
      </c>
    </row>
    <row r="2" ht="15.75">
      <c r="E2" s="144" t="s">
        <v>68</v>
      </c>
    </row>
    <row r="3" spans="1:5" ht="26.25" customHeight="1">
      <c r="A3" s="32" t="s">
        <v>757</v>
      </c>
      <c r="B3" s="184"/>
      <c r="C3" s="184"/>
      <c r="D3" s="184"/>
      <c r="E3" s="241"/>
    </row>
    <row r="4" spans="1:5" ht="15.75">
      <c r="A4" s="85"/>
      <c r="B4" s="97"/>
      <c r="C4" s="97"/>
      <c r="D4" s="97"/>
      <c r="E4" s="242"/>
    </row>
    <row r="5" spans="1:5" ht="15.75">
      <c r="A5" s="394" t="s">
        <v>5</v>
      </c>
      <c r="B5" s="395"/>
      <c r="C5" s="395"/>
      <c r="D5" s="395"/>
      <c r="E5" s="395"/>
    </row>
    <row r="8" spans="1:5" ht="47.25">
      <c r="A8" s="72" t="s">
        <v>76</v>
      </c>
      <c r="B8" s="79" t="s">
        <v>77</v>
      </c>
      <c r="C8" s="104" t="s">
        <v>101</v>
      </c>
      <c r="D8" s="104" t="s">
        <v>47</v>
      </c>
      <c r="E8" s="243" t="s">
        <v>46</v>
      </c>
    </row>
    <row r="9" spans="1:5" ht="15.75">
      <c r="A9" s="106" t="s">
        <v>328</v>
      </c>
      <c r="B9" s="107" t="s">
        <v>112</v>
      </c>
      <c r="C9" s="92">
        <f>1635168+24106</f>
        <v>1659274</v>
      </c>
      <c r="D9" s="92">
        <v>909675</v>
      </c>
      <c r="E9" s="154">
        <f>+'2 Össz'!E7</f>
        <v>980682</v>
      </c>
    </row>
    <row r="10" spans="1:5" ht="15.75">
      <c r="A10" s="82" t="s">
        <v>329</v>
      </c>
      <c r="B10" s="107" t="s">
        <v>113</v>
      </c>
      <c r="C10" s="92"/>
      <c r="D10" s="92"/>
      <c r="E10" s="154">
        <f>+'2 Össz'!E8</f>
        <v>52885</v>
      </c>
    </row>
    <row r="11" spans="1:5" s="258" customFormat="1" ht="15.75">
      <c r="A11" s="261" t="s">
        <v>526</v>
      </c>
      <c r="B11" s="293" t="s">
        <v>114</v>
      </c>
      <c r="C11" s="262">
        <f>SUM(C9:C10)</f>
        <v>1659274</v>
      </c>
      <c r="D11" s="262">
        <f>SUM(D9:D10)</f>
        <v>909675</v>
      </c>
      <c r="E11" s="257">
        <f>+'2 Össz'!E9</f>
        <v>1033567</v>
      </c>
    </row>
    <row r="12" spans="1:5" s="3" customFormat="1" ht="15.75">
      <c r="A12" s="90" t="s">
        <v>553</v>
      </c>
      <c r="B12" s="109" t="s">
        <v>115</v>
      </c>
      <c r="C12" s="93">
        <f>409268+3512</f>
        <v>412780</v>
      </c>
      <c r="D12" s="93">
        <v>225216</v>
      </c>
      <c r="E12" s="162">
        <f>+'2 Össz'!E10</f>
        <v>264743</v>
      </c>
    </row>
    <row r="13" spans="1:5" ht="15.75">
      <c r="A13" s="82" t="s">
        <v>330</v>
      </c>
      <c r="B13" s="107" t="s">
        <v>116</v>
      </c>
      <c r="C13" s="92"/>
      <c r="D13" s="92"/>
      <c r="E13" s="154">
        <f>+'2 Össz'!E11</f>
        <v>273780</v>
      </c>
    </row>
    <row r="14" spans="1:5" ht="15.75">
      <c r="A14" s="82" t="s">
        <v>561</v>
      </c>
      <c r="B14" s="107" t="s">
        <v>117</v>
      </c>
      <c r="C14" s="92"/>
      <c r="D14" s="92"/>
      <c r="E14" s="154">
        <f>+'2 Össz'!E12</f>
        <v>17771</v>
      </c>
    </row>
    <row r="15" spans="1:5" ht="15.75">
      <c r="A15" s="82" t="s">
        <v>331</v>
      </c>
      <c r="B15" s="107" t="s">
        <v>118</v>
      </c>
      <c r="C15" s="92"/>
      <c r="D15" s="92"/>
      <c r="E15" s="154">
        <f>+'2 Össz'!E13</f>
        <v>394333</v>
      </c>
    </row>
    <row r="16" spans="1:5" ht="15.75">
      <c r="A16" s="82" t="s">
        <v>332</v>
      </c>
      <c r="B16" s="107" t="s">
        <v>119</v>
      </c>
      <c r="C16" s="92"/>
      <c r="D16" s="92"/>
      <c r="E16" s="154">
        <f>+'2 Össz'!E14</f>
        <v>3639</v>
      </c>
    </row>
    <row r="17" spans="1:5" ht="15.75">
      <c r="A17" s="82" t="s">
        <v>333</v>
      </c>
      <c r="B17" s="107" t="s">
        <v>120</v>
      </c>
      <c r="C17" s="92"/>
      <c r="D17" s="92"/>
      <c r="E17" s="154">
        <f>+'2 Össz'!E15</f>
        <v>312823</v>
      </c>
    </row>
    <row r="18" spans="1:5" s="258" customFormat="1" ht="15.75">
      <c r="A18" s="255" t="s">
        <v>525</v>
      </c>
      <c r="B18" s="293" t="s">
        <v>121</v>
      </c>
      <c r="C18" s="262">
        <f>1038637+80993+58155-61340</f>
        <v>1116445</v>
      </c>
      <c r="D18" s="262">
        <v>1053238</v>
      </c>
      <c r="E18" s="257">
        <f>+'2 Össz'!E16</f>
        <v>1002346</v>
      </c>
    </row>
    <row r="19" spans="1:5" s="3" customFormat="1" ht="15.75">
      <c r="A19" s="78" t="s">
        <v>398</v>
      </c>
      <c r="B19" s="109" t="s">
        <v>128</v>
      </c>
      <c r="C19" s="93">
        <f>22930+337085</f>
        <v>360015</v>
      </c>
      <c r="D19" s="93">
        <v>277381</v>
      </c>
      <c r="E19" s="162">
        <f>+'2 Össz'!E17</f>
        <v>270887</v>
      </c>
    </row>
    <row r="20" spans="1:5" ht="15.75">
      <c r="A20" s="88" t="s">
        <v>554</v>
      </c>
      <c r="B20" s="107" t="s">
        <v>129</v>
      </c>
      <c r="C20" s="92"/>
      <c r="D20" s="92"/>
      <c r="E20" s="154">
        <f>+'2 Össz'!E18</f>
        <v>0</v>
      </c>
    </row>
    <row r="21" spans="1:5" ht="15.75">
      <c r="A21" s="88" t="s">
        <v>130</v>
      </c>
      <c r="B21" s="107" t="s">
        <v>131</v>
      </c>
      <c r="C21" s="92"/>
      <c r="D21" s="92"/>
      <c r="E21" s="154">
        <f>+'2 Össz'!E19</f>
        <v>6868</v>
      </c>
    </row>
    <row r="22" spans="1:5" ht="15.75">
      <c r="A22" s="88" t="s">
        <v>803</v>
      </c>
      <c r="B22" s="107" t="s">
        <v>132</v>
      </c>
      <c r="C22" s="92"/>
      <c r="D22" s="92"/>
      <c r="E22" s="154">
        <f>+'2 Össz'!E20</f>
        <v>0</v>
      </c>
    </row>
    <row r="23" spans="1:5" ht="15.75">
      <c r="A23" s="88" t="s">
        <v>802</v>
      </c>
      <c r="B23" s="107" t="s">
        <v>133</v>
      </c>
      <c r="C23" s="92"/>
      <c r="D23" s="92"/>
      <c r="E23" s="154">
        <f>+'2 Össz'!E21</f>
        <v>0</v>
      </c>
    </row>
    <row r="24" spans="1:5" ht="15.75">
      <c r="A24" s="88" t="s">
        <v>801</v>
      </c>
      <c r="B24" s="107" t="s">
        <v>134</v>
      </c>
      <c r="C24" s="92"/>
      <c r="D24" s="92"/>
      <c r="E24" s="154">
        <f>+'2 Össz'!E22</f>
        <v>0</v>
      </c>
    </row>
    <row r="25" spans="1:5" ht="15.75">
      <c r="A25" s="88" t="s">
        <v>804</v>
      </c>
      <c r="B25" s="107" t="s">
        <v>135</v>
      </c>
      <c r="C25" s="92">
        <v>0</v>
      </c>
      <c r="D25" s="92">
        <v>253517</v>
      </c>
      <c r="E25" s="154">
        <f>+'2 Össz'!E23</f>
        <v>151160</v>
      </c>
    </row>
    <row r="26" spans="1:5" ht="15.75">
      <c r="A26" s="88" t="s">
        <v>799</v>
      </c>
      <c r="B26" s="107" t="s">
        <v>136</v>
      </c>
      <c r="C26" s="92"/>
      <c r="D26" s="92"/>
      <c r="E26" s="154">
        <f>+'2 Össz'!E24</f>
        <v>0</v>
      </c>
    </row>
    <row r="27" spans="1:5" ht="15.75">
      <c r="A27" s="88" t="s">
        <v>798</v>
      </c>
      <c r="B27" s="107" t="s">
        <v>137</v>
      </c>
      <c r="C27" s="92"/>
      <c r="D27" s="92"/>
      <c r="E27" s="154">
        <f>+'2 Össz'!E25</f>
        <v>0</v>
      </c>
    </row>
    <row r="28" spans="1:5" ht="15.75">
      <c r="A28" s="88" t="s">
        <v>138</v>
      </c>
      <c r="B28" s="107" t="s">
        <v>139</v>
      </c>
      <c r="C28" s="92"/>
      <c r="D28" s="92"/>
      <c r="E28" s="154">
        <f>+'2 Össz'!E26</f>
        <v>0</v>
      </c>
    </row>
    <row r="29" spans="1:5" ht="15.75">
      <c r="A29" s="87" t="s">
        <v>140</v>
      </c>
      <c r="B29" s="107" t="s">
        <v>141</v>
      </c>
      <c r="C29" s="92"/>
      <c r="D29" s="92"/>
      <c r="E29" s="154">
        <f>+'2 Össz'!E27</f>
        <v>0</v>
      </c>
    </row>
    <row r="30" spans="1:5" ht="15.75">
      <c r="A30" s="88" t="s">
        <v>555</v>
      </c>
      <c r="B30" s="107" t="s">
        <v>142</v>
      </c>
      <c r="C30" s="92">
        <v>61340</v>
      </c>
      <c r="D30" s="92">
        <f>12626+20427</f>
        <v>33053</v>
      </c>
      <c r="E30" s="154">
        <f>+'2 Össz'!E28</f>
        <v>46488</v>
      </c>
    </row>
    <row r="31" spans="1:5" ht="15.75">
      <c r="A31" s="87" t="s">
        <v>790</v>
      </c>
      <c r="B31" s="107" t="s">
        <v>143</v>
      </c>
      <c r="C31" s="92">
        <v>0</v>
      </c>
      <c r="D31" s="92">
        <v>7000</v>
      </c>
      <c r="E31" s="154">
        <f>+'2 Össz'!E29</f>
        <v>30000</v>
      </c>
    </row>
    <row r="32" spans="1:5" ht="15.75">
      <c r="A32" s="87" t="s">
        <v>791</v>
      </c>
      <c r="B32" s="107" t="s">
        <v>143</v>
      </c>
      <c r="C32" s="92">
        <v>0</v>
      </c>
      <c r="D32" s="92">
        <v>93597</v>
      </c>
      <c r="E32" s="154">
        <f>+'2 Össz'!E30</f>
        <v>2650</v>
      </c>
    </row>
    <row r="33" spans="1:5" s="258" customFormat="1" ht="15.75">
      <c r="A33" s="267" t="s">
        <v>524</v>
      </c>
      <c r="B33" s="293" t="s">
        <v>144</v>
      </c>
      <c r="C33" s="262">
        <f>SUM(C20:C32)</f>
        <v>61340</v>
      </c>
      <c r="D33" s="262">
        <f>SUM(D20:D32)</f>
        <v>387167</v>
      </c>
      <c r="E33" s="257">
        <f>+'2 Össz'!E31</f>
        <v>237166</v>
      </c>
    </row>
    <row r="34" spans="1:5" s="258" customFormat="1" ht="15.75">
      <c r="A34" s="292" t="s">
        <v>523</v>
      </c>
      <c r="B34" s="293" t="s">
        <v>673</v>
      </c>
      <c r="C34" s="262">
        <f>+C33+C19+C18+C12+C11</f>
        <v>3609854</v>
      </c>
      <c r="D34" s="262">
        <f>+D33+D19+D18+D12+D11</f>
        <v>2852677</v>
      </c>
      <c r="E34" s="257">
        <f>+'2 Össz'!E32</f>
        <v>2808709</v>
      </c>
    </row>
    <row r="35" spans="1:5" ht="15.75">
      <c r="A35" s="114" t="s">
        <v>145</v>
      </c>
      <c r="B35" s="107" t="s">
        <v>146</v>
      </c>
      <c r="C35" s="92"/>
      <c r="D35" s="92"/>
      <c r="E35" s="154">
        <f>+'2 Össz'!E33</f>
        <v>3417</v>
      </c>
    </row>
    <row r="36" spans="1:5" ht="15.75">
      <c r="A36" s="114" t="s">
        <v>556</v>
      </c>
      <c r="B36" s="107" t="s">
        <v>147</v>
      </c>
      <c r="C36" s="92">
        <v>264461</v>
      </c>
      <c r="D36" s="92">
        <v>73140</v>
      </c>
      <c r="E36" s="154">
        <f>+'2 Össz'!E34</f>
        <v>10866</v>
      </c>
    </row>
    <row r="37" spans="1:5" ht="15.75">
      <c r="A37" s="114" t="s">
        <v>148</v>
      </c>
      <c r="B37" s="107" t="s">
        <v>149</v>
      </c>
      <c r="C37" s="92"/>
      <c r="D37" s="92"/>
      <c r="E37" s="154">
        <f>+'2 Össz'!E35</f>
        <v>942</v>
      </c>
    </row>
    <row r="38" spans="1:5" ht="15.75">
      <c r="A38" s="114" t="s">
        <v>150</v>
      </c>
      <c r="B38" s="107" t="s">
        <v>151</v>
      </c>
      <c r="C38" s="92"/>
      <c r="D38" s="92"/>
      <c r="E38" s="154">
        <f>+'2 Össz'!E36</f>
        <v>26673</v>
      </c>
    </row>
    <row r="39" spans="1:5" ht="15.75">
      <c r="A39" s="81" t="s">
        <v>152</v>
      </c>
      <c r="B39" s="107" t="s">
        <v>153</v>
      </c>
      <c r="C39" s="92"/>
      <c r="D39" s="92"/>
      <c r="E39" s="154">
        <f>+'2 Össz'!E37</f>
        <v>0</v>
      </c>
    </row>
    <row r="40" spans="1:5" ht="15.75">
      <c r="A40" s="81" t="s">
        <v>154</v>
      </c>
      <c r="B40" s="107" t="s">
        <v>155</v>
      </c>
      <c r="C40" s="92"/>
      <c r="D40" s="92"/>
      <c r="E40" s="154">
        <f>+'2 Össz'!E38</f>
        <v>0</v>
      </c>
    </row>
    <row r="41" spans="1:5" ht="15.75">
      <c r="A41" s="81" t="s">
        <v>156</v>
      </c>
      <c r="B41" s="107" t="s">
        <v>157</v>
      </c>
      <c r="C41" s="92"/>
      <c r="D41" s="92"/>
      <c r="E41" s="154">
        <f>+'2 Össz'!E39</f>
        <v>8882</v>
      </c>
    </row>
    <row r="42" spans="1:5" s="258" customFormat="1" ht="15.75">
      <c r="A42" s="256" t="s">
        <v>522</v>
      </c>
      <c r="B42" s="293" t="s">
        <v>158</v>
      </c>
      <c r="C42" s="262">
        <f>SUM(C35:C41)</f>
        <v>264461</v>
      </c>
      <c r="D42" s="262">
        <f>SUM(D35:D41)</f>
        <v>73140</v>
      </c>
      <c r="E42" s="257">
        <f>+'2 Össz'!E40</f>
        <v>50780</v>
      </c>
    </row>
    <row r="43" spans="1:5" ht="15.75">
      <c r="A43" s="80" t="s">
        <v>159</v>
      </c>
      <c r="B43" s="107" t="s">
        <v>160</v>
      </c>
      <c r="C43" s="92">
        <f>3829+50884</f>
        <v>54713</v>
      </c>
      <c r="D43" s="92">
        <v>469345</v>
      </c>
      <c r="E43" s="154">
        <f>+'2 Össz'!E41</f>
        <v>254996</v>
      </c>
    </row>
    <row r="44" spans="1:5" ht="15.75">
      <c r="A44" s="80" t="s">
        <v>161</v>
      </c>
      <c r="B44" s="107" t="s">
        <v>162</v>
      </c>
      <c r="C44" s="92"/>
      <c r="D44" s="92"/>
      <c r="E44" s="154">
        <f>+'2 Össz'!E42</f>
        <v>0</v>
      </c>
    </row>
    <row r="45" spans="1:5" ht="15.75">
      <c r="A45" s="80" t="s">
        <v>163</v>
      </c>
      <c r="B45" s="107" t="s">
        <v>164</v>
      </c>
      <c r="C45" s="92"/>
      <c r="D45" s="92"/>
      <c r="E45" s="154">
        <f>+'2 Össz'!E43</f>
        <v>154055</v>
      </c>
    </row>
    <row r="46" spans="1:5" ht="15.75">
      <c r="A46" s="80" t="s">
        <v>165</v>
      </c>
      <c r="B46" s="107" t="s">
        <v>166</v>
      </c>
      <c r="C46" s="92"/>
      <c r="D46" s="92"/>
      <c r="E46" s="154">
        <f>+'2 Össz'!E44</f>
        <v>108595</v>
      </c>
    </row>
    <row r="47" spans="1:5" s="258" customFormat="1" ht="15.75">
      <c r="A47" s="255" t="s">
        <v>521</v>
      </c>
      <c r="B47" s="293" t="s">
        <v>167</v>
      </c>
      <c r="C47" s="262">
        <f>SUM(C43:C46)</f>
        <v>54713</v>
      </c>
      <c r="D47" s="262">
        <f>SUM(D43:D46)</f>
        <v>469345</v>
      </c>
      <c r="E47" s="257">
        <f>+'2 Össz'!E45</f>
        <v>517646</v>
      </c>
    </row>
    <row r="48" spans="1:5" ht="15.75">
      <c r="A48" s="80" t="s">
        <v>793</v>
      </c>
      <c r="B48" s="107" t="s">
        <v>168</v>
      </c>
      <c r="C48" s="92"/>
      <c r="D48" s="92"/>
      <c r="E48" s="154">
        <f>+'2 Össz'!E46</f>
        <v>0</v>
      </c>
    </row>
    <row r="49" spans="1:5" ht="15.75">
      <c r="A49" s="80" t="s">
        <v>794</v>
      </c>
      <c r="B49" s="107" t="s">
        <v>169</v>
      </c>
      <c r="C49" s="92"/>
      <c r="D49" s="92"/>
      <c r="E49" s="154">
        <f>+'2 Össz'!E47</f>
        <v>0</v>
      </c>
    </row>
    <row r="50" spans="1:5" ht="15.75">
      <c r="A50" s="80" t="s">
        <v>795</v>
      </c>
      <c r="B50" s="107" t="s">
        <v>170</v>
      </c>
      <c r="C50" s="92"/>
      <c r="D50" s="92"/>
      <c r="E50" s="154">
        <f>+'2 Össz'!E48</f>
        <v>0</v>
      </c>
    </row>
    <row r="51" spans="1:5" ht="15.75">
      <c r="A51" s="80" t="s">
        <v>805</v>
      </c>
      <c r="B51" s="107" t="s">
        <v>171</v>
      </c>
      <c r="C51" s="92">
        <f>41792+528</f>
        <v>42320</v>
      </c>
      <c r="D51" s="92">
        <f>5257+61378</f>
        <v>66635</v>
      </c>
      <c r="E51" s="154">
        <f>+'2 Össz'!E49</f>
        <v>136194</v>
      </c>
    </row>
    <row r="52" spans="1:5" ht="15.75">
      <c r="A52" s="80" t="s">
        <v>796</v>
      </c>
      <c r="B52" s="107" t="s">
        <v>172</v>
      </c>
      <c r="C52" s="92"/>
      <c r="D52" s="92"/>
      <c r="E52" s="154">
        <f>+'2 Össz'!E50</f>
        <v>0</v>
      </c>
    </row>
    <row r="53" spans="1:5" ht="15.75">
      <c r="A53" s="80" t="s">
        <v>797</v>
      </c>
      <c r="B53" s="107" t="s">
        <v>173</v>
      </c>
      <c r="C53" s="92"/>
      <c r="D53" s="92"/>
      <c r="E53" s="154">
        <f>+'2 Össz'!E51</f>
        <v>0</v>
      </c>
    </row>
    <row r="54" spans="1:5" ht="15.75">
      <c r="A54" s="80" t="s">
        <v>174</v>
      </c>
      <c r="B54" s="107" t="s">
        <v>175</v>
      </c>
      <c r="C54" s="92"/>
      <c r="D54" s="92"/>
      <c r="E54" s="154">
        <f>+'2 Össz'!E52</f>
        <v>0</v>
      </c>
    </row>
    <row r="55" spans="1:5" ht="15.75">
      <c r="A55" s="80" t="s">
        <v>557</v>
      </c>
      <c r="B55" s="107" t="s">
        <v>176</v>
      </c>
      <c r="C55" s="92"/>
      <c r="D55" s="92"/>
      <c r="E55" s="154">
        <f>+'2 Össz'!E53</f>
        <v>0</v>
      </c>
    </row>
    <row r="56" spans="1:5" s="258" customFormat="1" ht="15.75">
      <c r="A56" s="267" t="s">
        <v>520</v>
      </c>
      <c r="B56" s="293" t="s">
        <v>177</v>
      </c>
      <c r="C56" s="262">
        <f>SUM(C48:C55)</f>
        <v>42320</v>
      </c>
      <c r="D56" s="262">
        <f>SUM(D48:D55)</f>
        <v>66635</v>
      </c>
      <c r="E56" s="257">
        <f>+'2 Össz'!E54</f>
        <v>136194</v>
      </c>
    </row>
    <row r="57" spans="1:5" s="258" customFormat="1" ht="15.75">
      <c r="A57" s="292" t="s">
        <v>519</v>
      </c>
      <c r="B57" s="293" t="s">
        <v>674</v>
      </c>
      <c r="C57" s="262">
        <f>+C56+C47+C42</f>
        <v>361494</v>
      </c>
      <c r="D57" s="262">
        <f>+D56+D47+D42</f>
        <v>609120</v>
      </c>
      <c r="E57" s="257">
        <f>+'2 Össz'!E55</f>
        <v>704620</v>
      </c>
    </row>
    <row r="58" spans="1:5" s="258" customFormat="1" ht="15.75">
      <c r="A58" s="270" t="s">
        <v>518</v>
      </c>
      <c r="B58" s="304" t="s">
        <v>675</v>
      </c>
      <c r="C58" s="262">
        <f>+C56+C47+C42+C33+C19+C18+C12+C11</f>
        <v>3971348</v>
      </c>
      <c r="D58" s="262">
        <f>+D56+D47+D42+D33+D19+D18+D12+D11</f>
        <v>3461797</v>
      </c>
      <c r="E58" s="257">
        <f>+'2 Össz'!E56</f>
        <v>3513329</v>
      </c>
    </row>
    <row r="59" spans="1:5" ht="15.75">
      <c r="A59" s="80" t="s">
        <v>567</v>
      </c>
      <c r="B59" s="82" t="s">
        <v>178</v>
      </c>
      <c r="C59" s="92">
        <v>69375</v>
      </c>
      <c r="D59" s="92">
        <v>62592</v>
      </c>
      <c r="E59" s="154">
        <f>+'2 Össz'!E57</f>
        <v>5948</v>
      </c>
    </row>
    <row r="60" spans="1:5" ht="15.75">
      <c r="A60" s="80" t="s">
        <v>181</v>
      </c>
      <c r="B60" s="82" t="s">
        <v>182</v>
      </c>
      <c r="C60" s="92"/>
      <c r="D60" s="92"/>
      <c r="E60" s="154">
        <f>+'2 Össz'!E58</f>
        <v>0</v>
      </c>
    </row>
    <row r="61" spans="1:5" ht="15.75">
      <c r="A61" s="80" t="s">
        <v>568</v>
      </c>
      <c r="B61" s="82" t="s">
        <v>183</v>
      </c>
      <c r="C61" s="92">
        <v>125719</v>
      </c>
      <c r="D61" s="92">
        <v>735000</v>
      </c>
      <c r="E61" s="154">
        <f>+'2 Össz'!E59</f>
        <v>88500</v>
      </c>
    </row>
    <row r="62" spans="1:5" s="258" customFormat="1" ht="15.75">
      <c r="A62" s="267" t="s">
        <v>433</v>
      </c>
      <c r="B62" s="255" t="s">
        <v>184</v>
      </c>
      <c r="C62" s="350">
        <f>SUM(C59:C61)</f>
        <v>195094</v>
      </c>
      <c r="D62" s="350">
        <f>SUM(D59:D61)</f>
        <v>797592</v>
      </c>
      <c r="E62" s="257">
        <f>+'2 Össz'!E60</f>
        <v>94448</v>
      </c>
    </row>
    <row r="63" spans="1:5" ht="15.75">
      <c r="A63" s="123" t="s">
        <v>558</v>
      </c>
      <c r="B63" s="82" t="s">
        <v>185</v>
      </c>
      <c r="C63" s="92"/>
      <c r="D63" s="92"/>
      <c r="E63" s="154">
        <f>+'2 Össz'!E61</f>
        <v>0</v>
      </c>
    </row>
    <row r="64" spans="1:5" ht="15.75">
      <c r="A64" s="123" t="s">
        <v>544</v>
      </c>
      <c r="B64" s="82" t="s">
        <v>188</v>
      </c>
      <c r="C64" s="92"/>
      <c r="D64" s="92"/>
      <c r="E64" s="154">
        <f>+'2 Össz'!E62</f>
        <v>0</v>
      </c>
    </row>
    <row r="65" spans="1:5" ht="15.75">
      <c r="A65" s="80" t="s">
        <v>189</v>
      </c>
      <c r="B65" s="82" t="s">
        <v>190</v>
      </c>
      <c r="C65" s="92"/>
      <c r="D65" s="92"/>
      <c r="E65" s="154">
        <f>+'2 Össz'!E63</f>
        <v>0</v>
      </c>
    </row>
    <row r="66" spans="1:5" ht="15.75">
      <c r="A66" s="80" t="s">
        <v>414</v>
      </c>
      <c r="B66" s="82" t="s">
        <v>191</v>
      </c>
      <c r="C66" s="92"/>
      <c r="D66" s="92"/>
      <c r="E66" s="154">
        <f>+'2 Össz'!E64</f>
        <v>0</v>
      </c>
    </row>
    <row r="67" spans="1:5" s="258" customFormat="1" ht="15.75">
      <c r="A67" s="337" t="s">
        <v>432</v>
      </c>
      <c r="B67" s="255" t="s">
        <v>192</v>
      </c>
      <c r="C67" s="301">
        <f>SUM(C63:C66)</f>
        <v>0</v>
      </c>
      <c r="D67" s="301">
        <f>SUM(D63:D66)</f>
        <v>0</v>
      </c>
      <c r="E67" s="257">
        <f>+'2 Össz'!E65</f>
        <v>0</v>
      </c>
    </row>
    <row r="68" spans="1:5" ht="15.75">
      <c r="A68" s="123" t="s">
        <v>193</v>
      </c>
      <c r="B68" s="82" t="s">
        <v>194</v>
      </c>
      <c r="C68" s="92"/>
      <c r="D68" s="92"/>
      <c r="E68" s="154">
        <f>+'2 Össz'!E66</f>
        <v>0</v>
      </c>
    </row>
    <row r="69" spans="1:5" ht="15.75">
      <c r="A69" s="123" t="s">
        <v>195</v>
      </c>
      <c r="B69" s="82" t="s">
        <v>196</v>
      </c>
      <c r="C69" s="92"/>
      <c r="D69" s="92"/>
      <c r="E69" s="154">
        <f>+'2 Össz'!E67</f>
        <v>0</v>
      </c>
    </row>
    <row r="70" spans="1:5" ht="15.75">
      <c r="A70" s="123" t="s">
        <v>667</v>
      </c>
      <c r="B70" s="82" t="s">
        <v>197</v>
      </c>
      <c r="C70" s="92"/>
      <c r="D70" s="92"/>
      <c r="E70" s="154">
        <f>+'2 Össz'!E68</f>
        <v>0</v>
      </c>
    </row>
    <row r="71" spans="1:5" ht="15.75">
      <c r="A71" s="123" t="s">
        <v>198</v>
      </c>
      <c r="B71" s="82" t="s">
        <v>199</v>
      </c>
      <c r="C71" s="92"/>
      <c r="D71" s="92"/>
      <c r="E71" s="154">
        <f>+'2 Össz'!E69</f>
        <v>0</v>
      </c>
    </row>
    <row r="72" spans="1:5" ht="15.75">
      <c r="A72" s="123" t="s">
        <v>200</v>
      </c>
      <c r="B72" s="82" t="s">
        <v>201</v>
      </c>
      <c r="C72" s="92"/>
      <c r="D72" s="92"/>
      <c r="E72" s="154">
        <f>+'2 Össz'!E70</f>
        <v>0</v>
      </c>
    </row>
    <row r="73" spans="1:5" ht="15.75">
      <c r="A73" s="123" t="s">
        <v>202</v>
      </c>
      <c r="B73" s="82" t="s">
        <v>203</v>
      </c>
      <c r="C73" s="92"/>
      <c r="D73" s="92"/>
      <c r="E73" s="154">
        <f>+'2 Össz'!E71</f>
        <v>0</v>
      </c>
    </row>
    <row r="74" spans="1:5" s="258" customFormat="1" ht="15.75">
      <c r="A74" s="337" t="s">
        <v>431</v>
      </c>
      <c r="B74" s="255" t="s">
        <v>204</v>
      </c>
      <c r="C74" s="301">
        <f>+C73+C72+C71+C70+C69+C68+C67+C62</f>
        <v>195094</v>
      </c>
      <c r="D74" s="301">
        <f>+D73+D72+D71+D70+D69+D68+D67+D62</f>
        <v>797592</v>
      </c>
      <c r="E74" s="257">
        <f>+'2 Össz'!E72</f>
        <v>94448</v>
      </c>
    </row>
    <row r="75" spans="1:5" s="3" customFormat="1" ht="15.75">
      <c r="A75" s="125" t="s">
        <v>547</v>
      </c>
      <c r="B75" s="90" t="s">
        <v>214</v>
      </c>
      <c r="C75" s="93">
        <f>+'7 Önk'!D58+'8 PH'!D58+'9 VGIG'!D58+'10 Járób'!D58+'11 Szoci'!D58+'12 Ovi'!D58+'13 Művház'!D58+'14 Könyvt'!D58</f>
        <v>0</v>
      </c>
      <c r="D75" s="93">
        <f>+'7 Önk'!E58+'8 PH'!E58+'9 VGIG'!E58+'10 Járób'!E58+'11 Szoci'!E58+'12 Ovi'!E58+'13 Művház'!E58+'14 Könyvt'!E58</f>
        <v>0</v>
      </c>
      <c r="E75" s="162">
        <f>+'2 Össz'!E73</f>
        <v>0</v>
      </c>
    </row>
    <row r="76" spans="1:5" ht="15.75">
      <c r="A76" s="80" t="s">
        <v>215</v>
      </c>
      <c r="B76" s="82" t="s">
        <v>216</v>
      </c>
      <c r="C76" s="92">
        <v>-636</v>
      </c>
      <c r="D76" s="92"/>
      <c r="E76" s="154">
        <f>+'2 Össz'!E74</f>
        <v>0</v>
      </c>
    </row>
    <row r="77" spans="1:5" s="258" customFormat="1" ht="15.75">
      <c r="A77" s="299" t="s">
        <v>517</v>
      </c>
      <c r="B77" s="300" t="s">
        <v>217</v>
      </c>
      <c r="C77" s="301">
        <f>+C76+C75+C74</f>
        <v>194458</v>
      </c>
      <c r="D77" s="301">
        <f>+D76+D75+D74</f>
        <v>797592</v>
      </c>
      <c r="E77" s="257">
        <f>+'2 Össz'!E75</f>
        <v>94448</v>
      </c>
    </row>
    <row r="78" spans="1:5" s="258" customFormat="1" ht="15.75">
      <c r="A78" s="259" t="s">
        <v>771</v>
      </c>
      <c r="B78" s="259" t="s">
        <v>671</v>
      </c>
      <c r="C78" s="262">
        <f>+C58+C77</f>
        <v>4165806</v>
      </c>
      <c r="D78" s="262">
        <f>+D58+D77</f>
        <v>4259389</v>
      </c>
      <c r="E78" s="257">
        <f>+'2 Össz'!E76</f>
        <v>3607777</v>
      </c>
    </row>
    <row r="79" spans="2:5" ht="15.75">
      <c r="B79" s="132"/>
      <c r="C79" s="133"/>
      <c r="D79" s="133"/>
      <c r="E79" s="244"/>
    </row>
    <row r="80" spans="2:5" ht="15.75">
      <c r="B80" s="132"/>
      <c r="C80" s="133"/>
      <c r="D80" s="133"/>
      <c r="E80" s="244"/>
    </row>
    <row r="81" spans="1:5" ht="47.25">
      <c r="A81" s="72" t="s">
        <v>76</v>
      </c>
      <c r="B81" s="79" t="s">
        <v>31</v>
      </c>
      <c r="C81" s="104" t="s">
        <v>101</v>
      </c>
      <c r="D81" s="104" t="s">
        <v>47</v>
      </c>
      <c r="E81" s="243" t="s">
        <v>46</v>
      </c>
    </row>
    <row r="82" spans="1:5" ht="15.75">
      <c r="A82" s="106" t="s">
        <v>218</v>
      </c>
      <c r="B82" s="81" t="s">
        <v>219</v>
      </c>
      <c r="C82" s="92">
        <f>47478+29358+251+300</f>
        <v>77387</v>
      </c>
      <c r="D82" s="92">
        <v>168428</v>
      </c>
      <c r="E82" s="189">
        <f>+'2 Össz'!E80</f>
        <v>228421</v>
      </c>
    </row>
    <row r="83" spans="1:5" ht="15.75">
      <c r="A83" s="82" t="s">
        <v>220</v>
      </c>
      <c r="B83" s="81" t="s">
        <v>221</v>
      </c>
      <c r="C83" s="92">
        <f>562591+153774</f>
        <v>716365</v>
      </c>
      <c r="D83" s="92">
        <v>286454</v>
      </c>
      <c r="E83" s="189">
        <f>+'2 Össz'!E81</f>
        <v>171460</v>
      </c>
    </row>
    <row r="84" spans="1:5" ht="15.75">
      <c r="A84" s="82" t="s">
        <v>222</v>
      </c>
      <c r="B84" s="81" t="s">
        <v>223</v>
      </c>
      <c r="C84" s="92">
        <f>35905+72324+17294+104135</f>
        <v>229658</v>
      </c>
      <c r="D84" s="92">
        <f>141374+178972+129051-13194+194889</f>
        <v>631092</v>
      </c>
      <c r="E84" s="189">
        <f>+'2 Össz'!E82</f>
        <v>612676</v>
      </c>
    </row>
    <row r="85" spans="1:5" ht="15.75">
      <c r="A85" s="82" t="s">
        <v>224</v>
      </c>
      <c r="B85" s="81" t="s">
        <v>225</v>
      </c>
      <c r="C85" s="92"/>
      <c r="D85" s="92">
        <v>13194</v>
      </c>
      <c r="E85" s="189">
        <f>+'2 Össz'!E83</f>
        <v>13093</v>
      </c>
    </row>
    <row r="86" spans="1:5" ht="15.75">
      <c r="A86" s="82" t="s">
        <v>226</v>
      </c>
      <c r="B86" s="81" t="s">
        <v>227</v>
      </c>
      <c r="C86" s="92">
        <v>154808</v>
      </c>
      <c r="D86" s="92"/>
      <c r="E86" s="189">
        <f>+'2 Össz'!E84</f>
        <v>0</v>
      </c>
    </row>
    <row r="87" spans="1:5" ht="15.75">
      <c r="A87" s="82" t="s">
        <v>228</v>
      </c>
      <c r="B87" s="81" t="s">
        <v>229</v>
      </c>
      <c r="C87" s="92">
        <v>492288</v>
      </c>
      <c r="D87" s="92">
        <v>332794</v>
      </c>
      <c r="E87" s="189">
        <f>+'2 Össz'!E85</f>
        <v>247967</v>
      </c>
    </row>
    <row r="88" spans="1:5" s="258" customFormat="1" ht="15.75">
      <c r="A88" s="255" t="s">
        <v>809</v>
      </c>
      <c r="B88" s="256" t="s">
        <v>230</v>
      </c>
      <c r="C88" s="262">
        <f>SUM(C82:C87)</f>
        <v>1670506</v>
      </c>
      <c r="D88" s="262">
        <f>SUM(D82:D87)</f>
        <v>1431962</v>
      </c>
      <c r="E88" s="301">
        <f>+'2 Össz'!E86</f>
        <v>1273617</v>
      </c>
    </row>
    <row r="89" spans="1:5" ht="15.75">
      <c r="A89" s="82" t="s">
        <v>231</v>
      </c>
      <c r="B89" s="81" t="s">
        <v>232</v>
      </c>
      <c r="C89" s="92"/>
      <c r="D89" s="92"/>
      <c r="E89" s="189">
        <f>+'2 Össz'!E87</f>
        <v>0</v>
      </c>
    </row>
    <row r="90" spans="1:5" ht="15.75">
      <c r="A90" s="82" t="s">
        <v>768</v>
      </c>
      <c r="B90" s="81" t="s">
        <v>233</v>
      </c>
      <c r="C90" s="92"/>
      <c r="D90" s="92"/>
      <c r="E90" s="189">
        <f>+'2 Össz'!E88</f>
        <v>0</v>
      </c>
    </row>
    <row r="91" spans="1:5" ht="15.75">
      <c r="A91" s="82" t="s">
        <v>766</v>
      </c>
      <c r="B91" s="81" t="s">
        <v>234</v>
      </c>
      <c r="C91" s="92"/>
      <c r="D91" s="92"/>
      <c r="E91" s="189">
        <f>+'2 Össz'!E89</f>
        <v>0</v>
      </c>
    </row>
    <row r="92" spans="1:5" ht="15.75">
      <c r="A92" s="82" t="s">
        <v>767</v>
      </c>
      <c r="B92" s="81" t="s">
        <v>235</v>
      </c>
      <c r="C92" s="92"/>
      <c r="D92" s="92"/>
      <c r="E92" s="189">
        <f>+'2 Össz'!E90</f>
        <v>0</v>
      </c>
    </row>
    <row r="93" spans="1:5" ht="15.75">
      <c r="A93" s="82" t="s">
        <v>572</v>
      </c>
      <c r="B93" s="81" t="s">
        <v>236</v>
      </c>
      <c r="C93" s="92">
        <f>557290+204794</f>
        <v>762084</v>
      </c>
      <c r="D93" s="92">
        <f>484438+68760</f>
        <v>553198</v>
      </c>
      <c r="E93" s="189">
        <f>+'2 Össz'!E91</f>
        <v>664233</v>
      </c>
    </row>
    <row r="94" spans="1:5" s="258" customFormat="1" ht="15.75">
      <c r="A94" s="255" t="s">
        <v>527</v>
      </c>
      <c r="B94" s="256" t="s">
        <v>237</v>
      </c>
      <c r="C94" s="262">
        <f>+C93+C92+C91+C90+C89+C88</f>
        <v>2432590</v>
      </c>
      <c r="D94" s="262">
        <f>+D93+D92+D91+D90+D89+D88</f>
        <v>1985160</v>
      </c>
      <c r="E94" s="301">
        <f>+'2 Össz'!E92</f>
        <v>1937850</v>
      </c>
    </row>
    <row r="95" spans="1:5" s="3" customFormat="1" ht="15.75">
      <c r="A95" s="90" t="s">
        <v>622</v>
      </c>
      <c r="B95" s="83" t="s">
        <v>242</v>
      </c>
      <c r="C95" s="93">
        <f>9568+10968+175451+208760+87552</f>
        <v>492299</v>
      </c>
      <c r="D95" s="93">
        <f>435410+14646</f>
        <v>450056</v>
      </c>
      <c r="E95" s="126">
        <f>+'2 Össz'!E93</f>
        <v>531264</v>
      </c>
    </row>
    <row r="96" spans="1:5" ht="15.75">
      <c r="A96" s="82" t="s">
        <v>623</v>
      </c>
      <c r="B96" s="81" t="s">
        <v>243</v>
      </c>
      <c r="C96" s="92">
        <f>809185-395691</f>
        <v>413494</v>
      </c>
      <c r="D96" s="92"/>
      <c r="E96" s="189">
        <f>+'2 Össz'!E94</f>
        <v>0</v>
      </c>
    </row>
    <row r="97" spans="1:5" ht="15.75">
      <c r="A97" s="82" t="s">
        <v>573</v>
      </c>
      <c r="B97" s="81" t="s">
        <v>244</v>
      </c>
      <c r="C97" s="92"/>
      <c r="D97" s="92"/>
      <c r="E97" s="189">
        <f>+'2 Össz'!E95</f>
        <v>0</v>
      </c>
    </row>
    <row r="98" spans="1:5" ht="15.75">
      <c r="A98" s="82" t="s">
        <v>574</v>
      </c>
      <c r="B98" s="81" t="s">
        <v>245</v>
      </c>
      <c r="C98" s="92"/>
      <c r="D98" s="92"/>
      <c r="E98" s="189">
        <f>+'2 Össz'!E96</f>
        <v>0</v>
      </c>
    </row>
    <row r="99" spans="1:5" ht="15.75">
      <c r="A99" s="82" t="s">
        <v>575</v>
      </c>
      <c r="B99" s="81" t="s">
        <v>246</v>
      </c>
      <c r="C99" s="92">
        <v>97054</v>
      </c>
      <c r="D99" s="92">
        <v>96750</v>
      </c>
      <c r="E99" s="189">
        <f>+'2 Össz'!E97</f>
        <v>96750</v>
      </c>
    </row>
    <row r="100" spans="1:5" ht="15.75">
      <c r="A100" s="82" t="s">
        <v>624</v>
      </c>
      <c r="B100" s="81" t="s">
        <v>258</v>
      </c>
      <c r="C100" s="92">
        <v>295507</v>
      </c>
      <c r="D100" s="92">
        <v>257450</v>
      </c>
      <c r="E100" s="189">
        <f>+'2 Össz'!E98</f>
        <v>257450</v>
      </c>
    </row>
    <row r="101" spans="1:5" ht="15.75">
      <c r="A101" s="82" t="s">
        <v>578</v>
      </c>
      <c r="B101" s="81" t="s">
        <v>259</v>
      </c>
      <c r="C101" s="92">
        <v>3130</v>
      </c>
      <c r="D101" s="92">
        <v>3000</v>
      </c>
      <c r="E101" s="189">
        <f>+'2 Össz'!E99</f>
        <v>3000</v>
      </c>
    </row>
    <row r="102" spans="1:5" s="258" customFormat="1" ht="15.75">
      <c r="A102" s="255" t="s">
        <v>434</v>
      </c>
      <c r="B102" s="256" t="s">
        <v>260</v>
      </c>
      <c r="C102" s="262">
        <f>SUM(C96:C101)</f>
        <v>809185</v>
      </c>
      <c r="D102" s="262">
        <f>SUM(D96:D101)</f>
        <v>357200</v>
      </c>
      <c r="E102" s="301">
        <f>+'2 Össz'!E100</f>
        <v>357200</v>
      </c>
    </row>
    <row r="103" spans="1:5" ht="15.75">
      <c r="A103" s="80" t="s">
        <v>261</v>
      </c>
      <c r="B103" s="81" t="s">
        <v>262</v>
      </c>
      <c r="C103" s="92">
        <v>7</v>
      </c>
      <c r="D103" s="92"/>
      <c r="E103" s="189">
        <f>+'2 Össz'!E101</f>
        <v>19300</v>
      </c>
    </row>
    <row r="104" spans="1:5" ht="15.75">
      <c r="A104" s="80" t="s">
        <v>579</v>
      </c>
      <c r="B104" s="81" t="s">
        <v>263</v>
      </c>
      <c r="C104" s="92">
        <f>216720+24140</f>
        <v>240860</v>
      </c>
      <c r="D104" s="92">
        <f>455240-D107</f>
        <v>289785</v>
      </c>
      <c r="E104" s="189">
        <f>+'2 Össz'!E102</f>
        <v>235593</v>
      </c>
    </row>
    <row r="105" spans="1:5" ht="15.75">
      <c r="A105" s="80" t="s">
        <v>580</v>
      </c>
      <c r="B105" s="81" t="s">
        <v>264</v>
      </c>
      <c r="C105" s="92"/>
      <c r="D105" s="92"/>
      <c r="E105" s="189">
        <f>+'2 Össz'!E103</f>
        <v>544</v>
      </c>
    </row>
    <row r="106" spans="1:5" ht="15.75">
      <c r="A106" s="80" t="s">
        <v>581</v>
      </c>
      <c r="B106" s="81" t="s">
        <v>265</v>
      </c>
      <c r="C106" s="92"/>
      <c r="D106" s="92"/>
      <c r="E106" s="189">
        <f>+'2 Össz'!E104</f>
        <v>3131</v>
      </c>
    </row>
    <row r="107" spans="1:5" ht="15.75">
      <c r="A107" s="80" t="s">
        <v>266</v>
      </c>
      <c r="B107" s="81" t="s">
        <v>267</v>
      </c>
      <c r="C107" s="92">
        <v>142762</v>
      </c>
      <c r="D107" s="92">
        <v>165455</v>
      </c>
      <c r="E107" s="189">
        <f>+'2 Össz'!E105</f>
        <v>162835</v>
      </c>
    </row>
    <row r="108" spans="1:5" ht="15.75">
      <c r="A108" s="80" t="s">
        <v>268</v>
      </c>
      <c r="B108" s="81" t="s">
        <v>269</v>
      </c>
      <c r="C108" s="92"/>
      <c r="D108" s="92"/>
      <c r="E108" s="189">
        <f>+'2 Össz'!E106</f>
        <v>27359</v>
      </c>
    </row>
    <row r="109" spans="1:5" ht="15.75">
      <c r="A109" s="80" t="s">
        <v>270</v>
      </c>
      <c r="B109" s="81" t="s">
        <v>271</v>
      </c>
      <c r="C109" s="92"/>
      <c r="D109" s="92"/>
      <c r="E109" s="189">
        <f>+'2 Össz'!E107</f>
        <v>0</v>
      </c>
    </row>
    <row r="110" spans="1:5" ht="15.75">
      <c r="A110" s="80" t="s">
        <v>582</v>
      </c>
      <c r="B110" s="81" t="s">
        <v>272</v>
      </c>
      <c r="C110" s="92">
        <v>2075</v>
      </c>
      <c r="D110" s="92">
        <v>2050</v>
      </c>
      <c r="E110" s="189">
        <f>+'2 Össz'!E108</f>
        <v>2110</v>
      </c>
    </row>
    <row r="111" spans="1:5" ht="15.75">
      <c r="A111" s="80" t="s">
        <v>583</v>
      </c>
      <c r="B111" s="81" t="s">
        <v>273</v>
      </c>
      <c r="C111" s="92"/>
      <c r="D111" s="92"/>
      <c r="E111" s="189">
        <f>+'2 Össz'!E109</f>
        <v>0</v>
      </c>
    </row>
    <row r="112" spans="1:5" ht="15.75">
      <c r="A112" s="80" t="s">
        <v>584</v>
      </c>
      <c r="B112" s="81" t="s">
        <v>274</v>
      </c>
      <c r="C112" s="92">
        <f>5723+15731+6959+37102</f>
        <v>65515</v>
      </c>
      <c r="D112" s="92"/>
      <c r="E112" s="189">
        <f>+'2 Össz'!E110</f>
        <v>3558</v>
      </c>
    </row>
    <row r="113" spans="1:5" s="258" customFormat="1" ht="15.75">
      <c r="A113" s="267" t="s">
        <v>435</v>
      </c>
      <c r="B113" s="256" t="s">
        <v>275</v>
      </c>
      <c r="C113" s="262">
        <f>SUM(C103:C112)</f>
        <v>451219</v>
      </c>
      <c r="D113" s="262">
        <f>SUM(D103:D112)</f>
        <v>457290</v>
      </c>
      <c r="E113" s="301">
        <f>+'2 Össz'!E111</f>
        <v>454430</v>
      </c>
    </row>
    <row r="114" spans="1:5" ht="15.75">
      <c r="A114" s="80" t="s">
        <v>585</v>
      </c>
      <c r="B114" s="81" t="s">
        <v>276</v>
      </c>
      <c r="C114" s="92"/>
      <c r="D114" s="92"/>
      <c r="E114" s="189">
        <f>+'2 Össz'!E112</f>
        <v>0</v>
      </c>
    </row>
    <row r="115" spans="1:5" ht="15.75">
      <c r="A115" s="80" t="s">
        <v>586</v>
      </c>
      <c r="B115" s="81" t="s">
        <v>277</v>
      </c>
      <c r="C115" s="92">
        <v>579</v>
      </c>
      <c r="D115" s="92">
        <v>24746</v>
      </c>
      <c r="E115" s="189">
        <f>+'2 Össz'!E113</f>
        <v>95866</v>
      </c>
    </row>
    <row r="116" spans="1:5" ht="15.75">
      <c r="A116" s="80" t="s">
        <v>278</v>
      </c>
      <c r="B116" s="81" t="s">
        <v>279</v>
      </c>
      <c r="C116" s="92"/>
      <c r="D116" s="92"/>
      <c r="E116" s="189">
        <f>+'2 Össz'!E114</f>
        <v>0</v>
      </c>
    </row>
    <row r="117" spans="1:5" ht="15.75">
      <c r="A117" s="80" t="s">
        <v>587</v>
      </c>
      <c r="B117" s="81" t="s">
        <v>280</v>
      </c>
      <c r="C117" s="92"/>
      <c r="D117" s="92"/>
      <c r="E117" s="189">
        <f>+'2 Össz'!E115</f>
        <v>0</v>
      </c>
    </row>
    <row r="118" spans="1:5" ht="15.75">
      <c r="A118" s="80" t="s">
        <v>281</v>
      </c>
      <c r="B118" s="81" t="s">
        <v>282</v>
      </c>
      <c r="C118" s="92"/>
      <c r="D118" s="92"/>
      <c r="E118" s="189">
        <f>+'2 Össz'!E116</f>
        <v>0</v>
      </c>
    </row>
    <row r="119" spans="1:5" s="258" customFormat="1" ht="15.75">
      <c r="A119" s="255" t="s">
        <v>693</v>
      </c>
      <c r="B119" s="256" t="s">
        <v>283</v>
      </c>
      <c r="C119" s="262">
        <f>SUM(C114:C118)</f>
        <v>579</v>
      </c>
      <c r="D119" s="262">
        <f>SUM(D114:D118)</f>
        <v>24746</v>
      </c>
      <c r="E119" s="301">
        <f>+'2 Össz'!E117</f>
        <v>95866</v>
      </c>
    </row>
    <row r="120" spans="1:5" s="3" customFormat="1" ht="15.75">
      <c r="A120" s="90" t="s">
        <v>628</v>
      </c>
      <c r="B120" s="83" t="s">
        <v>286</v>
      </c>
      <c r="C120" s="93">
        <v>35404</v>
      </c>
      <c r="D120" s="93">
        <v>0</v>
      </c>
      <c r="E120" s="126">
        <f>+'2 Össz'!E118</f>
        <v>0</v>
      </c>
    </row>
    <row r="121" spans="1:5" ht="15.75">
      <c r="A121" s="80" t="s">
        <v>808</v>
      </c>
      <c r="B121" s="81" t="s">
        <v>287</v>
      </c>
      <c r="C121" s="92"/>
      <c r="D121" s="92"/>
      <c r="E121" s="189">
        <f>+'2 Össz'!E119</f>
        <v>0</v>
      </c>
    </row>
    <row r="122" spans="1:5" ht="15.75">
      <c r="A122" s="82" t="s">
        <v>807</v>
      </c>
      <c r="B122" s="81" t="s">
        <v>288</v>
      </c>
      <c r="C122" s="92"/>
      <c r="D122" s="92"/>
      <c r="E122" s="189">
        <f>+'2 Össz'!E120</f>
        <v>0</v>
      </c>
    </row>
    <row r="123" spans="1:5" ht="15.75">
      <c r="A123" s="80" t="s">
        <v>612</v>
      </c>
      <c r="B123" s="81" t="s">
        <v>289</v>
      </c>
      <c r="C123" s="92">
        <f>26435+12108+281</f>
        <v>38824</v>
      </c>
      <c r="D123" s="92">
        <v>24705</v>
      </c>
      <c r="E123" s="189">
        <f>+'2 Össz'!E121</f>
        <v>25400</v>
      </c>
    </row>
    <row r="124" spans="1:5" s="258" customFormat="1" ht="15.75">
      <c r="A124" s="255" t="s">
        <v>512</v>
      </c>
      <c r="B124" s="256" t="s">
        <v>290</v>
      </c>
      <c r="C124" s="262">
        <f>SUM(C121:C123)</f>
        <v>38824</v>
      </c>
      <c r="D124" s="262">
        <f>SUM(D121:D123)</f>
        <v>24705</v>
      </c>
      <c r="E124" s="301">
        <f>+'2 Össz'!E122</f>
        <v>25400</v>
      </c>
    </row>
    <row r="125" spans="1:5" s="258" customFormat="1" ht="15.75">
      <c r="A125" s="269" t="s">
        <v>516</v>
      </c>
      <c r="B125" s="270" t="s">
        <v>672</v>
      </c>
      <c r="C125" s="262">
        <f>+C124+C120+C119+C113+C102+C95+C94</f>
        <v>4260100</v>
      </c>
      <c r="D125" s="262">
        <f>+D124+D120+D119+D113+D102+D95+D94</f>
        <v>3299157</v>
      </c>
      <c r="E125" s="301">
        <f>+'2 Össz'!E123</f>
        <v>3402010</v>
      </c>
    </row>
    <row r="126" spans="1:5" s="258" customFormat="1" ht="15.75">
      <c r="A126" s="297" t="s">
        <v>668</v>
      </c>
      <c r="B126" s="298"/>
      <c r="C126" s="264">
        <f>+C120+C113+C102+C94-C34</f>
        <v>118544</v>
      </c>
      <c r="D126" s="264">
        <f>+D120+D113+D102+D94-D34</f>
        <v>-53027</v>
      </c>
      <c r="E126" s="301">
        <f>+'2 Össz'!E124</f>
        <v>-59229</v>
      </c>
    </row>
    <row r="127" spans="1:5" s="258" customFormat="1" ht="15.75">
      <c r="A127" s="297" t="s">
        <v>669</v>
      </c>
      <c r="B127" s="298"/>
      <c r="C127" s="264">
        <f>+C124+C119+C95-C57</f>
        <v>170208</v>
      </c>
      <c r="D127" s="264">
        <f>+D124+D119+D95-D57</f>
        <v>-109613</v>
      </c>
      <c r="E127" s="301">
        <f>+'2 Össz'!E125</f>
        <v>-52090</v>
      </c>
    </row>
    <row r="128" spans="1:5" ht="15.75">
      <c r="A128" s="123" t="s">
        <v>102</v>
      </c>
      <c r="B128" s="82" t="s">
        <v>291</v>
      </c>
      <c r="C128" s="92"/>
      <c r="D128" s="92"/>
      <c r="E128" s="189">
        <f>+'2 Össz'!E126</f>
        <v>33038</v>
      </c>
    </row>
    <row r="129" spans="1:5" ht="15.75">
      <c r="A129" s="80" t="s">
        <v>292</v>
      </c>
      <c r="B129" s="82" t="s">
        <v>293</v>
      </c>
      <c r="C129" s="92"/>
      <c r="D129" s="92"/>
      <c r="E129" s="189">
        <f>+'2 Össz'!E127</f>
        <v>0</v>
      </c>
    </row>
    <row r="130" spans="1:5" ht="15.75">
      <c r="A130" s="123" t="s">
        <v>103</v>
      </c>
      <c r="B130" s="82" t="s">
        <v>294</v>
      </c>
      <c r="C130" s="92"/>
      <c r="D130" s="92">
        <f>735000+75667</f>
        <v>810667</v>
      </c>
      <c r="E130" s="189">
        <f>+'2 Össz'!E128</f>
        <v>88500</v>
      </c>
    </row>
    <row r="131" spans="1:5" s="258" customFormat="1" ht="15.75">
      <c r="A131" s="267" t="s">
        <v>425</v>
      </c>
      <c r="B131" s="255" t="s">
        <v>295</v>
      </c>
      <c r="C131" s="262">
        <f>SUM(C128:C130)</f>
        <v>0</v>
      </c>
      <c r="D131" s="262">
        <f>SUM(D128:D130)</f>
        <v>810667</v>
      </c>
      <c r="E131" s="301">
        <f>+'2 Össz'!E129</f>
        <v>121538</v>
      </c>
    </row>
    <row r="132" spans="1:5" ht="15.75">
      <c r="A132" s="80" t="s">
        <v>613</v>
      </c>
      <c r="B132" s="82" t="s">
        <v>296</v>
      </c>
      <c r="C132" s="92"/>
      <c r="D132" s="92"/>
      <c r="E132" s="189">
        <f>+'2 Össz'!E130</f>
        <v>0</v>
      </c>
    </row>
    <row r="133" spans="1:5" ht="15.75">
      <c r="A133" s="123" t="s">
        <v>297</v>
      </c>
      <c r="B133" s="82" t="s">
        <v>298</v>
      </c>
      <c r="C133" s="92"/>
      <c r="D133" s="92"/>
      <c r="E133" s="189">
        <f>+'2 Össz'!E131</f>
        <v>0</v>
      </c>
    </row>
    <row r="134" spans="1:5" ht="15.75">
      <c r="A134" s="80" t="s">
        <v>614</v>
      </c>
      <c r="B134" s="82" t="s">
        <v>299</v>
      </c>
      <c r="C134" s="92"/>
      <c r="D134" s="92"/>
      <c r="E134" s="189">
        <f>+'2 Össz'!E132</f>
        <v>0</v>
      </c>
    </row>
    <row r="135" spans="1:5" ht="15.75">
      <c r="A135" s="123" t="s">
        <v>300</v>
      </c>
      <c r="B135" s="82" t="s">
        <v>301</v>
      </c>
      <c r="C135" s="92"/>
      <c r="D135" s="92"/>
      <c r="E135" s="189">
        <f>+'2 Össz'!E133</f>
        <v>0</v>
      </c>
    </row>
    <row r="136" spans="1:5" s="258" customFormat="1" ht="15.75">
      <c r="A136" s="337" t="s">
        <v>513</v>
      </c>
      <c r="B136" s="255" t="s">
        <v>302</v>
      </c>
      <c r="C136" s="262">
        <f>SUM(C132:C135)</f>
        <v>0</v>
      </c>
      <c r="D136" s="262">
        <f>SUM(D132:D135)</f>
        <v>0</v>
      </c>
      <c r="E136" s="301">
        <f>+'2 Össz'!E134</f>
        <v>0</v>
      </c>
    </row>
    <row r="137" spans="1:5" ht="15.75">
      <c r="A137" s="82" t="s">
        <v>788</v>
      </c>
      <c r="B137" s="82" t="s">
        <v>303</v>
      </c>
      <c r="C137" s="92">
        <v>73576</v>
      </c>
      <c r="D137" s="92">
        <v>86565</v>
      </c>
      <c r="E137" s="189">
        <f>+'2 Össz'!E135</f>
        <v>59229</v>
      </c>
    </row>
    <row r="138" spans="1:5" ht="15.75">
      <c r="A138" s="82" t="s">
        <v>789</v>
      </c>
      <c r="B138" s="82" t="s">
        <v>303</v>
      </c>
      <c r="C138" s="92">
        <v>4191</v>
      </c>
      <c r="D138" s="92">
        <v>63000</v>
      </c>
      <c r="E138" s="189">
        <f>+'2 Össz'!E136</f>
        <v>25000</v>
      </c>
    </row>
    <row r="139" spans="1:5" ht="15.75">
      <c r="A139" s="82" t="s">
        <v>786</v>
      </c>
      <c r="B139" s="82" t="s">
        <v>304</v>
      </c>
      <c r="C139" s="92"/>
      <c r="D139" s="92"/>
      <c r="E139" s="189">
        <f>+'2 Össz'!E137</f>
        <v>0</v>
      </c>
    </row>
    <row r="140" spans="1:5" ht="15.75">
      <c r="A140" s="82" t="s">
        <v>787</v>
      </c>
      <c r="B140" s="82" t="s">
        <v>304</v>
      </c>
      <c r="C140" s="92"/>
      <c r="D140" s="92"/>
      <c r="E140" s="189">
        <f>+'2 Össz'!E138</f>
        <v>0</v>
      </c>
    </row>
    <row r="141" spans="1:5" s="258" customFormat="1" ht="15.75">
      <c r="A141" s="255" t="s">
        <v>514</v>
      </c>
      <c r="B141" s="255" t="s">
        <v>305</v>
      </c>
      <c r="C141" s="262">
        <f>SUM(C137:C140)</f>
        <v>77767</v>
      </c>
      <c r="D141" s="262">
        <f>SUM(D137:D140)</f>
        <v>149565</v>
      </c>
      <c r="E141" s="301">
        <f>+'2 Össz'!E139</f>
        <v>84229</v>
      </c>
    </row>
    <row r="142" spans="1:5" ht="15.75">
      <c r="A142" s="123" t="s">
        <v>306</v>
      </c>
      <c r="B142" s="82" t="s">
        <v>307</v>
      </c>
      <c r="C142" s="92"/>
      <c r="D142" s="92"/>
      <c r="E142" s="189">
        <f>+'2 Össz'!E140</f>
        <v>0</v>
      </c>
    </row>
    <row r="143" spans="1:5" ht="15.75">
      <c r="A143" s="123" t="s">
        <v>308</v>
      </c>
      <c r="B143" s="82" t="s">
        <v>309</v>
      </c>
      <c r="C143" s="92"/>
      <c r="D143" s="92"/>
      <c r="E143" s="189">
        <f>+'2 Össz'!E141</f>
        <v>0</v>
      </c>
    </row>
    <row r="144" spans="1:5" ht="15.75">
      <c r="A144" s="123" t="s">
        <v>310</v>
      </c>
      <c r="B144" s="82" t="s">
        <v>311</v>
      </c>
      <c r="C144" s="92"/>
      <c r="D144" s="92"/>
      <c r="E144" s="189">
        <f>+'2 Össz'!E142</f>
        <v>0</v>
      </c>
    </row>
    <row r="145" spans="1:5" ht="15.75">
      <c r="A145" s="123" t="s">
        <v>312</v>
      </c>
      <c r="B145" s="82" t="s">
        <v>313</v>
      </c>
      <c r="C145" s="92"/>
      <c r="D145" s="92"/>
      <c r="E145" s="189">
        <f>+'2 Össz'!E143</f>
        <v>0</v>
      </c>
    </row>
    <row r="146" spans="1:5" ht="15.75">
      <c r="A146" s="80" t="s">
        <v>615</v>
      </c>
      <c r="B146" s="82" t="s">
        <v>314</v>
      </c>
      <c r="C146" s="92"/>
      <c r="D146" s="92"/>
      <c r="E146" s="189">
        <f>+'2 Össz'!E144</f>
        <v>0</v>
      </c>
    </row>
    <row r="147" spans="1:5" s="258" customFormat="1" ht="15.75">
      <c r="A147" s="267" t="s">
        <v>428</v>
      </c>
      <c r="B147" s="255" t="s">
        <v>316</v>
      </c>
      <c r="C147" s="262">
        <f>+C141+C136+C131</f>
        <v>77767</v>
      </c>
      <c r="D147" s="262">
        <f>+D141+D136+D131</f>
        <v>960232</v>
      </c>
      <c r="E147" s="301">
        <f>+'2 Össz'!E145</f>
        <v>205767</v>
      </c>
    </row>
    <row r="148" spans="1:5" ht="15.75">
      <c r="A148" s="123" t="s">
        <v>635</v>
      </c>
      <c r="B148" s="82" t="s">
        <v>324</v>
      </c>
      <c r="C148" s="92"/>
      <c r="D148" s="92"/>
      <c r="E148" s="189">
        <f>+'2 Össz'!E146</f>
        <v>0</v>
      </c>
    </row>
    <row r="149" spans="1:5" ht="15.75">
      <c r="A149" s="80" t="s">
        <v>325</v>
      </c>
      <c r="B149" s="82" t="s">
        <v>326</v>
      </c>
      <c r="C149" s="92">
        <v>-6749</v>
      </c>
      <c r="D149" s="92"/>
      <c r="E149" s="189">
        <f>+'2 Össz'!E147</f>
        <v>0</v>
      </c>
    </row>
    <row r="150" spans="1:5" s="258" customFormat="1" ht="15.75">
      <c r="A150" s="299" t="s">
        <v>515</v>
      </c>
      <c r="B150" s="300" t="s">
        <v>327</v>
      </c>
      <c r="C150" s="262">
        <f>+C149+C148+C147</f>
        <v>71018</v>
      </c>
      <c r="D150" s="262">
        <f>+D149+D148+D147</f>
        <v>960232</v>
      </c>
      <c r="E150" s="301">
        <f>+'2 Össz'!E148</f>
        <v>205767</v>
      </c>
    </row>
    <row r="151" spans="1:5" s="258" customFormat="1" ht="15.75">
      <c r="A151" s="259" t="s">
        <v>654</v>
      </c>
      <c r="B151" s="259" t="s">
        <v>670</v>
      </c>
      <c r="C151" s="262">
        <f>+C125+C150</f>
        <v>4331118</v>
      </c>
      <c r="D151" s="262">
        <f>+D125+D150</f>
        <v>4259389</v>
      </c>
      <c r="E151" s="301">
        <f>+'2 Össz'!E149</f>
        <v>3607777</v>
      </c>
    </row>
    <row r="152" spans="3:6" ht="15.75">
      <c r="C152" s="141"/>
      <c r="D152" s="141"/>
      <c r="E152" s="165"/>
      <c r="F152" s="141"/>
    </row>
    <row r="153" spans="1:5" ht="15.75">
      <c r="A153" s="74" t="s">
        <v>676</v>
      </c>
      <c r="B153" s="74"/>
      <c r="C153" s="93">
        <f>+C125-C58</f>
        <v>288752</v>
      </c>
      <c r="D153" s="93">
        <f>+D125-D58</f>
        <v>-162640</v>
      </c>
      <c r="E153" s="93">
        <f>+E125-E58</f>
        <v>-111319</v>
      </c>
    </row>
    <row r="154" spans="1:5" ht="15.75">
      <c r="A154" s="74" t="s">
        <v>746</v>
      </c>
      <c r="B154" s="74"/>
      <c r="C154" s="93">
        <f>+C150-C77</f>
        <v>-123440</v>
      </c>
      <c r="D154" s="93">
        <f>+D150-D77</f>
        <v>162640</v>
      </c>
      <c r="E154" s="93">
        <f>+E150-E77</f>
        <v>111319</v>
      </c>
    </row>
    <row r="155" spans="1:5" ht="15.75">
      <c r="A155" s="212"/>
      <c r="B155" s="212"/>
      <c r="C155" s="134"/>
      <c r="D155" s="73"/>
      <c r="E155" s="245"/>
    </row>
    <row r="156" spans="1:5" ht="15.75">
      <c r="A156" s="74" t="s">
        <v>79</v>
      </c>
      <c r="B156" s="74"/>
      <c r="C156" s="93">
        <f>+C126+C131+C137-C77</f>
        <v>-2338</v>
      </c>
      <c r="D156" s="93">
        <f>+D126+D131+D137-D77</f>
        <v>46613</v>
      </c>
      <c r="E156" s="93">
        <f>+E126+E131+E137-E77</f>
        <v>27090</v>
      </c>
    </row>
    <row r="157" spans="1:5" ht="15.75">
      <c r="A157" s="74" t="s">
        <v>78</v>
      </c>
      <c r="B157" s="74"/>
      <c r="C157" s="93">
        <f>+C127+C138</f>
        <v>174399</v>
      </c>
      <c r="D157" s="93">
        <f>+D127+D138</f>
        <v>-46613</v>
      </c>
      <c r="E157" s="93">
        <f>+E127+E138</f>
        <v>-27090</v>
      </c>
    </row>
    <row r="158" ht="15.75">
      <c r="C158" s="141"/>
    </row>
    <row r="159" spans="1:5" ht="15.75">
      <c r="A159" s="143" t="s">
        <v>756</v>
      </c>
      <c r="C159" s="141">
        <f>+C151-C78</f>
        <v>165312</v>
      </c>
      <c r="D159" s="141">
        <f>+D151-D78</f>
        <v>0</v>
      </c>
      <c r="E159" s="141">
        <f>+E151-E78</f>
        <v>0</v>
      </c>
    </row>
    <row r="160" ht="15.75">
      <c r="C160" s="141"/>
    </row>
  </sheetData>
  <sheetProtection/>
  <mergeCells count="1">
    <mergeCell ref="A5:E5"/>
  </mergeCells>
  <printOptions horizontalCentered="1"/>
  <pageMargins left="0.7086614173228347" right="0.7086614173228347" top="0.5118110236220472" bottom="0.5905511811023623" header="0.31496062992125984" footer="0.31496062992125984"/>
  <pageSetup fitToHeight="2" horizontalDpi="600" verticalDpi="600" orientation="portrait" paperSize="9" scale="60" r:id="rId1"/>
  <headerFooter alignWithMargins="0">
    <oddFooter>&amp;R&amp;P</oddFooter>
  </headerFooter>
  <rowBreaks count="1" manualBreakCount="1">
    <brk id="80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R159"/>
  <sheetViews>
    <sheetView view="pageBreakPreview" zoomScale="75" zoomScaleSheetLayoutView="75" zoomScalePageLayoutView="0" workbookViewId="0" topLeftCell="C124">
      <selection activeCell="O2" sqref="O2"/>
    </sheetView>
  </sheetViews>
  <sheetFormatPr defaultColWidth="9.140625" defaultRowHeight="15"/>
  <cols>
    <col min="1" max="1" width="80.421875" style="0" bestFit="1" customWidth="1"/>
    <col min="2" max="2" width="10.28125" style="0" customWidth="1"/>
    <col min="3" max="3" width="11.8515625" style="0" customWidth="1"/>
    <col min="4" max="15" width="14.140625" style="0" customWidth="1"/>
    <col min="16" max="16" width="21.140625" style="0" customWidth="1"/>
    <col min="17" max="17" width="10.57421875" style="0" bestFit="1" customWidth="1"/>
  </cols>
  <sheetData>
    <row r="1" ht="15.75">
      <c r="O1" s="71" t="s">
        <v>733</v>
      </c>
    </row>
    <row r="2" ht="15.75">
      <c r="O2" s="144" t="s">
        <v>68</v>
      </c>
    </row>
    <row r="3" spans="1:16" ht="18.75">
      <c r="A3" s="32" t="s">
        <v>757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 ht="18">
      <c r="A4" s="288" t="s">
        <v>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</row>
    <row r="6" ht="15">
      <c r="A6" s="1"/>
    </row>
    <row r="7" spans="1:18" s="309" customFormat="1" ht="31.5">
      <c r="A7" s="72" t="s">
        <v>76</v>
      </c>
      <c r="B7" s="79" t="s">
        <v>77</v>
      </c>
      <c r="C7" s="79" t="s">
        <v>36</v>
      </c>
      <c r="D7" s="307" t="s">
        <v>721</v>
      </c>
      <c r="E7" s="307" t="s">
        <v>722</v>
      </c>
      <c r="F7" s="307" t="s">
        <v>723</v>
      </c>
      <c r="G7" s="307" t="s">
        <v>724</v>
      </c>
      <c r="H7" s="307" t="s">
        <v>725</v>
      </c>
      <c r="I7" s="307" t="s">
        <v>726</v>
      </c>
      <c r="J7" s="307" t="s">
        <v>727</v>
      </c>
      <c r="K7" s="307" t="s">
        <v>728</v>
      </c>
      <c r="L7" s="307" t="s">
        <v>729</v>
      </c>
      <c r="M7" s="307" t="s">
        <v>730</v>
      </c>
      <c r="N7" s="307" t="s">
        <v>731</v>
      </c>
      <c r="O7" s="307" t="s">
        <v>732</v>
      </c>
      <c r="P7" s="307" t="s">
        <v>813</v>
      </c>
      <c r="Q7" s="308"/>
      <c r="R7" s="308"/>
    </row>
    <row r="8" spans="1:18" ht="15.75">
      <c r="A8" s="106" t="s">
        <v>328</v>
      </c>
      <c r="B8" s="107" t="s">
        <v>112</v>
      </c>
      <c r="C8" s="291">
        <f>+'2 Össz'!E7</f>
        <v>980682</v>
      </c>
      <c r="D8" s="92">
        <f>+ROUND($C$8/12,0)</f>
        <v>81724</v>
      </c>
      <c r="E8" s="92">
        <f aca="true" t="shared" si="0" ref="E8:N8">+ROUND($C$8/12,0)</f>
        <v>81724</v>
      </c>
      <c r="F8" s="92">
        <f t="shared" si="0"/>
        <v>81724</v>
      </c>
      <c r="G8" s="92">
        <f t="shared" si="0"/>
        <v>81724</v>
      </c>
      <c r="H8" s="92">
        <f t="shared" si="0"/>
        <v>81724</v>
      </c>
      <c r="I8" s="92">
        <f t="shared" si="0"/>
        <v>81724</v>
      </c>
      <c r="J8" s="92">
        <f t="shared" si="0"/>
        <v>81724</v>
      </c>
      <c r="K8" s="92">
        <f t="shared" si="0"/>
        <v>81724</v>
      </c>
      <c r="L8" s="92">
        <f t="shared" si="0"/>
        <v>81724</v>
      </c>
      <c r="M8" s="92">
        <f t="shared" si="0"/>
        <v>81724</v>
      </c>
      <c r="N8" s="92">
        <f t="shared" si="0"/>
        <v>81724</v>
      </c>
      <c r="O8" s="92">
        <f>+ROUND($C$8/12,0)-6</f>
        <v>81718</v>
      </c>
      <c r="P8" s="302">
        <f>SUM(D8:O8)</f>
        <v>980682</v>
      </c>
      <c r="Q8" s="303">
        <f>+P8-C8</f>
        <v>0</v>
      </c>
      <c r="R8" s="1"/>
    </row>
    <row r="9" spans="1:18" ht="15.75">
      <c r="A9" s="82" t="s">
        <v>329</v>
      </c>
      <c r="B9" s="107" t="s">
        <v>113</v>
      </c>
      <c r="C9" s="291">
        <f>+'2 Össz'!E8</f>
        <v>52885</v>
      </c>
      <c r="D9" s="92">
        <f>+ROUND($C$9/12,0)</f>
        <v>4407</v>
      </c>
      <c r="E9" s="92">
        <f aca="true" t="shared" si="1" ref="E9:N9">+ROUND($C$9/12,0)</f>
        <v>4407</v>
      </c>
      <c r="F9" s="92">
        <f t="shared" si="1"/>
        <v>4407</v>
      </c>
      <c r="G9" s="92">
        <f t="shared" si="1"/>
        <v>4407</v>
      </c>
      <c r="H9" s="92">
        <f t="shared" si="1"/>
        <v>4407</v>
      </c>
      <c r="I9" s="92">
        <f t="shared" si="1"/>
        <v>4407</v>
      </c>
      <c r="J9" s="92">
        <f t="shared" si="1"/>
        <v>4407</v>
      </c>
      <c r="K9" s="92">
        <f t="shared" si="1"/>
        <v>4407</v>
      </c>
      <c r="L9" s="92">
        <f t="shared" si="1"/>
        <v>4407</v>
      </c>
      <c r="M9" s="92">
        <f t="shared" si="1"/>
        <v>4407</v>
      </c>
      <c r="N9" s="92">
        <f t="shared" si="1"/>
        <v>4407</v>
      </c>
      <c r="O9" s="92">
        <f>+ROUND($C$9/12,0)+1</f>
        <v>4408</v>
      </c>
      <c r="P9" s="302">
        <f>SUM(D9:O9)</f>
        <v>52885</v>
      </c>
      <c r="Q9" s="303">
        <f>+P9-C9</f>
        <v>0</v>
      </c>
      <c r="R9" s="1"/>
    </row>
    <row r="10" spans="1:18" s="296" customFormat="1" ht="15.75">
      <c r="A10" s="261" t="s">
        <v>526</v>
      </c>
      <c r="B10" s="293" t="s">
        <v>114</v>
      </c>
      <c r="C10" s="294">
        <f>+'2 Össz'!E9</f>
        <v>1033567</v>
      </c>
      <c r="D10" s="262">
        <f>SUM(D8:D9)</f>
        <v>86131</v>
      </c>
      <c r="E10" s="262">
        <f aca="true" t="shared" si="2" ref="E10:O10">SUM(E8:E9)</f>
        <v>86131</v>
      </c>
      <c r="F10" s="262">
        <f t="shared" si="2"/>
        <v>86131</v>
      </c>
      <c r="G10" s="262">
        <f t="shared" si="2"/>
        <v>86131</v>
      </c>
      <c r="H10" s="262">
        <f t="shared" si="2"/>
        <v>86131</v>
      </c>
      <c r="I10" s="262">
        <f t="shared" si="2"/>
        <v>86131</v>
      </c>
      <c r="J10" s="262">
        <f t="shared" si="2"/>
        <v>86131</v>
      </c>
      <c r="K10" s="262">
        <f t="shared" si="2"/>
        <v>86131</v>
      </c>
      <c r="L10" s="262">
        <f t="shared" si="2"/>
        <v>86131</v>
      </c>
      <c r="M10" s="262">
        <f t="shared" si="2"/>
        <v>86131</v>
      </c>
      <c r="N10" s="262">
        <f t="shared" si="2"/>
        <v>86131</v>
      </c>
      <c r="O10" s="262">
        <f t="shared" si="2"/>
        <v>86126</v>
      </c>
      <c r="P10" s="305">
        <f>SUM(D10:O10)</f>
        <v>1033567</v>
      </c>
      <c r="Q10" s="306">
        <f>+P10-C10</f>
        <v>0</v>
      </c>
      <c r="R10" s="295"/>
    </row>
    <row r="11" spans="1:18" s="354" customFormat="1" ht="15.75">
      <c r="A11" s="90" t="s">
        <v>553</v>
      </c>
      <c r="B11" s="109" t="s">
        <v>115</v>
      </c>
      <c r="C11" s="291">
        <f>+'2 Össz'!E10</f>
        <v>264743</v>
      </c>
      <c r="D11" s="179">
        <f>+ROUND($C$11/12,0)</f>
        <v>22062</v>
      </c>
      <c r="E11" s="179">
        <f aca="true" t="shared" si="3" ref="E11:N11">+ROUND($C$11/12,0)</f>
        <v>22062</v>
      </c>
      <c r="F11" s="179">
        <f t="shared" si="3"/>
        <v>22062</v>
      </c>
      <c r="G11" s="179">
        <f t="shared" si="3"/>
        <v>22062</v>
      </c>
      <c r="H11" s="179">
        <f t="shared" si="3"/>
        <v>22062</v>
      </c>
      <c r="I11" s="179">
        <f t="shared" si="3"/>
        <v>22062</v>
      </c>
      <c r="J11" s="179">
        <f t="shared" si="3"/>
        <v>22062</v>
      </c>
      <c r="K11" s="179">
        <f t="shared" si="3"/>
        <v>22062</v>
      </c>
      <c r="L11" s="179">
        <f t="shared" si="3"/>
        <v>22062</v>
      </c>
      <c r="M11" s="179">
        <f t="shared" si="3"/>
        <v>22062</v>
      </c>
      <c r="N11" s="179">
        <f t="shared" si="3"/>
        <v>22062</v>
      </c>
      <c r="O11" s="179">
        <f>+ROUND($C$11/12,0)-1</f>
        <v>22061</v>
      </c>
      <c r="P11" s="351">
        <f aca="true" t="shared" si="4" ref="P11:P27">SUM(D11:O11)</f>
        <v>264743</v>
      </c>
      <c r="Q11" s="352">
        <f aca="true" t="shared" si="5" ref="Q11:Q27">+P11-C11</f>
        <v>0</v>
      </c>
      <c r="R11" s="353"/>
    </row>
    <row r="12" spans="1:18" ht="15.75">
      <c r="A12" s="82" t="s">
        <v>330</v>
      </c>
      <c r="B12" s="107" t="s">
        <v>116</v>
      </c>
      <c r="C12" s="291">
        <f>+'2 Össz'!E11</f>
        <v>273780</v>
      </c>
      <c r="D12" s="92">
        <f>+ROUND($C$12/12,0)</f>
        <v>22815</v>
      </c>
      <c r="E12" s="92">
        <f aca="true" t="shared" si="6" ref="E12:N12">+ROUND($C$12/12,0)</f>
        <v>22815</v>
      </c>
      <c r="F12" s="92">
        <f t="shared" si="6"/>
        <v>22815</v>
      </c>
      <c r="G12" s="92">
        <f t="shared" si="6"/>
        <v>22815</v>
      </c>
      <c r="H12" s="92">
        <f t="shared" si="6"/>
        <v>22815</v>
      </c>
      <c r="I12" s="92">
        <f t="shared" si="6"/>
        <v>22815</v>
      </c>
      <c r="J12" s="92">
        <f t="shared" si="6"/>
        <v>22815</v>
      </c>
      <c r="K12" s="92">
        <f t="shared" si="6"/>
        <v>22815</v>
      </c>
      <c r="L12" s="92">
        <f t="shared" si="6"/>
        <v>22815</v>
      </c>
      <c r="M12" s="92">
        <f t="shared" si="6"/>
        <v>22815</v>
      </c>
      <c r="N12" s="92">
        <f t="shared" si="6"/>
        <v>22815</v>
      </c>
      <c r="O12" s="92">
        <f>+ROUND($C$12/12,0)</f>
        <v>22815</v>
      </c>
      <c r="P12" s="302">
        <f t="shared" si="4"/>
        <v>273780</v>
      </c>
      <c r="Q12" s="303">
        <f t="shared" si="5"/>
        <v>0</v>
      </c>
      <c r="R12" s="1"/>
    </row>
    <row r="13" spans="1:18" ht="15.75">
      <c r="A13" s="82" t="s">
        <v>561</v>
      </c>
      <c r="B13" s="107" t="s">
        <v>117</v>
      </c>
      <c r="C13" s="291">
        <f>+'2 Össz'!E12</f>
        <v>17771</v>
      </c>
      <c r="D13" s="92">
        <f>+ROUND($C$13/12,0)</f>
        <v>1481</v>
      </c>
      <c r="E13" s="92">
        <f aca="true" t="shared" si="7" ref="E13:N13">+ROUND($C$13/12,0)</f>
        <v>1481</v>
      </c>
      <c r="F13" s="92">
        <f t="shared" si="7"/>
        <v>1481</v>
      </c>
      <c r="G13" s="92">
        <f t="shared" si="7"/>
        <v>1481</v>
      </c>
      <c r="H13" s="92">
        <f t="shared" si="7"/>
        <v>1481</v>
      </c>
      <c r="I13" s="92">
        <f t="shared" si="7"/>
        <v>1481</v>
      </c>
      <c r="J13" s="92">
        <f t="shared" si="7"/>
        <v>1481</v>
      </c>
      <c r="K13" s="92">
        <f t="shared" si="7"/>
        <v>1481</v>
      </c>
      <c r="L13" s="92">
        <f t="shared" si="7"/>
        <v>1481</v>
      </c>
      <c r="M13" s="92">
        <f t="shared" si="7"/>
        <v>1481</v>
      </c>
      <c r="N13" s="92">
        <f t="shared" si="7"/>
        <v>1481</v>
      </c>
      <c r="O13" s="92">
        <f>+ROUND($C$13/12,0)-1</f>
        <v>1480</v>
      </c>
      <c r="P13" s="302">
        <f t="shared" si="4"/>
        <v>17771</v>
      </c>
      <c r="Q13" s="303">
        <f t="shared" si="5"/>
        <v>0</v>
      </c>
      <c r="R13" s="1"/>
    </row>
    <row r="14" spans="1:18" ht="15.75">
      <c r="A14" s="82" t="s">
        <v>331</v>
      </c>
      <c r="B14" s="107" t="s">
        <v>118</v>
      </c>
      <c r="C14" s="291">
        <f>+'2 Össz'!E13</f>
        <v>394333</v>
      </c>
      <c r="D14" s="92">
        <f>+ROUND($C$14/12,0)</f>
        <v>32861</v>
      </c>
      <c r="E14" s="92">
        <f aca="true" t="shared" si="8" ref="E14:N14">+ROUND($C$14/12,0)</f>
        <v>32861</v>
      </c>
      <c r="F14" s="92">
        <f t="shared" si="8"/>
        <v>32861</v>
      </c>
      <c r="G14" s="92">
        <f t="shared" si="8"/>
        <v>32861</v>
      </c>
      <c r="H14" s="92">
        <f t="shared" si="8"/>
        <v>32861</v>
      </c>
      <c r="I14" s="92">
        <f t="shared" si="8"/>
        <v>32861</v>
      </c>
      <c r="J14" s="92">
        <f t="shared" si="8"/>
        <v>32861</v>
      </c>
      <c r="K14" s="92">
        <f t="shared" si="8"/>
        <v>32861</v>
      </c>
      <c r="L14" s="92">
        <f t="shared" si="8"/>
        <v>32861</v>
      </c>
      <c r="M14" s="92">
        <f t="shared" si="8"/>
        <v>32861</v>
      </c>
      <c r="N14" s="92">
        <f t="shared" si="8"/>
        <v>32861</v>
      </c>
      <c r="O14" s="92">
        <f>+ROUND($C$14/12,0)+1</f>
        <v>32862</v>
      </c>
      <c r="P14" s="302">
        <f t="shared" si="4"/>
        <v>394333</v>
      </c>
      <c r="Q14" s="303">
        <f t="shared" si="5"/>
        <v>0</v>
      </c>
      <c r="R14" s="1"/>
    </row>
    <row r="15" spans="1:18" ht="15.75">
      <c r="A15" s="82" t="s">
        <v>332</v>
      </c>
      <c r="B15" s="107" t="s">
        <v>119</v>
      </c>
      <c r="C15" s="291">
        <f>+'2 Össz'!E14</f>
        <v>3639</v>
      </c>
      <c r="D15" s="92">
        <f>+ROUND($C$15/12,0)</f>
        <v>303</v>
      </c>
      <c r="E15" s="92">
        <f aca="true" t="shared" si="9" ref="E15:N15">+ROUND($C$15/12,0)</f>
        <v>303</v>
      </c>
      <c r="F15" s="92">
        <f t="shared" si="9"/>
        <v>303</v>
      </c>
      <c r="G15" s="92">
        <f t="shared" si="9"/>
        <v>303</v>
      </c>
      <c r="H15" s="92">
        <f t="shared" si="9"/>
        <v>303</v>
      </c>
      <c r="I15" s="92">
        <f t="shared" si="9"/>
        <v>303</v>
      </c>
      <c r="J15" s="92">
        <f t="shared" si="9"/>
        <v>303</v>
      </c>
      <c r="K15" s="92">
        <f t="shared" si="9"/>
        <v>303</v>
      </c>
      <c r="L15" s="92">
        <f t="shared" si="9"/>
        <v>303</v>
      </c>
      <c r="M15" s="92">
        <f t="shared" si="9"/>
        <v>303</v>
      </c>
      <c r="N15" s="92">
        <f t="shared" si="9"/>
        <v>303</v>
      </c>
      <c r="O15" s="92">
        <f>+ROUND($C$15/12,0)+3</f>
        <v>306</v>
      </c>
      <c r="P15" s="302">
        <f t="shared" si="4"/>
        <v>3639</v>
      </c>
      <c r="Q15" s="303">
        <f t="shared" si="5"/>
        <v>0</v>
      </c>
      <c r="R15" s="1"/>
    </row>
    <row r="16" spans="1:18" ht="15.75">
      <c r="A16" s="82" t="s">
        <v>333</v>
      </c>
      <c r="B16" s="107" t="s">
        <v>120</v>
      </c>
      <c r="C16" s="291">
        <f>+'2 Össz'!E15</f>
        <v>312823</v>
      </c>
      <c r="D16" s="92">
        <f>+ROUND($C$16/12,0)</f>
        <v>26069</v>
      </c>
      <c r="E16" s="92">
        <f aca="true" t="shared" si="10" ref="E16:N16">+ROUND($C$16/12,0)</f>
        <v>26069</v>
      </c>
      <c r="F16" s="92">
        <f t="shared" si="10"/>
        <v>26069</v>
      </c>
      <c r="G16" s="92">
        <f t="shared" si="10"/>
        <v>26069</v>
      </c>
      <c r="H16" s="92">
        <f t="shared" si="10"/>
        <v>26069</v>
      </c>
      <c r="I16" s="92">
        <f t="shared" si="10"/>
        <v>26069</v>
      </c>
      <c r="J16" s="92">
        <f t="shared" si="10"/>
        <v>26069</v>
      </c>
      <c r="K16" s="92">
        <f t="shared" si="10"/>
        <v>26069</v>
      </c>
      <c r="L16" s="92">
        <f t="shared" si="10"/>
        <v>26069</v>
      </c>
      <c r="M16" s="92">
        <f t="shared" si="10"/>
        <v>26069</v>
      </c>
      <c r="N16" s="92">
        <f t="shared" si="10"/>
        <v>26069</v>
      </c>
      <c r="O16" s="92">
        <f>+ROUND($C$16/12,0)-5</f>
        <v>26064</v>
      </c>
      <c r="P16" s="302">
        <f t="shared" si="4"/>
        <v>312823</v>
      </c>
      <c r="Q16" s="303">
        <f t="shared" si="5"/>
        <v>0</v>
      </c>
      <c r="R16" s="1"/>
    </row>
    <row r="17" spans="1:18" s="296" customFormat="1" ht="15.75">
      <c r="A17" s="255" t="s">
        <v>525</v>
      </c>
      <c r="B17" s="293" t="s">
        <v>121</v>
      </c>
      <c r="C17" s="294">
        <f>+'2 Össz'!E16</f>
        <v>1002346</v>
      </c>
      <c r="D17" s="262">
        <f>SUM(D12:D16)</f>
        <v>83529</v>
      </c>
      <c r="E17" s="262">
        <f aca="true" t="shared" si="11" ref="E17:O17">SUM(E12:E16)</f>
        <v>83529</v>
      </c>
      <c r="F17" s="262">
        <f t="shared" si="11"/>
        <v>83529</v>
      </c>
      <c r="G17" s="262">
        <f t="shared" si="11"/>
        <v>83529</v>
      </c>
      <c r="H17" s="262">
        <f t="shared" si="11"/>
        <v>83529</v>
      </c>
      <c r="I17" s="262">
        <f t="shared" si="11"/>
        <v>83529</v>
      </c>
      <c r="J17" s="262">
        <f t="shared" si="11"/>
        <v>83529</v>
      </c>
      <c r="K17" s="262">
        <f t="shared" si="11"/>
        <v>83529</v>
      </c>
      <c r="L17" s="262">
        <f t="shared" si="11"/>
        <v>83529</v>
      </c>
      <c r="M17" s="262">
        <f t="shared" si="11"/>
        <v>83529</v>
      </c>
      <c r="N17" s="262">
        <f t="shared" si="11"/>
        <v>83529</v>
      </c>
      <c r="O17" s="262">
        <f t="shared" si="11"/>
        <v>83527</v>
      </c>
      <c r="P17" s="305">
        <f t="shared" si="4"/>
        <v>1002346</v>
      </c>
      <c r="Q17" s="306">
        <f t="shared" si="5"/>
        <v>0</v>
      </c>
      <c r="R17" s="295"/>
    </row>
    <row r="18" spans="1:18" s="354" customFormat="1" ht="15.75">
      <c r="A18" s="78" t="s">
        <v>398</v>
      </c>
      <c r="B18" s="109" t="s">
        <v>128</v>
      </c>
      <c r="C18" s="291">
        <f>+'2 Össz'!E17</f>
        <v>270887</v>
      </c>
      <c r="D18" s="179">
        <f>+ROUND($C$18/12,0)</f>
        <v>22574</v>
      </c>
      <c r="E18" s="179">
        <f aca="true" t="shared" si="12" ref="E18:N18">+ROUND($C$18/12,0)</f>
        <v>22574</v>
      </c>
      <c r="F18" s="179">
        <f t="shared" si="12"/>
        <v>22574</v>
      </c>
      <c r="G18" s="179">
        <f t="shared" si="12"/>
        <v>22574</v>
      </c>
      <c r="H18" s="179">
        <f t="shared" si="12"/>
        <v>22574</v>
      </c>
      <c r="I18" s="179">
        <f t="shared" si="12"/>
        <v>22574</v>
      </c>
      <c r="J18" s="179">
        <f t="shared" si="12"/>
        <v>22574</v>
      </c>
      <c r="K18" s="179">
        <f t="shared" si="12"/>
        <v>22574</v>
      </c>
      <c r="L18" s="179">
        <f t="shared" si="12"/>
        <v>22574</v>
      </c>
      <c r="M18" s="179">
        <f t="shared" si="12"/>
        <v>22574</v>
      </c>
      <c r="N18" s="179">
        <f t="shared" si="12"/>
        <v>22574</v>
      </c>
      <c r="O18" s="179">
        <f>+ROUND($C$18/12,0)-1</f>
        <v>22573</v>
      </c>
      <c r="P18" s="351">
        <f t="shared" si="4"/>
        <v>270887</v>
      </c>
      <c r="Q18" s="352">
        <f t="shared" si="5"/>
        <v>0</v>
      </c>
      <c r="R18" s="353"/>
    </row>
    <row r="19" spans="1:18" ht="15.75">
      <c r="A19" s="88" t="s">
        <v>554</v>
      </c>
      <c r="B19" s="107" t="s">
        <v>129</v>
      </c>
      <c r="C19" s="291">
        <f>+'2 Össz'!E18</f>
        <v>0</v>
      </c>
      <c r="D19" s="92">
        <f>+ROUND($C$19/12,0)</f>
        <v>0</v>
      </c>
      <c r="E19" s="92">
        <f aca="true" t="shared" si="13" ref="E19:O19">+ROUND($C$19/12,0)</f>
        <v>0</v>
      </c>
      <c r="F19" s="92">
        <f t="shared" si="13"/>
        <v>0</v>
      </c>
      <c r="G19" s="92">
        <f t="shared" si="13"/>
        <v>0</v>
      </c>
      <c r="H19" s="92">
        <f t="shared" si="13"/>
        <v>0</v>
      </c>
      <c r="I19" s="92">
        <f t="shared" si="13"/>
        <v>0</v>
      </c>
      <c r="J19" s="92">
        <f t="shared" si="13"/>
        <v>0</v>
      </c>
      <c r="K19" s="92">
        <f t="shared" si="13"/>
        <v>0</v>
      </c>
      <c r="L19" s="92">
        <f t="shared" si="13"/>
        <v>0</v>
      </c>
      <c r="M19" s="92">
        <f t="shared" si="13"/>
        <v>0</v>
      </c>
      <c r="N19" s="92">
        <f t="shared" si="13"/>
        <v>0</v>
      </c>
      <c r="O19" s="92">
        <f t="shared" si="13"/>
        <v>0</v>
      </c>
      <c r="P19" s="302">
        <f t="shared" si="4"/>
        <v>0</v>
      </c>
      <c r="Q19" s="303">
        <f t="shared" si="5"/>
        <v>0</v>
      </c>
      <c r="R19" s="1"/>
    </row>
    <row r="20" spans="1:18" ht="15.75">
      <c r="A20" s="88" t="s">
        <v>130</v>
      </c>
      <c r="B20" s="107" t="s">
        <v>131</v>
      </c>
      <c r="C20" s="291">
        <f>+'2 Össz'!E19</f>
        <v>6868</v>
      </c>
      <c r="D20" s="92">
        <f>+ROUND($C$20/12,0)</f>
        <v>572</v>
      </c>
      <c r="E20" s="92">
        <f aca="true" t="shared" si="14" ref="E20:N20">+ROUND($C$20/12,0)</f>
        <v>572</v>
      </c>
      <c r="F20" s="92">
        <f t="shared" si="14"/>
        <v>572</v>
      </c>
      <c r="G20" s="92">
        <f t="shared" si="14"/>
        <v>572</v>
      </c>
      <c r="H20" s="92">
        <f t="shared" si="14"/>
        <v>572</v>
      </c>
      <c r="I20" s="92">
        <f t="shared" si="14"/>
        <v>572</v>
      </c>
      <c r="J20" s="92">
        <f t="shared" si="14"/>
        <v>572</v>
      </c>
      <c r="K20" s="92">
        <f t="shared" si="14"/>
        <v>572</v>
      </c>
      <c r="L20" s="92">
        <f t="shared" si="14"/>
        <v>572</v>
      </c>
      <c r="M20" s="92">
        <f t="shared" si="14"/>
        <v>572</v>
      </c>
      <c r="N20" s="92">
        <f t="shared" si="14"/>
        <v>572</v>
      </c>
      <c r="O20" s="92">
        <f>+ROUND($C$20/12,0)+4</f>
        <v>576</v>
      </c>
      <c r="P20" s="302">
        <f t="shared" si="4"/>
        <v>6868</v>
      </c>
      <c r="Q20" s="303">
        <f t="shared" si="5"/>
        <v>0</v>
      </c>
      <c r="R20" s="1"/>
    </row>
    <row r="21" spans="1:18" ht="15.75">
      <c r="A21" s="88" t="s">
        <v>803</v>
      </c>
      <c r="B21" s="107" t="s">
        <v>132</v>
      </c>
      <c r="C21" s="291">
        <f>+'2 Össz'!E20</f>
        <v>0</v>
      </c>
      <c r="D21" s="92">
        <f>+ROUND($C$21/12,0)</f>
        <v>0</v>
      </c>
      <c r="E21" s="92">
        <f aca="true" t="shared" si="15" ref="E21:O21">+ROUND($C$21/12,0)</f>
        <v>0</v>
      </c>
      <c r="F21" s="92">
        <f t="shared" si="15"/>
        <v>0</v>
      </c>
      <c r="G21" s="92">
        <f t="shared" si="15"/>
        <v>0</v>
      </c>
      <c r="H21" s="92">
        <f t="shared" si="15"/>
        <v>0</v>
      </c>
      <c r="I21" s="92">
        <f t="shared" si="15"/>
        <v>0</v>
      </c>
      <c r="J21" s="92">
        <f t="shared" si="15"/>
        <v>0</v>
      </c>
      <c r="K21" s="92">
        <f t="shared" si="15"/>
        <v>0</v>
      </c>
      <c r="L21" s="92">
        <f t="shared" si="15"/>
        <v>0</v>
      </c>
      <c r="M21" s="92">
        <f t="shared" si="15"/>
        <v>0</v>
      </c>
      <c r="N21" s="92">
        <f t="shared" si="15"/>
        <v>0</v>
      </c>
      <c r="O21" s="92">
        <f t="shared" si="15"/>
        <v>0</v>
      </c>
      <c r="P21" s="302">
        <f t="shared" si="4"/>
        <v>0</v>
      </c>
      <c r="Q21" s="303">
        <f t="shared" si="5"/>
        <v>0</v>
      </c>
      <c r="R21" s="1"/>
    </row>
    <row r="22" spans="1:18" ht="15.75">
      <c r="A22" s="88" t="s">
        <v>802</v>
      </c>
      <c r="B22" s="107" t="s">
        <v>133</v>
      </c>
      <c r="C22" s="291">
        <f>+'2 Össz'!E21</f>
        <v>0</v>
      </c>
      <c r="D22" s="92">
        <f>+ROUND($C$22/12,0)</f>
        <v>0</v>
      </c>
      <c r="E22" s="92">
        <f aca="true" t="shared" si="16" ref="E22:O22">+ROUND($C$22/12,0)</f>
        <v>0</v>
      </c>
      <c r="F22" s="92">
        <f t="shared" si="16"/>
        <v>0</v>
      </c>
      <c r="G22" s="92">
        <f t="shared" si="16"/>
        <v>0</v>
      </c>
      <c r="H22" s="92">
        <f t="shared" si="16"/>
        <v>0</v>
      </c>
      <c r="I22" s="92">
        <f t="shared" si="16"/>
        <v>0</v>
      </c>
      <c r="J22" s="92">
        <f t="shared" si="16"/>
        <v>0</v>
      </c>
      <c r="K22" s="92">
        <f t="shared" si="16"/>
        <v>0</v>
      </c>
      <c r="L22" s="92">
        <f t="shared" si="16"/>
        <v>0</v>
      </c>
      <c r="M22" s="92">
        <f t="shared" si="16"/>
        <v>0</v>
      </c>
      <c r="N22" s="92">
        <f t="shared" si="16"/>
        <v>0</v>
      </c>
      <c r="O22" s="92">
        <f t="shared" si="16"/>
        <v>0</v>
      </c>
      <c r="P22" s="302">
        <f t="shared" si="4"/>
        <v>0</v>
      </c>
      <c r="Q22" s="303">
        <f t="shared" si="5"/>
        <v>0</v>
      </c>
      <c r="R22" s="1"/>
    </row>
    <row r="23" spans="1:18" ht="15.75">
      <c r="A23" s="88" t="s">
        <v>801</v>
      </c>
      <c r="B23" s="107" t="s">
        <v>134</v>
      </c>
      <c r="C23" s="291">
        <f>+'2 Össz'!E22</f>
        <v>0</v>
      </c>
      <c r="D23" s="92">
        <f>+ROUND($C$23/12,0)</f>
        <v>0</v>
      </c>
      <c r="E23" s="92">
        <f aca="true" t="shared" si="17" ref="E23:O23">+ROUND($C$23/12,0)</f>
        <v>0</v>
      </c>
      <c r="F23" s="92">
        <f t="shared" si="17"/>
        <v>0</v>
      </c>
      <c r="G23" s="92">
        <f t="shared" si="17"/>
        <v>0</v>
      </c>
      <c r="H23" s="92">
        <f t="shared" si="17"/>
        <v>0</v>
      </c>
      <c r="I23" s="92">
        <f t="shared" si="17"/>
        <v>0</v>
      </c>
      <c r="J23" s="92">
        <f t="shared" si="17"/>
        <v>0</v>
      </c>
      <c r="K23" s="92">
        <f t="shared" si="17"/>
        <v>0</v>
      </c>
      <c r="L23" s="92">
        <f t="shared" si="17"/>
        <v>0</v>
      </c>
      <c r="M23" s="92">
        <f t="shared" si="17"/>
        <v>0</v>
      </c>
      <c r="N23" s="92">
        <f t="shared" si="17"/>
        <v>0</v>
      </c>
      <c r="O23" s="92">
        <f t="shared" si="17"/>
        <v>0</v>
      </c>
      <c r="P23" s="302">
        <f t="shared" si="4"/>
        <v>0</v>
      </c>
      <c r="Q23" s="303">
        <f t="shared" si="5"/>
        <v>0</v>
      </c>
      <c r="R23" s="1"/>
    </row>
    <row r="24" spans="1:18" ht="15.75">
      <c r="A24" s="88" t="s">
        <v>804</v>
      </c>
      <c r="B24" s="107" t="s">
        <v>135</v>
      </c>
      <c r="C24" s="291">
        <f>+'2 Össz'!E23</f>
        <v>151160</v>
      </c>
      <c r="D24" s="92">
        <f>+ROUND($C$24/12,0)</f>
        <v>12597</v>
      </c>
      <c r="E24" s="92">
        <f aca="true" t="shared" si="18" ref="E24:N24">+ROUND($C$24/12,0)</f>
        <v>12597</v>
      </c>
      <c r="F24" s="92">
        <f t="shared" si="18"/>
        <v>12597</v>
      </c>
      <c r="G24" s="92">
        <f t="shared" si="18"/>
        <v>12597</v>
      </c>
      <c r="H24" s="92">
        <f t="shared" si="18"/>
        <v>12597</v>
      </c>
      <c r="I24" s="92">
        <f t="shared" si="18"/>
        <v>12597</v>
      </c>
      <c r="J24" s="92">
        <f t="shared" si="18"/>
        <v>12597</v>
      </c>
      <c r="K24" s="92">
        <f t="shared" si="18"/>
        <v>12597</v>
      </c>
      <c r="L24" s="92">
        <f t="shared" si="18"/>
        <v>12597</v>
      </c>
      <c r="M24" s="92">
        <f t="shared" si="18"/>
        <v>12597</v>
      </c>
      <c r="N24" s="92">
        <f t="shared" si="18"/>
        <v>12597</v>
      </c>
      <c r="O24" s="92">
        <f>+ROUND($C$24/12,0)-4</f>
        <v>12593</v>
      </c>
      <c r="P24" s="302">
        <f t="shared" si="4"/>
        <v>151160</v>
      </c>
      <c r="Q24" s="303">
        <f t="shared" si="5"/>
        <v>0</v>
      </c>
      <c r="R24" s="1"/>
    </row>
    <row r="25" spans="1:18" ht="15.75">
      <c r="A25" s="88" t="s">
        <v>799</v>
      </c>
      <c r="B25" s="107" t="s">
        <v>136</v>
      </c>
      <c r="C25" s="291">
        <f>+'2 Össz'!E24</f>
        <v>0</v>
      </c>
      <c r="D25" s="92">
        <f>+ROUND($C$25/12,0)</f>
        <v>0</v>
      </c>
      <c r="E25" s="92">
        <f aca="true" t="shared" si="19" ref="E25:O25">+ROUND($C$25/12,0)</f>
        <v>0</v>
      </c>
      <c r="F25" s="92">
        <f t="shared" si="19"/>
        <v>0</v>
      </c>
      <c r="G25" s="92">
        <f t="shared" si="19"/>
        <v>0</v>
      </c>
      <c r="H25" s="92">
        <f t="shared" si="19"/>
        <v>0</v>
      </c>
      <c r="I25" s="92">
        <f t="shared" si="19"/>
        <v>0</v>
      </c>
      <c r="J25" s="92">
        <f t="shared" si="19"/>
        <v>0</v>
      </c>
      <c r="K25" s="92">
        <f t="shared" si="19"/>
        <v>0</v>
      </c>
      <c r="L25" s="92">
        <f t="shared" si="19"/>
        <v>0</v>
      </c>
      <c r="M25" s="92">
        <f t="shared" si="19"/>
        <v>0</v>
      </c>
      <c r="N25" s="92">
        <f t="shared" si="19"/>
        <v>0</v>
      </c>
      <c r="O25" s="92">
        <f t="shared" si="19"/>
        <v>0</v>
      </c>
      <c r="P25" s="302">
        <f t="shared" si="4"/>
        <v>0</v>
      </c>
      <c r="Q25" s="303">
        <f t="shared" si="5"/>
        <v>0</v>
      </c>
      <c r="R25" s="1"/>
    </row>
    <row r="26" spans="1:18" ht="15.75">
      <c r="A26" s="88" t="s">
        <v>798</v>
      </c>
      <c r="B26" s="107" t="s">
        <v>137</v>
      </c>
      <c r="C26" s="291">
        <f>+'2 Össz'!E25</f>
        <v>0</v>
      </c>
      <c r="D26" s="92">
        <f>+ROUND($C$26/12,0)</f>
        <v>0</v>
      </c>
      <c r="E26" s="92">
        <f aca="true" t="shared" si="20" ref="E26:O26">+ROUND($C$26/12,0)</f>
        <v>0</v>
      </c>
      <c r="F26" s="92">
        <f t="shared" si="20"/>
        <v>0</v>
      </c>
      <c r="G26" s="92">
        <f t="shared" si="20"/>
        <v>0</v>
      </c>
      <c r="H26" s="92">
        <f t="shared" si="20"/>
        <v>0</v>
      </c>
      <c r="I26" s="92">
        <f t="shared" si="20"/>
        <v>0</v>
      </c>
      <c r="J26" s="92">
        <f t="shared" si="20"/>
        <v>0</v>
      </c>
      <c r="K26" s="92">
        <f t="shared" si="20"/>
        <v>0</v>
      </c>
      <c r="L26" s="92">
        <f t="shared" si="20"/>
        <v>0</v>
      </c>
      <c r="M26" s="92">
        <f t="shared" si="20"/>
        <v>0</v>
      </c>
      <c r="N26" s="92">
        <f t="shared" si="20"/>
        <v>0</v>
      </c>
      <c r="O26" s="92">
        <f t="shared" si="20"/>
        <v>0</v>
      </c>
      <c r="P26" s="302">
        <f t="shared" si="4"/>
        <v>0</v>
      </c>
      <c r="Q26" s="303">
        <f t="shared" si="5"/>
        <v>0</v>
      </c>
      <c r="R26" s="1"/>
    </row>
    <row r="27" spans="1:18" ht="15.75">
      <c r="A27" s="88" t="s">
        <v>138</v>
      </c>
      <c r="B27" s="107" t="s">
        <v>139</v>
      </c>
      <c r="C27" s="291">
        <f>+'2 Össz'!E26</f>
        <v>0</v>
      </c>
      <c r="D27" s="92">
        <f>+ROUND($C$27/12,0)</f>
        <v>0</v>
      </c>
      <c r="E27" s="92">
        <f aca="true" t="shared" si="21" ref="E27:O27">+ROUND($C$27/12,0)</f>
        <v>0</v>
      </c>
      <c r="F27" s="92">
        <f t="shared" si="21"/>
        <v>0</v>
      </c>
      <c r="G27" s="92">
        <f t="shared" si="21"/>
        <v>0</v>
      </c>
      <c r="H27" s="92">
        <f t="shared" si="21"/>
        <v>0</v>
      </c>
      <c r="I27" s="92">
        <f t="shared" si="21"/>
        <v>0</v>
      </c>
      <c r="J27" s="92">
        <f t="shared" si="21"/>
        <v>0</v>
      </c>
      <c r="K27" s="92">
        <f t="shared" si="21"/>
        <v>0</v>
      </c>
      <c r="L27" s="92">
        <f t="shared" si="21"/>
        <v>0</v>
      </c>
      <c r="M27" s="92">
        <f t="shared" si="21"/>
        <v>0</v>
      </c>
      <c r="N27" s="92">
        <f t="shared" si="21"/>
        <v>0</v>
      </c>
      <c r="O27" s="92">
        <f t="shared" si="21"/>
        <v>0</v>
      </c>
      <c r="P27" s="302">
        <f t="shared" si="4"/>
        <v>0</v>
      </c>
      <c r="Q27" s="303">
        <f t="shared" si="5"/>
        <v>0</v>
      </c>
      <c r="R27" s="1"/>
    </row>
    <row r="28" spans="1:18" ht="15.75">
      <c r="A28" s="87" t="s">
        <v>140</v>
      </c>
      <c r="B28" s="107" t="s">
        <v>141</v>
      </c>
      <c r="C28" s="291">
        <f>+'2 Össz'!E27</f>
        <v>0</v>
      </c>
      <c r="D28" s="92">
        <f>+ROUND($C$28/12,0)</f>
        <v>0</v>
      </c>
      <c r="E28" s="92">
        <f aca="true" t="shared" si="22" ref="E28:O28">+ROUND($C$28/12,0)</f>
        <v>0</v>
      </c>
      <c r="F28" s="92">
        <f t="shared" si="22"/>
        <v>0</v>
      </c>
      <c r="G28" s="92">
        <f t="shared" si="22"/>
        <v>0</v>
      </c>
      <c r="H28" s="92">
        <f t="shared" si="22"/>
        <v>0</v>
      </c>
      <c r="I28" s="92">
        <f t="shared" si="22"/>
        <v>0</v>
      </c>
      <c r="J28" s="92">
        <f t="shared" si="22"/>
        <v>0</v>
      </c>
      <c r="K28" s="92">
        <f t="shared" si="22"/>
        <v>0</v>
      </c>
      <c r="L28" s="92">
        <f t="shared" si="22"/>
        <v>0</v>
      </c>
      <c r="M28" s="92">
        <f t="shared" si="22"/>
        <v>0</v>
      </c>
      <c r="N28" s="92">
        <f t="shared" si="22"/>
        <v>0</v>
      </c>
      <c r="O28" s="92">
        <f t="shared" si="22"/>
        <v>0</v>
      </c>
      <c r="P28" s="302">
        <f aca="true" t="shared" si="23" ref="P28:P90">SUM(D28:O28)</f>
        <v>0</v>
      </c>
      <c r="Q28" s="303">
        <f aca="true" t="shared" si="24" ref="Q28:Q90">+P28-C28</f>
        <v>0</v>
      </c>
      <c r="R28" s="1"/>
    </row>
    <row r="29" spans="1:18" ht="15.75">
      <c r="A29" s="88" t="s">
        <v>555</v>
      </c>
      <c r="B29" s="107" t="s">
        <v>142</v>
      </c>
      <c r="C29" s="291">
        <f>+'2 Össz'!E28</f>
        <v>46488</v>
      </c>
      <c r="D29" s="92">
        <f>+ROUND($C$29/12,0)</f>
        <v>3874</v>
      </c>
      <c r="E29" s="92">
        <f aca="true" t="shared" si="25" ref="E29:N29">+ROUND($C$29/12,0)</f>
        <v>3874</v>
      </c>
      <c r="F29" s="92">
        <f t="shared" si="25"/>
        <v>3874</v>
      </c>
      <c r="G29" s="92">
        <f t="shared" si="25"/>
        <v>3874</v>
      </c>
      <c r="H29" s="92">
        <f t="shared" si="25"/>
        <v>3874</v>
      </c>
      <c r="I29" s="92">
        <f t="shared" si="25"/>
        <v>3874</v>
      </c>
      <c r="J29" s="92">
        <f t="shared" si="25"/>
        <v>3874</v>
      </c>
      <c r="K29" s="92">
        <f t="shared" si="25"/>
        <v>3874</v>
      </c>
      <c r="L29" s="92">
        <f t="shared" si="25"/>
        <v>3874</v>
      </c>
      <c r="M29" s="92">
        <f t="shared" si="25"/>
        <v>3874</v>
      </c>
      <c r="N29" s="92">
        <f t="shared" si="25"/>
        <v>3874</v>
      </c>
      <c r="O29" s="92">
        <f>+ROUND($C$29/12,0)</f>
        <v>3874</v>
      </c>
      <c r="P29" s="302">
        <f t="shared" si="23"/>
        <v>46488</v>
      </c>
      <c r="Q29" s="303">
        <f t="shared" si="24"/>
        <v>0</v>
      </c>
      <c r="R29" s="1"/>
    </row>
    <row r="30" spans="1:18" ht="15.75">
      <c r="A30" s="87" t="s">
        <v>790</v>
      </c>
      <c r="B30" s="107" t="s">
        <v>143</v>
      </c>
      <c r="C30" s="291">
        <f>+'2 Össz'!E29</f>
        <v>30000</v>
      </c>
      <c r="D30" s="92">
        <f>+ROUND($C$30/12,0)</f>
        <v>2500</v>
      </c>
      <c r="E30" s="92">
        <f aca="true" t="shared" si="26" ref="E30:O30">+ROUND($C$30/12,0)</f>
        <v>2500</v>
      </c>
      <c r="F30" s="92">
        <f t="shared" si="26"/>
        <v>2500</v>
      </c>
      <c r="G30" s="92">
        <f t="shared" si="26"/>
        <v>2500</v>
      </c>
      <c r="H30" s="92">
        <f t="shared" si="26"/>
        <v>2500</v>
      </c>
      <c r="I30" s="92">
        <f t="shared" si="26"/>
        <v>2500</v>
      </c>
      <c r="J30" s="92">
        <f t="shared" si="26"/>
        <v>2500</v>
      </c>
      <c r="K30" s="92">
        <f t="shared" si="26"/>
        <v>2500</v>
      </c>
      <c r="L30" s="92">
        <f t="shared" si="26"/>
        <v>2500</v>
      </c>
      <c r="M30" s="92">
        <f t="shared" si="26"/>
        <v>2500</v>
      </c>
      <c r="N30" s="92">
        <f t="shared" si="26"/>
        <v>2500</v>
      </c>
      <c r="O30" s="92">
        <f t="shared" si="26"/>
        <v>2500</v>
      </c>
      <c r="P30" s="310">
        <f t="shared" si="23"/>
        <v>30000</v>
      </c>
      <c r="Q30" s="303">
        <f t="shared" si="24"/>
        <v>0</v>
      </c>
      <c r="R30" s="1"/>
    </row>
    <row r="31" spans="1:18" ht="15.75">
      <c r="A31" s="87" t="s">
        <v>791</v>
      </c>
      <c r="B31" s="107" t="s">
        <v>143</v>
      </c>
      <c r="C31" s="291">
        <f>+'2 Össz'!E30</f>
        <v>2650</v>
      </c>
      <c r="D31" s="92">
        <f>+ROUND($C$31/12,0)</f>
        <v>221</v>
      </c>
      <c r="E31" s="92">
        <f aca="true" t="shared" si="27" ref="E31:N31">+ROUND($C$31/12,0)</f>
        <v>221</v>
      </c>
      <c r="F31" s="92">
        <f t="shared" si="27"/>
        <v>221</v>
      </c>
      <c r="G31" s="92">
        <f t="shared" si="27"/>
        <v>221</v>
      </c>
      <c r="H31" s="92">
        <f t="shared" si="27"/>
        <v>221</v>
      </c>
      <c r="I31" s="92">
        <f t="shared" si="27"/>
        <v>221</v>
      </c>
      <c r="J31" s="92">
        <f t="shared" si="27"/>
        <v>221</v>
      </c>
      <c r="K31" s="92">
        <f t="shared" si="27"/>
        <v>221</v>
      </c>
      <c r="L31" s="92">
        <f t="shared" si="27"/>
        <v>221</v>
      </c>
      <c r="M31" s="92">
        <f t="shared" si="27"/>
        <v>221</v>
      </c>
      <c r="N31" s="92">
        <f t="shared" si="27"/>
        <v>221</v>
      </c>
      <c r="O31" s="92">
        <f>+ROUND($C$31/12,0)-2</f>
        <v>219</v>
      </c>
      <c r="P31" s="310">
        <f t="shared" si="23"/>
        <v>2650</v>
      </c>
      <c r="Q31" s="303">
        <f t="shared" si="24"/>
        <v>0</v>
      </c>
      <c r="R31" s="1"/>
    </row>
    <row r="32" spans="1:18" s="296" customFormat="1" ht="15.75">
      <c r="A32" s="267" t="s">
        <v>524</v>
      </c>
      <c r="B32" s="293" t="s">
        <v>144</v>
      </c>
      <c r="C32" s="294">
        <f>+'2 Össz'!E31</f>
        <v>237166</v>
      </c>
      <c r="D32" s="262">
        <f>SUM(D19:D31)</f>
        <v>19764</v>
      </c>
      <c r="E32" s="262">
        <f aca="true" t="shared" si="28" ref="E32:O32">SUM(E19:E31)</f>
        <v>19764</v>
      </c>
      <c r="F32" s="262">
        <f t="shared" si="28"/>
        <v>19764</v>
      </c>
      <c r="G32" s="262">
        <f t="shared" si="28"/>
        <v>19764</v>
      </c>
      <c r="H32" s="262">
        <f t="shared" si="28"/>
        <v>19764</v>
      </c>
      <c r="I32" s="262">
        <f t="shared" si="28"/>
        <v>19764</v>
      </c>
      <c r="J32" s="262">
        <f t="shared" si="28"/>
        <v>19764</v>
      </c>
      <c r="K32" s="262">
        <f t="shared" si="28"/>
        <v>19764</v>
      </c>
      <c r="L32" s="262">
        <f t="shared" si="28"/>
        <v>19764</v>
      </c>
      <c r="M32" s="262">
        <f t="shared" si="28"/>
        <v>19764</v>
      </c>
      <c r="N32" s="262">
        <f t="shared" si="28"/>
        <v>19764</v>
      </c>
      <c r="O32" s="262">
        <f t="shared" si="28"/>
        <v>19762</v>
      </c>
      <c r="P32" s="305">
        <f t="shared" si="23"/>
        <v>237166</v>
      </c>
      <c r="Q32" s="306">
        <f t="shared" si="24"/>
        <v>0</v>
      </c>
      <c r="R32" s="295"/>
    </row>
    <row r="33" spans="1:18" s="296" customFormat="1" ht="15.75">
      <c r="A33" s="292" t="s">
        <v>523</v>
      </c>
      <c r="B33" s="293" t="s">
        <v>673</v>
      </c>
      <c r="C33" s="294">
        <f>+'2 Össz'!E32</f>
        <v>2808709</v>
      </c>
      <c r="D33" s="262">
        <f>+D32+D18+D17+D11+D10</f>
        <v>234060</v>
      </c>
      <c r="E33" s="262">
        <f aca="true" t="shared" si="29" ref="E33:O33">+E32+E18+E17+E11+E10</f>
        <v>234060</v>
      </c>
      <c r="F33" s="262">
        <f t="shared" si="29"/>
        <v>234060</v>
      </c>
      <c r="G33" s="262">
        <f t="shared" si="29"/>
        <v>234060</v>
      </c>
      <c r="H33" s="262">
        <f t="shared" si="29"/>
        <v>234060</v>
      </c>
      <c r="I33" s="262">
        <f t="shared" si="29"/>
        <v>234060</v>
      </c>
      <c r="J33" s="262">
        <f t="shared" si="29"/>
        <v>234060</v>
      </c>
      <c r="K33" s="262">
        <f t="shared" si="29"/>
        <v>234060</v>
      </c>
      <c r="L33" s="262">
        <f t="shared" si="29"/>
        <v>234060</v>
      </c>
      <c r="M33" s="262">
        <f t="shared" si="29"/>
        <v>234060</v>
      </c>
      <c r="N33" s="262">
        <f t="shared" si="29"/>
        <v>234060</v>
      </c>
      <c r="O33" s="262">
        <f t="shared" si="29"/>
        <v>234049</v>
      </c>
      <c r="P33" s="302">
        <f t="shared" si="23"/>
        <v>2808709</v>
      </c>
      <c r="Q33" s="303">
        <f t="shared" si="24"/>
        <v>0</v>
      </c>
      <c r="R33" s="295"/>
    </row>
    <row r="34" spans="1:18" ht="15.75">
      <c r="A34" s="114" t="s">
        <v>145</v>
      </c>
      <c r="B34" s="107" t="s">
        <v>146</v>
      </c>
      <c r="C34" s="291">
        <f>+'2 Össz'!E33</f>
        <v>3417</v>
      </c>
      <c r="D34" s="92"/>
      <c r="E34" s="92"/>
      <c r="F34" s="92"/>
      <c r="G34" s="92"/>
      <c r="H34" s="92">
        <v>1500</v>
      </c>
      <c r="I34" s="92">
        <v>1917</v>
      </c>
      <c r="J34" s="92"/>
      <c r="K34" s="92"/>
      <c r="L34" s="92"/>
      <c r="M34" s="92"/>
      <c r="N34" s="92"/>
      <c r="O34" s="92"/>
      <c r="P34" s="310">
        <f t="shared" si="23"/>
        <v>3417</v>
      </c>
      <c r="Q34" s="303">
        <f t="shared" si="24"/>
        <v>0</v>
      </c>
      <c r="R34" s="1"/>
    </row>
    <row r="35" spans="1:18" ht="15.75">
      <c r="A35" s="114" t="s">
        <v>556</v>
      </c>
      <c r="B35" s="107" t="s">
        <v>147</v>
      </c>
      <c r="C35" s="291">
        <f>+'2 Össz'!E34</f>
        <v>10866</v>
      </c>
      <c r="D35" s="92"/>
      <c r="E35" s="92"/>
      <c r="F35" s="92">
        <v>10866</v>
      </c>
      <c r="G35" s="92"/>
      <c r="H35" s="92"/>
      <c r="I35" s="92"/>
      <c r="J35" s="92"/>
      <c r="K35" s="92"/>
      <c r="L35" s="92"/>
      <c r="M35" s="92"/>
      <c r="N35" s="92"/>
      <c r="O35" s="92"/>
      <c r="P35" s="310">
        <f t="shared" si="23"/>
        <v>10866</v>
      </c>
      <c r="Q35" s="303">
        <f t="shared" si="24"/>
        <v>0</v>
      </c>
      <c r="R35" s="1"/>
    </row>
    <row r="36" spans="1:18" ht="15.75">
      <c r="A36" s="114" t="s">
        <v>148</v>
      </c>
      <c r="B36" s="107" t="s">
        <v>149</v>
      </c>
      <c r="C36" s="291">
        <f>+'2 Össz'!E35</f>
        <v>942</v>
      </c>
      <c r="D36" s="92"/>
      <c r="E36" s="92"/>
      <c r="F36" s="92"/>
      <c r="G36" s="92">
        <v>942</v>
      </c>
      <c r="H36" s="92"/>
      <c r="I36" s="92"/>
      <c r="J36" s="92"/>
      <c r="K36" s="92"/>
      <c r="L36" s="92"/>
      <c r="M36" s="92"/>
      <c r="N36" s="92"/>
      <c r="O36" s="92"/>
      <c r="P36" s="310">
        <f t="shared" si="23"/>
        <v>942</v>
      </c>
      <c r="Q36" s="303">
        <f t="shared" si="24"/>
        <v>0</v>
      </c>
      <c r="R36" s="1"/>
    </row>
    <row r="37" spans="1:18" ht="15.75">
      <c r="A37" s="114" t="s">
        <v>150</v>
      </c>
      <c r="B37" s="107" t="s">
        <v>151</v>
      </c>
      <c r="C37" s="291">
        <f>+'2 Össz'!E36</f>
        <v>26673</v>
      </c>
      <c r="D37" s="92"/>
      <c r="E37" s="92"/>
      <c r="F37" s="92">
        <v>5000</v>
      </c>
      <c r="G37" s="92">
        <v>3937</v>
      </c>
      <c r="H37" s="92">
        <f>11613+4000</f>
        <v>15613</v>
      </c>
      <c r="I37" s="92">
        <v>2123</v>
      </c>
      <c r="J37" s="92"/>
      <c r="K37" s="92"/>
      <c r="L37" s="92"/>
      <c r="M37" s="92"/>
      <c r="N37" s="92"/>
      <c r="O37" s="92"/>
      <c r="P37" s="310">
        <f t="shared" si="23"/>
        <v>26673</v>
      </c>
      <c r="Q37" s="303">
        <f t="shared" si="24"/>
        <v>0</v>
      </c>
      <c r="R37" s="1"/>
    </row>
    <row r="38" spans="1:18" ht="15.75">
      <c r="A38" s="81" t="s">
        <v>152</v>
      </c>
      <c r="B38" s="107" t="s">
        <v>153</v>
      </c>
      <c r="C38" s="291">
        <f>+'2 Össz'!E37</f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310">
        <f t="shared" si="23"/>
        <v>0</v>
      </c>
      <c r="Q38" s="303">
        <f t="shared" si="24"/>
        <v>0</v>
      </c>
      <c r="R38" s="1"/>
    </row>
    <row r="39" spans="1:18" ht="15.75">
      <c r="A39" s="81" t="s">
        <v>154</v>
      </c>
      <c r="B39" s="107" t="s">
        <v>155</v>
      </c>
      <c r="C39" s="291">
        <f>+'2 Össz'!E38</f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310">
        <f t="shared" si="23"/>
        <v>0</v>
      </c>
      <c r="Q39" s="303">
        <f t="shared" si="24"/>
        <v>0</v>
      </c>
      <c r="R39" s="1"/>
    </row>
    <row r="40" spans="1:18" ht="15.75">
      <c r="A40" s="81" t="s">
        <v>156</v>
      </c>
      <c r="B40" s="107" t="s">
        <v>157</v>
      </c>
      <c r="C40" s="291">
        <f>+'2 Össz'!E39</f>
        <v>8882</v>
      </c>
      <c r="D40" s="92"/>
      <c r="E40" s="92"/>
      <c r="F40" s="92">
        <v>2934</v>
      </c>
      <c r="G40" s="92">
        <v>1317</v>
      </c>
      <c r="H40" s="92">
        <v>3541</v>
      </c>
      <c r="I40" s="92">
        <v>1090</v>
      </c>
      <c r="J40" s="92">
        <f aca="true" t="shared" si="30" ref="J40:O40">SUM(J34:J39)*0.27</f>
        <v>0</v>
      </c>
      <c r="K40" s="92">
        <f t="shared" si="30"/>
        <v>0</v>
      </c>
      <c r="L40" s="92">
        <f t="shared" si="30"/>
        <v>0</v>
      </c>
      <c r="M40" s="92">
        <f t="shared" si="30"/>
        <v>0</v>
      </c>
      <c r="N40" s="92">
        <f t="shared" si="30"/>
        <v>0</v>
      </c>
      <c r="O40" s="92">
        <f t="shared" si="30"/>
        <v>0</v>
      </c>
      <c r="P40" s="310">
        <f t="shared" si="23"/>
        <v>8882</v>
      </c>
      <c r="Q40" s="303">
        <f t="shared" si="24"/>
        <v>0</v>
      </c>
      <c r="R40" s="1"/>
    </row>
    <row r="41" spans="1:18" s="296" customFormat="1" ht="15.75">
      <c r="A41" s="256" t="s">
        <v>522</v>
      </c>
      <c r="B41" s="293" t="s">
        <v>158</v>
      </c>
      <c r="C41" s="294">
        <f>+'2 Össz'!E40</f>
        <v>50780</v>
      </c>
      <c r="D41" s="262">
        <f>SUM(D34:D40)</f>
        <v>0</v>
      </c>
      <c r="E41" s="262">
        <f aca="true" t="shared" si="31" ref="E41:O41">SUM(E34:E40)</f>
        <v>0</v>
      </c>
      <c r="F41" s="262">
        <f t="shared" si="31"/>
        <v>18800</v>
      </c>
      <c r="G41" s="262">
        <f t="shared" si="31"/>
        <v>6196</v>
      </c>
      <c r="H41" s="262">
        <f t="shared" si="31"/>
        <v>20654</v>
      </c>
      <c r="I41" s="262">
        <f t="shared" si="31"/>
        <v>5130</v>
      </c>
      <c r="J41" s="262">
        <f t="shared" si="31"/>
        <v>0</v>
      </c>
      <c r="K41" s="262">
        <f t="shared" si="31"/>
        <v>0</v>
      </c>
      <c r="L41" s="262">
        <f t="shared" si="31"/>
        <v>0</v>
      </c>
      <c r="M41" s="262">
        <f t="shared" si="31"/>
        <v>0</v>
      </c>
      <c r="N41" s="262">
        <f t="shared" si="31"/>
        <v>0</v>
      </c>
      <c r="O41" s="262">
        <f t="shared" si="31"/>
        <v>0</v>
      </c>
      <c r="P41" s="302">
        <f t="shared" si="23"/>
        <v>50780</v>
      </c>
      <c r="Q41" s="303">
        <f t="shared" si="24"/>
        <v>0</v>
      </c>
      <c r="R41" s="295"/>
    </row>
    <row r="42" spans="1:18" ht="15.75">
      <c r="A42" s="80" t="s">
        <v>159</v>
      </c>
      <c r="B42" s="107" t="s">
        <v>160</v>
      </c>
      <c r="C42" s="291">
        <f>+'2 Össz'!E41</f>
        <v>254996</v>
      </c>
      <c r="D42" s="92"/>
      <c r="E42" s="92"/>
      <c r="F42" s="92">
        <v>25200</v>
      </c>
      <c r="G42" s="92"/>
      <c r="H42" s="92">
        <v>26246</v>
      </c>
      <c r="I42" s="92"/>
      <c r="J42" s="92">
        <v>51320</v>
      </c>
      <c r="K42" s="92"/>
      <c r="L42" s="92"/>
      <c r="M42" s="92"/>
      <c r="N42" s="92">
        <v>152230</v>
      </c>
      <c r="O42" s="92"/>
      <c r="P42" s="310">
        <f t="shared" si="23"/>
        <v>254996</v>
      </c>
      <c r="Q42" s="303">
        <f t="shared" si="24"/>
        <v>0</v>
      </c>
      <c r="R42" s="1"/>
    </row>
    <row r="43" spans="1:18" ht="15.75">
      <c r="A43" s="80" t="s">
        <v>161</v>
      </c>
      <c r="B43" s="107" t="s">
        <v>162</v>
      </c>
      <c r="C43" s="291">
        <f>+'2 Össz'!E42</f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310">
        <f t="shared" si="23"/>
        <v>0</v>
      </c>
      <c r="Q43" s="303">
        <f t="shared" si="24"/>
        <v>0</v>
      </c>
      <c r="R43" s="1"/>
    </row>
    <row r="44" spans="1:18" ht="15.75">
      <c r="A44" s="80" t="s">
        <v>163</v>
      </c>
      <c r="B44" s="107" t="s">
        <v>164</v>
      </c>
      <c r="C44" s="291">
        <f>+'2 Össz'!E43</f>
        <v>154055</v>
      </c>
      <c r="D44" s="92"/>
      <c r="E44" s="92"/>
      <c r="F44" s="92">
        <v>60000</v>
      </c>
      <c r="G44" s="92"/>
      <c r="H44" s="92"/>
      <c r="I44" s="92"/>
      <c r="J44" s="92">
        <v>4370</v>
      </c>
      <c r="K44" s="92"/>
      <c r="L44" s="92"/>
      <c r="M44" s="92">
        <v>54685</v>
      </c>
      <c r="N44" s="92"/>
      <c r="O44" s="92">
        <v>35000</v>
      </c>
      <c r="P44" s="310">
        <f t="shared" si="23"/>
        <v>154055</v>
      </c>
      <c r="Q44" s="303">
        <f t="shared" si="24"/>
        <v>0</v>
      </c>
      <c r="R44" s="1"/>
    </row>
    <row r="45" spans="1:18" ht="15.75">
      <c r="A45" s="80" t="s">
        <v>165</v>
      </c>
      <c r="B45" s="107" t="s">
        <v>166</v>
      </c>
      <c r="C45" s="291">
        <f>+'2 Össz'!E44</f>
        <v>108595</v>
      </c>
      <c r="D45" s="92"/>
      <c r="E45" s="92">
        <f>ROUND(SUM(E42:E44)*0.27,0)</f>
        <v>0</v>
      </c>
      <c r="F45" s="92">
        <f aca="true" t="shared" si="32" ref="F45:O45">ROUND(SUM(F42:F44)*0.27,0)</f>
        <v>23004</v>
      </c>
      <c r="G45" s="92">
        <f t="shared" si="32"/>
        <v>0</v>
      </c>
      <c r="H45" s="92">
        <f t="shared" si="32"/>
        <v>7086</v>
      </c>
      <c r="I45" s="92">
        <f t="shared" si="32"/>
        <v>0</v>
      </c>
      <c r="J45" s="92">
        <f t="shared" si="32"/>
        <v>15036</v>
      </c>
      <c r="K45" s="92">
        <f t="shared" si="32"/>
        <v>0</v>
      </c>
      <c r="L45" s="92">
        <f t="shared" si="32"/>
        <v>0</v>
      </c>
      <c r="M45" s="92">
        <f>ROUND(SUM(M42:M44)*0.27,0)-1850</f>
        <v>12915</v>
      </c>
      <c r="N45" s="92">
        <f>ROUND(SUM(N42:N44)*0.27,0)+2</f>
        <v>41104</v>
      </c>
      <c r="O45" s="92">
        <f t="shared" si="32"/>
        <v>9450</v>
      </c>
      <c r="P45" s="310">
        <f t="shared" si="23"/>
        <v>108595</v>
      </c>
      <c r="Q45" s="303">
        <f t="shared" si="24"/>
        <v>0</v>
      </c>
      <c r="R45" s="1"/>
    </row>
    <row r="46" spans="1:18" s="296" customFormat="1" ht="15.75">
      <c r="A46" s="255" t="s">
        <v>521</v>
      </c>
      <c r="B46" s="293" t="s">
        <v>167</v>
      </c>
      <c r="C46" s="294">
        <f>+'2 Össz'!E45</f>
        <v>517646</v>
      </c>
      <c r="D46" s="262">
        <f>SUM(D42:D45)</f>
        <v>0</v>
      </c>
      <c r="E46" s="262">
        <f aca="true" t="shared" si="33" ref="E46:O46">SUM(E42:E45)</f>
        <v>0</v>
      </c>
      <c r="F46" s="262">
        <f t="shared" si="33"/>
        <v>108204</v>
      </c>
      <c r="G46" s="262">
        <f t="shared" si="33"/>
        <v>0</v>
      </c>
      <c r="H46" s="262">
        <f t="shared" si="33"/>
        <v>33332</v>
      </c>
      <c r="I46" s="262">
        <f t="shared" si="33"/>
        <v>0</v>
      </c>
      <c r="J46" s="262">
        <f t="shared" si="33"/>
        <v>70726</v>
      </c>
      <c r="K46" s="262">
        <f t="shared" si="33"/>
        <v>0</v>
      </c>
      <c r="L46" s="262">
        <f t="shared" si="33"/>
        <v>0</v>
      </c>
      <c r="M46" s="262">
        <f t="shared" si="33"/>
        <v>67600</v>
      </c>
      <c r="N46" s="262">
        <f t="shared" si="33"/>
        <v>193334</v>
      </c>
      <c r="O46" s="262">
        <f t="shared" si="33"/>
        <v>44450</v>
      </c>
      <c r="P46" s="302">
        <f t="shared" si="23"/>
        <v>517646</v>
      </c>
      <c r="Q46" s="303">
        <f t="shared" si="24"/>
        <v>0</v>
      </c>
      <c r="R46" s="295"/>
    </row>
    <row r="47" spans="1:18" ht="15.75">
      <c r="A47" s="80" t="s">
        <v>793</v>
      </c>
      <c r="B47" s="107" t="s">
        <v>168</v>
      </c>
      <c r="C47" s="291">
        <f>+'2 Össz'!E46</f>
        <v>0</v>
      </c>
      <c r="D47" s="92">
        <f>+ROUND($C$47/12,0)</f>
        <v>0</v>
      </c>
      <c r="E47" s="92">
        <f aca="true" t="shared" si="34" ref="E47:O47">+ROUND($C$47/12,0)</f>
        <v>0</v>
      </c>
      <c r="F47" s="92">
        <f t="shared" si="34"/>
        <v>0</v>
      </c>
      <c r="G47" s="92">
        <f t="shared" si="34"/>
        <v>0</v>
      </c>
      <c r="H47" s="92">
        <f t="shared" si="34"/>
        <v>0</v>
      </c>
      <c r="I47" s="92">
        <f t="shared" si="34"/>
        <v>0</v>
      </c>
      <c r="J47" s="92">
        <f t="shared" si="34"/>
        <v>0</v>
      </c>
      <c r="K47" s="92">
        <f t="shared" si="34"/>
        <v>0</v>
      </c>
      <c r="L47" s="92">
        <f t="shared" si="34"/>
        <v>0</v>
      </c>
      <c r="M47" s="92">
        <f t="shared" si="34"/>
        <v>0</v>
      </c>
      <c r="N47" s="92">
        <f t="shared" si="34"/>
        <v>0</v>
      </c>
      <c r="O47" s="92">
        <f t="shared" si="34"/>
        <v>0</v>
      </c>
      <c r="P47" s="310">
        <f t="shared" si="23"/>
        <v>0</v>
      </c>
      <c r="Q47" s="303">
        <f t="shared" si="24"/>
        <v>0</v>
      </c>
      <c r="R47" s="1"/>
    </row>
    <row r="48" spans="1:18" ht="15.75">
      <c r="A48" s="80" t="s">
        <v>794</v>
      </c>
      <c r="B48" s="107" t="s">
        <v>169</v>
      </c>
      <c r="C48" s="291">
        <f>+'2 Össz'!E47</f>
        <v>0</v>
      </c>
      <c r="D48" s="92">
        <f>+ROUND($C$48/12,0)</f>
        <v>0</v>
      </c>
      <c r="E48" s="92">
        <f aca="true" t="shared" si="35" ref="E48:O48">+ROUND($C$48/12,0)</f>
        <v>0</v>
      </c>
      <c r="F48" s="92">
        <f t="shared" si="35"/>
        <v>0</v>
      </c>
      <c r="G48" s="92">
        <f t="shared" si="35"/>
        <v>0</v>
      </c>
      <c r="H48" s="92">
        <f t="shared" si="35"/>
        <v>0</v>
      </c>
      <c r="I48" s="92">
        <f t="shared" si="35"/>
        <v>0</v>
      </c>
      <c r="J48" s="92">
        <f t="shared" si="35"/>
        <v>0</v>
      </c>
      <c r="K48" s="92">
        <f t="shared" si="35"/>
        <v>0</v>
      </c>
      <c r="L48" s="92">
        <f t="shared" si="35"/>
        <v>0</v>
      </c>
      <c r="M48" s="92">
        <f t="shared" si="35"/>
        <v>0</v>
      </c>
      <c r="N48" s="92">
        <f t="shared" si="35"/>
        <v>0</v>
      </c>
      <c r="O48" s="92">
        <f t="shared" si="35"/>
        <v>0</v>
      </c>
      <c r="P48" s="310">
        <f t="shared" si="23"/>
        <v>0</v>
      </c>
      <c r="Q48" s="303">
        <f t="shared" si="24"/>
        <v>0</v>
      </c>
      <c r="R48" s="1"/>
    </row>
    <row r="49" spans="1:18" ht="15.75">
      <c r="A49" s="80" t="s">
        <v>795</v>
      </c>
      <c r="B49" s="107" t="s">
        <v>170</v>
      </c>
      <c r="C49" s="291">
        <f>+'2 Össz'!E48</f>
        <v>0</v>
      </c>
      <c r="D49" s="92">
        <f>+ROUND($C$49/12,0)</f>
        <v>0</v>
      </c>
      <c r="E49" s="92">
        <f aca="true" t="shared" si="36" ref="E49:O49">+ROUND($C$49/12,0)</f>
        <v>0</v>
      </c>
      <c r="F49" s="92">
        <f t="shared" si="36"/>
        <v>0</v>
      </c>
      <c r="G49" s="92">
        <f t="shared" si="36"/>
        <v>0</v>
      </c>
      <c r="H49" s="92">
        <f t="shared" si="36"/>
        <v>0</v>
      </c>
      <c r="I49" s="92">
        <f t="shared" si="36"/>
        <v>0</v>
      </c>
      <c r="J49" s="92">
        <f t="shared" si="36"/>
        <v>0</v>
      </c>
      <c r="K49" s="92">
        <f t="shared" si="36"/>
        <v>0</v>
      </c>
      <c r="L49" s="92">
        <f t="shared" si="36"/>
        <v>0</v>
      </c>
      <c r="M49" s="92">
        <f t="shared" si="36"/>
        <v>0</v>
      </c>
      <c r="N49" s="92">
        <f t="shared" si="36"/>
        <v>0</v>
      </c>
      <c r="O49" s="92">
        <f t="shared" si="36"/>
        <v>0</v>
      </c>
      <c r="P49" s="310">
        <f t="shared" si="23"/>
        <v>0</v>
      </c>
      <c r="Q49" s="303">
        <f t="shared" si="24"/>
        <v>0</v>
      </c>
      <c r="R49" s="1"/>
    </row>
    <row r="50" spans="1:18" ht="15.75">
      <c r="A50" s="80" t="s">
        <v>805</v>
      </c>
      <c r="B50" s="107" t="s">
        <v>171</v>
      </c>
      <c r="C50" s="291">
        <f>+'2 Össz'!E49</f>
        <v>136194</v>
      </c>
      <c r="D50" s="92">
        <f>+ROUND($C$50/12,0)</f>
        <v>11350</v>
      </c>
      <c r="E50" s="92">
        <f aca="true" t="shared" si="37" ref="E50:N50">+ROUND($C$50/12,0)</f>
        <v>11350</v>
      </c>
      <c r="F50" s="92">
        <f t="shared" si="37"/>
        <v>11350</v>
      </c>
      <c r="G50" s="92">
        <f t="shared" si="37"/>
        <v>11350</v>
      </c>
      <c r="H50" s="92">
        <f t="shared" si="37"/>
        <v>11350</v>
      </c>
      <c r="I50" s="92">
        <f t="shared" si="37"/>
        <v>11350</v>
      </c>
      <c r="J50" s="92">
        <f t="shared" si="37"/>
        <v>11350</v>
      </c>
      <c r="K50" s="92">
        <f t="shared" si="37"/>
        <v>11350</v>
      </c>
      <c r="L50" s="92">
        <f t="shared" si="37"/>
        <v>11350</v>
      </c>
      <c r="M50" s="92">
        <f t="shared" si="37"/>
        <v>11350</v>
      </c>
      <c r="N50" s="92">
        <f t="shared" si="37"/>
        <v>11350</v>
      </c>
      <c r="O50" s="92">
        <f>+ROUND($C$50/12,0)-6</f>
        <v>11344</v>
      </c>
      <c r="P50" s="310">
        <f t="shared" si="23"/>
        <v>136194</v>
      </c>
      <c r="Q50" s="303">
        <f t="shared" si="24"/>
        <v>0</v>
      </c>
      <c r="R50" s="1"/>
    </row>
    <row r="51" spans="1:18" ht="15.75">
      <c r="A51" s="80" t="s">
        <v>796</v>
      </c>
      <c r="B51" s="107" t="s">
        <v>172</v>
      </c>
      <c r="C51" s="291">
        <f>+'2 Össz'!E50</f>
        <v>0</v>
      </c>
      <c r="D51" s="92">
        <f>+ROUND($C$51/12,0)</f>
        <v>0</v>
      </c>
      <c r="E51" s="92">
        <f aca="true" t="shared" si="38" ref="E51:O51">+ROUND($C$51/12,0)</f>
        <v>0</v>
      </c>
      <c r="F51" s="92">
        <f t="shared" si="38"/>
        <v>0</v>
      </c>
      <c r="G51" s="92">
        <f t="shared" si="38"/>
        <v>0</v>
      </c>
      <c r="H51" s="92">
        <f t="shared" si="38"/>
        <v>0</v>
      </c>
      <c r="I51" s="92">
        <f t="shared" si="38"/>
        <v>0</v>
      </c>
      <c r="J51" s="92">
        <f t="shared" si="38"/>
        <v>0</v>
      </c>
      <c r="K51" s="92">
        <f t="shared" si="38"/>
        <v>0</v>
      </c>
      <c r="L51" s="92">
        <f t="shared" si="38"/>
        <v>0</v>
      </c>
      <c r="M51" s="92">
        <f t="shared" si="38"/>
        <v>0</v>
      </c>
      <c r="N51" s="92">
        <f t="shared" si="38"/>
        <v>0</v>
      </c>
      <c r="O51" s="92">
        <f t="shared" si="38"/>
        <v>0</v>
      </c>
      <c r="P51" s="310">
        <f t="shared" si="23"/>
        <v>0</v>
      </c>
      <c r="Q51" s="303">
        <f t="shared" si="24"/>
        <v>0</v>
      </c>
      <c r="R51" s="1"/>
    </row>
    <row r="52" spans="1:18" ht="15.75">
      <c r="A52" s="80" t="s">
        <v>797</v>
      </c>
      <c r="B52" s="107" t="s">
        <v>173</v>
      </c>
      <c r="C52" s="291">
        <f>+'2 Össz'!E51</f>
        <v>0</v>
      </c>
      <c r="D52" s="92">
        <f>+ROUND($C$52/12,0)</f>
        <v>0</v>
      </c>
      <c r="E52" s="92">
        <f aca="true" t="shared" si="39" ref="E52:O52">+ROUND($C$52/12,0)</f>
        <v>0</v>
      </c>
      <c r="F52" s="92">
        <f t="shared" si="39"/>
        <v>0</v>
      </c>
      <c r="G52" s="92">
        <f t="shared" si="39"/>
        <v>0</v>
      </c>
      <c r="H52" s="92">
        <f t="shared" si="39"/>
        <v>0</v>
      </c>
      <c r="I52" s="92">
        <f t="shared" si="39"/>
        <v>0</v>
      </c>
      <c r="J52" s="92">
        <f t="shared" si="39"/>
        <v>0</v>
      </c>
      <c r="K52" s="92">
        <f t="shared" si="39"/>
        <v>0</v>
      </c>
      <c r="L52" s="92">
        <f t="shared" si="39"/>
        <v>0</v>
      </c>
      <c r="M52" s="92">
        <f t="shared" si="39"/>
        <v>0</v>
      </c>
      <c r="N52" s="92">
        <f t="shared" si="39"/>
        <v>0</v>
      </c>
      <c r="O52" s="92">
        <f t="shared" si="39"/>
        <v>0</v>
      </c>
      <c r="P52" s="310">
        <f t="shared" si="23"/>
        <v>0</v>
      </c>
      <c r="Q52" s="303">
        <f t="shared" si="24"/>
        <v>0</v>
      </c>
      <c r="R52" s="1"/>
    </row>
    <row r="53" spans="1:18" ht="15.75">
      <c r="A53" s="80" t="s">
        <v>174</v>
      </c>
      <c r="B53" s="107" t="s">
        <v>175</v>
      </c>
      <c r="C53" s="291">
        <f>+'2 Össz'!E52</f>
        <v>0</v>
      </c>
      <c r="D53" s="92">
        <f>+ROUND($C$53/12,0)</f>
        <v>0</v>
      </c>
      <c r="E53" s="92">
        <f aca="true" t="shared" si="40" ref="E53:O53">+ROUND($C$53/12,0)</f>
        <v>0</v>
      </c>
      <c r="F53" s="92">
        <f t="shared" si="40"/>
        <v>0</v>
      </c>
      <c r="G53" s="92">
        <f t="shared" si="40"/>
        <v>0</v>
      </c>
      <c r="H53" s="92">
        <f t="shared" si="40"/>
        <v>0</v>
      </c>
      <c r="I53" s="92">
        <f t="shared" si="40"/>
        <v>0</v>
      </c>
      <c r="J53" s="92">
        <f t="shared" si="40"/>
        <v>0</v>
      </c>
      <c r="K53" s="92">
        <f t="shared" si="40"/>
        <v>0</v>
      </c>
      <c r="L53" s="92">
        <f t="shared" si="40"/>
        <v>0</v>
      </c>
      <c r="M53" s="92">
        <f t="shared" si="40"/>
        <v>0</v>
      </c>
      <c r="N53" s="92">
        <f t="shared" si="40"/>
        <v>0</v>
      </c>
      <c r="O53" s="92">
        <f t="shared" si="40"/>
        <v>0</v>
      </c>
      <c r="P53" s="310">
        <f t="shared" si="23"/>
        <v>0</v>
      </c>
      <c r="Q53" s="303">
        <f t="shared" si="24"/>
        <v>0</v>
      </c>
      <c r="R53" s="1"/>
    </row>
    <row r="54" spans="1:18" ht="15.75">
      <c r="A54" s="80" t="s">
        <v>557</v>
      </c>
      <c r="B54" s="107" t="s">
        <v>176</v>
      </c>
      <c r="C54" s="291">
        <f>+'2 Össz'!E53</f>
        <v>0</v>
      </c>
      <c r="D54" s="92">
        <f>+ROUND($C$54/12,0)</f>
        <v>0</v>
      </c>
      <c r="E54" s="92">
        <f aca="true" t="shared" si="41" ref="E54:O54">+ROUND($C$54/12,0)</f>
        <v>0</v>
      </c>
      <c r="F54" s="92">
        <f t="shared" si="41"/>
        <v>0</v>
      </c>
      <c r="G54" s="92">
        <f t="shared" si="41"/>
        <v>0</v>
      </c>
      <c r="H54" s="92">
        <f t="shared" si="41"/>
        <v>0</v>
      </c>
      <c r="I54" s="92">
        <f t="shared" si="41"/>
        <v>0</v>
      </c>
      <c r="J54" s="92">
        <f t="shared" si="41"/>
        <v>0</v>
      </c>
      <c r="K54" s="92">
        <f t="shared" si="41"/>
        <v>0</v>
      </c>
      <c r="L54" s="92">
        <f t="shared" si="41"/>
        <v>0</v>
      </c>
      <c r="M54" s="92">
        <f t="shared" si="41"/>
        <v>0</v>
      </c>
      <c r="N54" s="92">
        <f t="shared" si="41"/>
        <v>0</v>
      </c>
      <c r="O54" s="92">
        <f t="shared" si="41"/>
        <v>0</v>
      </c>
      <c r="P54" s="310">
        <f t="shared" si="23"/>
        <v>0</v>
      </c>
      <c r="Q54" s="303">
        <f t="shared" si="24"/>
        <v>0</v>
      </c>
      <c r="R54" s="1"/>
    </row>
    <row r="55" spans="1:18" s="296" customFormat="1" ht="15.75">
      <c r="A55" s="267" t="s">
        <v>520</v>
      </c>
      <c r="B55" s="293" t="s">
        <v>177</v>
      </c>
      <c r="C55" s="294">
        <f>+'2 Össz'!E54</f>
        <v>136194</v>
      </c>
      <c r="D55" s="262">
        <f>SUM(D47:D54)</f>
        <v>11350</v>
      </c>
      <c r="E55" s="262">
        <f aca="true" t="shared" si="42" ref="E55:O55">SUM(E47:E54)</f>
        <v>11350</v>
      </c>
      <c r="F55" s="262">
        <f t="shared" si="42"/>
        <v>11350</v>
      </c>
      <c r="G55" s="262">
        <f t="shared" si="42"/>
        <v>11350</v>
      </c>
      <c r="H55" s="262">
        <f t="shared" si="42"/>
        <v>11350</v>
      </c>
      <c r="I55" s="262">
        <f t="shared" si="42"/>
        <v>11350</v>
      </c>
      <c r="J55" s="262">
        <f t="shared" si="42"/>
        <v>11350</v>
      </c>
      <c r="K55" s="262">
        <f t="shared" si="42"/>
        <v>11350</v>
      </c>
      <c r="L55" s="262">
        <f t="shared" si="42"/>
        <v>11350</v>
      </c>
      <c r="M55" s="262">
        <f t="shared" si="42"/>
        <v>11350</v>
      </c>
      <c r="N55" s="262">
        <f t="shared" si="42"/>
        <v>11350</v>
      </c>
      <c r="O55" s="262">
        <f t="shared" si="42"/>
        <v>11344</v>
      </c>
      <c r="P55" s="302">
        <f t="shared" si="23"/>
        <v>136194</v>
      </c>
      <c r="Q55" s="303">
        <f t="shared" si="24"/>
        <v>0</v>
      </c>
      <c r="R55" s="295"/>
    </row>
    <row r="56" spans="1:18" s="296" customFormat="1" ht="15.75">
      <c r="A56" s="292" t="s">
        <v>519</v>
      </c>
      <c r="B56" s="293" t="s">
        <v>674</v>
      </c>
      <c r="C56" s="294">
        <f>+'2 Össz'!E55</f>
        <v>704620</v>
      </c>
      <c r="D56" s="262">
        <f>+D55+D46+D41</f>
        <v>11350</v>
      </c>
      <c r="E56" s="262">
        <f aca="true" t="shared" si="43" ref="E56:O56">+E55+E46+E41</f>
        <v>11350</v>
      </c>
      <c r="F56" s="262">
        <f t="shared" si="43"/>
        <v>138354</v>
      </c>
      <c r="G56" s="262">
        <f t="shared" si="43"/>
        <v>17546</v>
      </c>
      <c r="H56" s="262">
        <f t="shared" si="43"/>
        <v>65336</v>
      </c>
      <c r="I56" s="262">
        <f t="shared" si="43"/>
        <v>16480</v>
      </c>
      <c r="J56" s="262">
        <f t="shared" si="43"/>
        <v>82076</v>
      </c>
      <c r="K56" s="262">
        <f t="shared" si="43"/>
        <v>11350</v>
      </c>
      <c r="L56" s="262">
        <f t="shared" si="43"/>
        <v>11350</v>
      </c>
      <c r="M56" s="262">
        <f t="shared" si="43"/>
        <v>78950</v>
      </c>
      <c r="N56" s="262">
        <f t="shared" si="43"/>
        <v>204684</v>
      </c>
      <c r="O56" s="262">
        <f t="shared" si="43"/>
        <v>55794</v>
      </c>
      <c r="P56" s="302">
        <f t="shared" si="23"/>
        <v>704620</v>
      </c>
      <c r="Q56" s="303">
        <f t="shared" si="24"/>
        <v>0</v>
      </c>
      <c r="R56" s="295"/>
    </row>
    <row r="57" spans="1:18" s="296" customFormat="1" ht="15.75">
      <c r="A57" s="270" t="s">
        <v>518</v>
      </c>
      <c r="B57" s="304" t="s">
        <v>675</v>
      </c>
      <c r="C57" s="294">
        <f>+'2 Össz'!E56</f>
        <v>3513329</v>
      </c>
      <c r="D57" s="262">
        <f>+D55+D46+D41+D32+D18+D17+D11+D10</f>
        <v>245410</v>
      </c>
      <c r="E57" s="262">
        <f aca="true" t="shared" si="44" ref="E57:O57">+E55+E46+E41+E32+E18+E17+E11+E10</f>
        <v>245410</v>
      </c>
      <c r="F57" s="262">
        <f t="shared" si="44"/>
        <v>372414</v>
      </c>
      <c r="G57" s="262">
        <f t="shared" si="44"/>
        <v>251606</v>
      </c>
      <c r="H57" s="262">
        <f t="shared" si="44"/>
        <v>299396</v>
      </c>
      <c r="I57" s="262">
        <f t="shared" si="44"/>
        <v>250540</v>
      </c>
      <c r="J57" s="262">
        <f t="shared" si="44"/>
        <v>316136</v>
      </c>
      <c r="K57" s="262">
        <f t="shared" si="44"/>
        <v>245410</v>
      </c>
      <c r="L57" s="262">
        <f t="shared" si="44"/>
        <v>245410</v>
      </c>
      <c r="M57" s="262">
        <f t="shared" si="44"/>
        <v>313010</v>
      </c>
      <c r="N57" s="262">
        <f t="shared" si="44"/>
        <v>438744</v>
      </c>
      <c r="O57" s="262">
        <f t="shared" si="44"/>
        <v>289843</v>
      </c>
      <c r="P57" s="305">
        <f t="shared" si="23"/>
        <v>3513329</v>
      </c>
      <c r="Q57" s="306">
        <f t="shared" si="24"/>
        <v>0</v>
      </c>
      <c r="R57" s="295"/>
    </row>
    <row r="58" spans="1:18" ht="15.75">
      <c r="A58" s="80" t="s">
        <v>567</v>
      </c>
      <c r="B58" s="82" t="s">
        <v>178</v>
      </c>
      <c r="C58" s="291">
        <f>+'2 Össz'!E57</f>
        <v>5948</v>
      </c>
      <c r="D58" s="92">
        <v>1868</v>
      </c>
      <c r="E58" s="92"/>
      <c r="F58" s="92"/>
      <c r="G58" s="92"/>
      <c r="H58" s="92"/>
      <c r="I58" s="92"/>
      <c r="J58" s="92">
        <f>512+170</f>
        <v>682</v>
      </c>
      <c r="K58" s="92">
        <f>512+170</f>
        <v>682</v>
      </c>
      <c r="L58" s="92">
        <f>512+170</f>
        <v>682</v>
      </c>
      <c r="M58" s="92">
        <f>512+170</f>
        <v>682</v>
      </c>
      <c r="N58" s="92">
        <f>512+170</f>
        <v>682</v>
      </c>
      <c r="O58" s="92">
        <f>512+170-12</f>
        <v>670</v>
      </c>
      <c r="P58" s="310">
        <f t="shared" si="23"/>
        <v>5948</v>
      </c>
      <c r="Q58" s="303">
        <f t="shared" si="24"/>
        <v>0</v>
      </c>
      <c r="R58" s="1"/>
    </row>
    <row r="59" spans="1:18" ht="15.75">
      <c r="A59" s="80" t="s">
        <v>181</v>
      </c>
      <c r="B59" s="82" t="s">
        <v>182</v>
      </c>
      <c r="C59" s="291">
        <f>+'2 Össz'!E58</f>
        <v>0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302">
        <f t="shared" si="23"/>
        <v>0</v>
      </c>
      <c r="Q59" s="303">
        <f t="shared" si="24"/>
        <v>0</v>
      </c>
      <c r="R59" s="1"/>
    </row>
    <row r="60" spans="1:18" ht="15.75">
      <c r="A60" s="80" t="s">
        <v>568</v>
      </c>
      <c r="B60" s="82" t="s">
        <v>183</v>
      </c>
      <c r="C60" s="291">
        <f>+'2 Össz'!E59</f>
        <v>88500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>
        <v>88500</v>
      </c>
      <c r="P60" s="302">
        <f t="shared" si="23"/>
        <v>88500</v>
      </c>
      <c r="Q60" s="303">
        <f t="shared" si="24"/>
        <v>0</v>
      </c>
      <c r="R60" s="1"/>
    </row>
    <row r="61" spans="1:18" s="296" customFormat="1" ht="15.75">
      <c r="A61" s="267" t="s">
        <v>433</v>
      </c>
      <c r="B61" s="255" t="s">
        <v>184</v>
      </c>
      <c r="C61" s="294">
        <f>+'2 Össz'!E60</f>
        <v>94448</v>
      </c>
      <c r="D61" s="350">
        <f>SUM(D58:D60)</f>
        <v>1868</v>
      </c>
      <c r="E61" s="350">
        <f aca="true" t="shared" si="45" ref="E61:O61">SUM(E58:E60)</f>
        <v>0</v>
      </c>
      <c r="F61" s="350">
        <f t="shared" si="45"/>
        <v>0</v>
      </c>
      <c r="G61" s="350">
        <f t="shared" si="45"/>
        <v>0</v>
      </c>
      <c r="H61" s="350">
        <f t="shared" si="45"/>
        <v>0</v>
      </c>
      <c r="I61" s="350">
        <f t="shared" si="45"/>
        <v>0</v>
      </c>
      <c r="J61" s="350">
        <f t="shared" si="45"/>
        <v>682</v>
      </c>
      <c r="K61" s="350">
        <f t="shared" si="45"/>
        <v>682</v>
      </c>
      <c r="L61" s="350">
        <f t="shared" si="45"/>
        <v>682</v>
      </c>
      <c r="M61" s="350">
        <f t="shared" si="45"/>
        <v>682</v>
      </c>
      <c r="N61" s="350">
        <f t="shared" si="45"/>
        <v>682</v>
      </c>
      <c r="O61" s="350">
        <f t="shared" si="45"/>
        <v>89170</v>
      </c>
      <c r="P61" s="305">
        <f t="shared" si="23"/>
        <v>94448</v>
      </c>
      <c r="Q61" s="306">
        <f t="shared" si="24"/>
        <v>0</v>
      </c>
      <c r="R61" s="295"/>
    </row>
    <row r="62" spans="1:18" ht="15.75">
      <c r="A62" s="123" t="s">
        <v>558</v>
      </c>
      <c r="B62" s="82" t="s">
        <v>185</v>
      </c>
      <c r="C62" s="291">
        <f>+'2 Össz'!E61</f>
        <v>0</v>
      </c>
      <c r="D62" s="92">
        <f>+ROUND($C$62/12,0)</f>
        <v>0</v>
      </c>
      <c r="E62" s="92">
        <f aca="true" t="shared" si="46" ref="E62:O62">+ROUND($C$62/12,0)</f>
        <v>0</v>
      </c>
      <c r="F62" s="92">
        <f t="shared" si="46"/>
        <v>0</v>
      </c>
      <c r="G62" s="92">
        <f t="shared" si="46"/>
        <v>0</v>
      </c>
      <c r="H62" s="92">
        <f t="shared" si="46"/>
        <v>0</v>
      </c>
      <c r="I62" s="92">
        <f t="shared" si="46"/>
        <v>0</v>
      </c>
      <c r="J62" s="92">
        <f t="shared" si="46"/>
        <v>0</v>
      </c>
      <c r="K62" s="92">
        <f t="shared" si="46"/>
        <v>0</v>
      </c>
      <c r="L62" s="92">
        <f t="shared" si="46"/>
        <v>0</v>
      </c>
      <c r="M62" s="92">
        <f t="shared" si="46"/>
        <v>0</v>
      </c>
      <c r="N62" s="92">
        <f t="shared" si="46"/>
        <v>0</v>
      </c>
      <c r="O62" s="92">
        <f t="shared" si="46"/>
        <v>0</v>
      </c>
      <c r="P62" s="302">
        <f t="shared" si="23"/>
        <v>0</v>
      </c>
      <c r="Q62" s="303">
        <f t="shared" si="24"/>
        <v>0</v>
      </c>
      <c r="R62" s="1"/>
    </row>
    <row r="63" spans="1:18" ht="15.75">
      <c r="A63" s="123" t="s">
        <v>544</v>
      </c>
      <c r="B63" s="82" t="s">
        <v>188</v>
      </c>
      <c r="C63" s="291">
        <f>+'2 Össz'!E62</f>
        <v>0</v>
      </c>
      <c r="D63" s="92">
        <f>+ROUND($C$63/12,0)</f>
        <v>0</v>
      </c>
      <c r="E63" s="92">
        <f aca="true" t="shared" si="47" ref="E63:O63">+ROUND($C$63/12,0)</f>
        <v>0</v>
      </c>
      <c r="F63" s="92">
        <f t="shared" si="47"/>
        <v>0</v>
      </c>
      <c r="G63" s="92">
        <f t="shared" si="47"/>
        <v>0</v>
      </c>
      <c r="H63" s="92">
        <f t="shared" si="47"/>
        <v>0</v>
      </c>
      <c r="I63" s="92">
        <f t="shared" si="47"/>
        <v>0</v>
      </c>
      <c r="J63" s="92">
        <f t="shared" si="47"/>
        <v>0</v>
      </c>
      <c r="K63" s="92">
        <f t="shared" si="47"/>
        <v>0</v>
      </c>
      <c r="L63" s="92">
        <f t="shared" si="47"/>
        <v>0</v>
      </c>
      <c r="M63" s="92">
        <f t="shared" si="47"/>
        <v>0</v>
      </c>
      <c r="N63" s="92">
        <f t="shared" si="47"/>
        <v>0</v>
      </c>
      <c r="O63" s="92">
        <f t="shared" si="47"/>
        <v>0</v>
      </c>
      <c r="P63" s="302">
        <f t="shared" si="23"/>
        <v>0</v>
      </c>
      <c r="Q63" s="303">
        <f t="shared" si="24"/>
        <v>0</v>
      </c>
      <c r="R63" s="1"/>
    </row>
    <row r="64" spans="1:18" ht="15.75">
      <c r="A64" s="80" t="s">
        <v>189</v>
      </c>
      <c r="B64" s="82" t="s">
        <v>190</v>
      </c>
      <c r="C64" s="291">
        <f>+'2 Össz'!E63</f>
        <v>0</v>
      </c>
      <c r="D64" s="92">
        <f>+ROUND($C$64/12,0)</f>
        <v>0</v>
      </c>
      <c r="E64" s="92">
        <f aca="true" t="shared" si="48" ref="E64:O64">+ROUND($C$64/12,0)</f>
        <v>0</v>
      </c>
      <c r="F64" s="92">
        <f t="shared" si="48"/>
        <v>0</v>
      </c>
      <c r="G64" s="92">
        <f t="shared" si="48"/>
        <v>0</v>
      </c>
      <c r="H64" s="92">
        <f t="shared" si="48"/>
        <v>0</v>
      </c>
      <c r="I64" s="92">
        <f t="shared" si="48"/>
        <v>0</v>
      </c>
      <c r="J64" s="92">
        <f t="shared" si="48"/>
        <v>0</v>
      </c>
      <c r="K64" s="92">
        <f t="shared" si="48"/>
        <v>0</v>
      </c>
      <c r="L64" s="92">
        <f t="shared" si="48"/>
        <v>0</v>
      </c>
      <c r="M64" s="92">
        <f t="shared" si="48"/>
        <v>0</v>
      </c>
      <c r="N64" s="92">
        <f t="shared" si="48"/>
        <v>0</v>
      </c>
      <c r="O64" s="92">
        <f t="shared" si="48"/>
        <v>0</v>
      </c>
      <c r="P64" s="302">
        <f t="shared" si="23"/>
        <v>0</v>
      </c>
      <c r="Q64" s="303">
        <f t="shared" si="24"/>
        <v>0</v>
      </c>
      <c r="R64" s="1"/>
    </row>
    <row r="65" spans="1:18" ht="15.75">
      <c r="A65" s="80" t="s">
        <v>414</v>
      </c>
      <c r="B65" s="82" t="s">
        <v>191</v>
      </c>
      <c r="C65" s="291">
        <f>+'2 Össz'!E64</f>
        <v>0</v>
      </c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302">
        <f t="shared" si="23"/>
        <v>0</v>
      </c>
      <c r="Q65" s="303">
        <f t="shared" si="24"/>
        <v>0</v>
      </c>
      <c r="R65" s="1"/>
    </row>
    <row r="66" spans="1:18" s="296" customFormat="1" ht="15.75">
      <c r="A66" s="337" t="s">
        <v>432</v>
      </c>
      <c r="B66" s="255" t="s">
        <v>192</v>
      </c>
      <c r="C66" s="294">
        <f>+'2 Össz'!E65</f>
        <v>0</v>
      </c>
      <c r="D66" s="301">
        <f>SUM(D62:D65)</f>
        <v>0</v>
      </c>
      <c r="E66" s="301">
        <f aca="true" t="shared" si="49" ref="E66:O66">SUM(E62:E65)</f>
        <v>0</v>
      </c>
      <c r="F66" s="301">
        <f t="shared" si="49"/>
        <v>0</v>
      </c>
      <c r="G66" s="301">
        <f t="shared" si="49"/>
        <v>0</v>
      </c>
      <c r="H66" s="301">
        <f t="shared" si="49"/>
        <v>0</v>
      </c>
      <c r="I66" s="301">
        <f t="shared" si="49"/>
        <v>0</v>
      </c>
      <c r="J66" s="301">
        <f t="shared" si="49"/>
        <v>0</v>
      </c>
      <c r="K66" s="301">
        <f t="shared" si="49"/>
        <v>0</v>
      </c>
      <c r="L66" s="301">
        <f t="shared" si="49"/>
        <v>0</v>
      </c>
      <c r="M66" s="301">
        <f t="shared" si="49"/>
        <v>0</v>
      </c>
      <c r="N66" s="301">
        <f t="shared" si="49"/>
        <v>0</v>
      </c>
      <c r="O66" s="301">
        <f t="shared" si="49"/>
        <v>0</v>
      </c>
      <c r="P66" s="305">
        <f t="shared" si="23"/>
        <v>0</v>
      </c>
      <c r="Q66" s="306">
        <f t="shared" si="24"/>
        <v>0</v>
      </c>
      <c r="R66" s="295"/>
    </row>
    <row r="67" spans="1:18" ht="15.75">
      <c r="A67" s="123" t="s">
        <v>193</v>
      </c>
      <c r="B67" s="82" t="s">
        <v>194</v>
      </c>
      <c r="C67" s="291">
        <f>+'2 Össz'!E66</f>
        <v>0</v>
      </c>
      <c r="D67" s="92">
        <f>+ROUND($C$67/12,0)</f>
        <v>0</v>
      </c>
      <c r="E67" s="92">
        <f aca="true" t="shared" si="50" ref="E67:O67">+ROUND($C$67/12,0)</f>
        <v>0</v>
      </c>
      <c r="F67" s="92">
        <f t="shared" si="50"/>
        <v>0</v>
      </c>
      <c r="G67" s="92">
        <f t="shared" si="50"/>
        <v>0</v>
      </c>
      <c r="H67" s="92">
        <f t="shared" si="50"/>
        <v>0</v>
      </c>
      <c r="I67" s="92">
        <f t="shared" si="50"/>
        <v>0</v>
      </c>
      <c r="J67" s="92">
        <f t="shared" si="50"/>
        <v>0</v>
      </c>
      <c r="K67" s="92">
        <f t="shared" si="50"/>
        <v>0</v>
      </c>
      <c r="L67" s="92">
        <f t="shared" si="50"/>
        <v>0</v>
      </c>
      <c r="M67" s="92">
        <f t="shared" si="50"/>
        <v>0</v>
      </c>
      <c r="N67" s="92">
        <f t="shared" si="50"/>
        <v>0</v>
      </c>
      <c r="O67" s="92">
        <f t="shared" si="50"/>
        <v>0</v>
      </c>
      <c r="P67" s="302">
        <f t="shared" si="23"/>
        <v>0</v>
      </c>
      <c r="Q67" s="303">
        <f t="shared" si="24"/>
        <v>0</v>
      </c>
      <c r="R67" s="1"/>
    </row>
    <row r="68" spans="1:18" ht="15.75">
      <c r="A68" s="123" t="s">
        <v>195</v>
      </c>
      <c r="B68" s="82" t="s">
        <v>196</v>
      </c>
      <c r="C68" s="291">
        <f>+'2 Össz'!E67</f>
        <v>0</v>
      </c>
      <c r="D68" s="92">
        <f>+ROUND($C$68/12,0)</f>
        <v>0</v>
      </c>
      <c r="E68" s="92">
        <f aca="true" t="shared" si="51" ref="E68:O68">+ROUND($C$68/12,0)</f>
        <v>0</v>
      </c>
      <c r="F68" s="92">
        <f t="shared" si="51"/>
        <v>0</v>
      </c>
      <c r="G68" s="92">
        <f t="shared" si="51"/>
        <v>0</v>
      </c>
      <c r="H68" s="92">
        <f t="shared" si="51"/>
        <v>0</v>
      </c>
      <c r="I68" s="92">
        <f t="shared" si="51"/>
        <v>0</v>
      </c>
      <c r="J68" s="92">
        <f t="shared" si="51"/>
        <v>0</v>
      </c>
      <c r="K68" s="92">
        <f t="shared" si="51"/>
        <v>0</v>
      </c>
      <c r="L68" s="92">
        <f t="shared" si="51"/>
        <v>0</v>
      </c>
      <c r="M68" s="92">
        <f t="shared" si="51"/>
        <v>0</v>
      </c>
      <c r="N68" s="92">
        <f t="shared" si="51"/>
        <v>0</v>
      </c>
      <c r="O68" s="92">
        <f t="shared" si="51"/>
        <v>0</v>
      </c>
      <c r="P68" s="302">
        <f t="shared" si="23"/>
        <v>0</v>
      </c>
      <c r="Q68" s="303">
        <f t="shared" si="24"/>
        <v>0</v>
      </c>
      <c r="R68" s="1"/>
    </row>
    <row r="69" spans="1:18" ht="15.75">
      <c r="A69" s="123" t="s">
        <v>667</v>
      </c>
      <c r="B69" s="82" t="s">
        <v>197</v>
      </c>
      <c r="C69" s="291">
        <f>+'2 Össz'!E68</f>
        <v>0</v>
      </c>
      <c r="D69" s="92">
        <f>+ROUND($C$69/12,0)</f>
        <v>0</v>
      </c>
      <c r="E69" s="92">
        <f aca="true" t="shared" si="52" ref="E69:O69">+ROUND($C$69/12,0)</f>
        <v>0</v>
      </c>
      <c r="F69" s="92">
        <f t="shared" si="52"/>
        <v>0</v>
      </c>
      <c r="G69" s="92">
        <f t="shared" si="52"/>
        <v>0</v>
      </c>
      <c r="H69" s="92">
        <f t="shared" si="52"/>
        <v>0</v>
      </c>
      <c r="I69" s="92">
        <f t="shared" si="52"/>
        <v>0</v>
      </c>
      <c r="J69" s="92">
        <f t="shared" si="52"/>
        <v>0</v>
      </c>
      <c r="K69" s="92">
        <f t="shared" si="52"/>
        <v>0</v>
      </c>
      <c r="L69" s="92">
        <f t="shared" si="52"/>
        <v>0</v>
      </c>
      <c r="M69" s="92">
        <f t="shared" si="52"/>
        <v>0</v>
      </c>
      <c r="N69" s="92">
        <f t="shared" si="52"/>
        <v>0</v>
      </c>
      <c r="O69" s="92">
        <f t="shared" si="52"/>
        <v>0</v>
      </c>
      <c r="P69" s="302">
        <f t="shared" si="23"/>
        <v>0</v>
      </c>
      <c r="Q69" s="303">
        <f t="shared" si="24"/>
        <v>0</v>
      </c>
      <c r="R69" s="1"/>
    </row>
    <row r="70" spans="1:18" ht="15.75">
      <c r="A70" s="123" t="s">
        <v>198</v>
      </c>
      <c r="B70" s="82" t="s">
        <v>199</v>
      </c>
      <c r="C70" s="291">
        <f>+'2 Össz'!E69</f>
        <v>0</v>
      </c>
      <c r="D70" s="92">
        <f>+ROUND($C$70/12,0)</f>
        <v>0</v>
      </c>
      <c r="E70" s="92">
        <f aca="true" t="shared" si="53" ref="E70:O70">+ROUND($C$70/12,0)</f>
        <v>0</v>
      </c>
      <c r="F70" s="92">
        <f t="shared" si="53"/>
        <v>0</v>
      </c>
      <c r="G70" s="92">
        <f t="shared" si="53"/>
        <v>0</v>
      </c>
      <c r="H70" s="92">
        <f t="shared" si="53"/>
        <v>0</v>
      </c>
      <c r="I70" s="92">
        <f t="shared" si="53"/>
        <v>0</v>
      </c>
      <c r="J70" s="92">
        <f t="shared" si="53"/>
        <v>0</v>
      </c>
      <c r="K70" s="92">
        <f t="shared" si="53"/>
        <v>0</v>
      </c>
      <c r="L70" s="92">
        <f t="shared" si="53"/>
        <v>0</v>
      </c>
      <c r="M70" s="92">
        <f t="shared" si="53"/>
        <v>0</v>
      </c>
      <c r="N70" s="92">
        <f t="shared" si="53"/>
        <v>0</v>
      </c>
      <c r="O70" s="92">
        <f t="shared" si="53"/>
        <v>0</v>
      </c>
      <c r="P70" s="302">
        <f t="shared" si="23"/>
        <v>0</v>
      </c>
      <c r="Q70" s="303">
        <f t="shared" si="24"/>
        <v>0</v>
      </c>
      <c r="R70" s="1"/>
    </row>
    <row r="71" spans="1:18" ht="15.75">
      <c r="A71" s="123" t="s">
        <v>200</v>
      </c>
      <c r="B71" s="82" t="s">
        <v>201</v>
      </c>
      <c r="C71" s="291">
        <f>+'2 Össz'!E70</f>
        <v>0</v>
      </c>
      <c r="D71" s="92">
        <f>+ROUND($C$71/12,0)</f>
        <v>0</v>
      </c>
      <c r="E71" s="92">
        <f aca="true" t="shared" si="54" ref="E71:O71">+ROUND($C$71/12,0)</f>
        <v>0</v>
      </c>
      <c r="F71" s="92">
        <f t="shared" si="54"/>
        <v>0</v>
      </c>
      <c r="G71" s="92">
        <f t="shared" si="54"/>
        <v>0</v>
      </c>
      <c r="H71" s="92">
        <f t="shared" si="54"/>
        <v>0</v>
      </c>
      <c r="I71" s="92">
        <f t="shared" si="54"/>
        <v>0</v>
      </c>
      <c r="J71" s="92">
        <f t="shared" si="54"/>
        <v>0</v>
      </c>
      <c r="K71" s="92">
        <f t="shared" si="54"/>
        <v>0</v>
      </c>
      <c r="L71" s="92">
        <f t="shared" si="54"/>
        <v>0</v>
      </c>
      <c r="M71" s="92">
        <f t="shared" si="54"/>
        <v>0</v>
      </c>
      <c r="N71" s="92">
        <f t="shared" si="54"/>
        <v>0</v>
      </c>
      <c r="O71" s="92">
        <f t="shared" si="54"/>
        <v>0</v>
      </c>
      <c r="P71" s="302">
        <f t="shared" si="23"/>
        <v>0</v>
      </c>
      <c r="Q71" s="303">
        <f t="shared" si="24"/>
        <v>0</v>
      </c>
      <c r="R71" s="1"/>
    </row>
    <row r="72" spans="1:18" ht="15.75">
      <c r="A72" s="123" t="s">
        <v>202</v>
      </c>
      <c r="B72" s="82" t="s">
        <v>203</v>
      </c>
      <c r="C72" s="291">
        <f>+'2 Össz'!E71</f>
        <v>0</v>
      </c>
      <c r="D72" s="92">
        <f>+ROUND($C$72/12,0)</f>
        <v>0</v>
      </c>
      <c r="E72" s="92">
        <f aca="true" t="shared" si="55" ref="E72:O72">+ROUND($C$72/12,0)</f>
        <v>0</v>
      </c>
      <c r="F72" s="92">
        <f t="shared" si="55"/>
        <v>0</v>
      </c>
      <c r="G72" s="92">
        <f t="shared" si="55"/>
        <v>0</v>
      </c>
      <c r="H72" s="92">
        <f t="shared" si="55"/>
        <v>0</v>
      </c>
      <c r="I72" s="92">
        <f t="shared" si="55"/>
        <v>0</v>
      </c>
      <c r="J72" s="92">
        <f t="shared" si="55"/>
        <v>0</v>
      </c>
      <c r="K72" s="92">
        <f t="shared" si="55"/>
        <v>0</v>
      </c>
      <c r="L72" s="92">
        <f t="shared" si="55"/>
        <v>0</v>
      </c>
      <c r="M72" s="92">
        <f t="shared" si="55"/>
        <v>0</v>
      </c>
      <c r="N72" s="92">
        <f t="shared" si="55"/>
        <v>0</v>
      </c>
      <c r="O72" s="92">
        <f t="shared" si="55"/>
        <v>0</v>
      </c>
      <c r="P72" s="302">
        <f t="shared" si="23"/>
        <v>0</v>
      </c>
      <c r="Q72" s="303">
        <f t="shared" si="24"/>
        <v>0</v>
      </c>
      <c r="R72" s="1"/>
    </row>
    <row r="73" spans="1:18" s="296" customFormat="1" ht="15.75">
      <c r="A73" s="337" t="s">
        <v>431</v>
      </c>
      <c r="B73" s="255" t="s">
        <v>204</v>
      </c>
      <c r="C73" s="294">
        <f>+'2 Össz'!E72</f>
        <v>94448</v>
      </c>
      <c r="D73" s="301">
        <f>+D72+D71+D70+D69+D68+D67+D66+D61</f>
        <v>1868</v>
      </c>
      <c r="E73" s="301">
        <f aca="true" t="shared" si="56" ref="E73:O73">+E72+E71+E70+E69+E68+E67+E66+E61</f>
        <v>0</v>
      </c>
      <c r="F73" s="301">
        <f t="shared" si="56"/>
        <v>0</v>
      </c>
      <c r="G73" s="301">
        <f t="shared" si="56"/>
        <v>0</v>
      </c>
      <c r="H73" s="301">
        <f t="shared" si="56"/>
        <v>0</v>
      </c>
      <c r="I73" s="301">
        <f t="shared" si="56"/>
        <v>0</v>
      </c>
      <c r="J73" s="301">
        <f t="shared" si="56"/>
        <v>682</v>
      </c>
      <c r="K73" s="301">
        <f t="shared" si="56"/>
        <v>682</v>
      </c>
      <c r="L73" s="301">
        <f t="shared" si="56"/>
        <v>682</v>
      </c>
      <c r="M73" s="301">
        <f t="shared" si="56"/>
        <v>682</v>
      </c>
      <c r="N73" s="301">
        <f t="shared" si="56"/>
        <v>682</v>
      </c>
      <c r="O73" s="301">
        <f t="shared" si="56"/>
        <v>89170</v>
      </c>
      <c r="P73" s="305">
        <f t="shared" si="23"/>
        <v>94448</v>
      </c>
      <c r="Q73" s="306">
        <f t="shared" si="24"/>
        <v>0</v>
      </c>
      <c r="R73" s="295"/>
    </row>
    <row r="74" spans="1:18" ht="15.75">
      <c r="A74" s="125" t="s">
        <v>547</v>
      </c>
      <c r="B74" s="90" t="s">
        <v>214</v>
      </c>
      <c r="C74" s="291">
        <f>+'2 Össz'!E73</f>
        <v>0</v>
      </c>
      <c r="D74" s="92">
        <f>+ROUND($C$74/12,0)</f>
        <v>0</v>
      </c>
      <c r="E74" s="92">
        <f aca="true" t="shared" si="57" ref="E74:O74">+ROUND($C$74/12,0)</f>
        <v>0</v>
      </c>
      <c r="F74" s="92">
        <f t="shared" si="57"/>
        <v>0</v>
      </c>
      <c r="G74" s="92">
        <f t="shared" si="57"/>
        <v>0</v>
      </c>
      <c r="H74" s="92">
        <f t="shared" si="57"/>
        <v>0</v>
      </c>
      <c r="I74" s="92">
        <f t="shared" si="57"/>
        <v>0</v>
      </c>
      <c r="J74" s="92">
        <f t="shared" si="57"/>
        <v>0</v>
      </c>
      <c r="K74" s="92">
        <f t="shared" si="57"/>
        <v>0</v>
      </c>
      <c r="L74" s="92">
        <f t="shared" si="57"/>
        <v>0</v>
      </c>
      <c r="M74" s="92">
        <f t="shared" si="57"/>
        <v>0</v>
      </c>
      <c r="N74" s="92">
        <f t="shared" si="57"/>
        <v>0</v>
      </c>
      <c r="O74" s="92">
        <f t="shared" si="57"/>
        <v>0</v>
      </c>
      <c r="P74" s="302">
        <f t="shared" si="23"/>
        <v>0</v>
      </c>
      <c r="Q74" s="303">
        <f t="shared" si="24"/>
        <v>0</v>
      </c>
      <c r="R74" s="1"/>
    </row>
    <row r="75" spans="1:18" ht="15.75">
      <c r="A75" s="80" t="s">
        <v>215</v>
      </c>
      <c r="B75" s="82" t="s">
        <v>216</v>
      </c>
      <c r="C75" s="291">
        <f>+'2 Össz'!E74</f>
        <v>0</v>
      </c>
      <c r="D75" s="92">
        <f>+ROUND($C$75/12,0)</f>
        <v>0</v>
      </c>
      <c r="E75" s="92">
        <f aca="true" t="shared" si="58" ref="E75:O75">+ROUND($C$75/12,0)</f>
        <v>0</v>
      </c>
      <c r="F75" s="92">
        <f t="shared" si="58"/>
        <v>0</v>
      </c>
      <c r="G75" s="92">
        <f t="shared" si="58"/>
        <v>0</v>
      </c>
      <c r="H75" s="92">
        <f t="shared" si="58"/>
        <v>0</v>
      </c>
      <c r="I75" s="92">
        <f t="shared" si="58"/>
        <v>0</v>
      </c>
      <c r="J75" s="92">
        <f t="shared" si="58"/>
        <v>0</v>
      </c>
      <c r="K75" s="92">
        <f t="shared" si="58"/>
        <v>0</v>
      </c>
      <c r="L75" s="92">
        <f t="shared" si="58"/>
        <v>0</v>
      </c>
      <c r="M75" s="92">
        <f t="shared" si="58"/>
        <v>0</v>
      </c>
      <c r="N75" s="92">
        <f t="shared" si="58"/>
        <v>0</v>
      </c>
      <c r="O75" s="92">
        <f t="shared" si="58"/>
        <v>0</v>
      </c>
      <c r="P75" s="302">
        <f t="shared" si="23"/>
        <v>0</v>
      </c>
      <c r="Q75" s="303">
        <f t="shared" si="24"/>
        <v>0</v>
      </c>
      <c r="R75" s="1"/>
    </row>
    <row r="76" spans="1:18" s="296" customFormat="1" ht="15.75">
      <c r="A76" s="299" t="s">
        <v>517</v>
      </c>
      <c r="B76" s="300" t="s">
        <v>217</v>
      </c>
      <c r="C76" s="294">
        <f>+'2 Össz'!E75</f>
        <v>94448</v>
      </c>
      <c r="D76" s="301">
        <f>+D75+D74+D73</f>
        <v>1868</v>
      </c>
      <c r="E76" s="301">
        <f aca="true" t="shared" si="59" ref="E76:O76">+E75+E74+E73</f>
        <v>0</v>
      </c>
      <c r="F76" s="301">
        <f t="shared" si="59"/>
        <v>0</v>
      </c>
      <c r="G76" s="301">
        <f t="shared" si="59"/>
        <v>0</v>
      </c>
      <c r="H76" s="301">
        <f t="shared" si="59"/>
        <v>0</v>
      </c>
      <c r="I76" s="301">
        <f t="shared" si="59"/>
        <v>0</v>
      </c>
      <c r="J76" s="301">
        <f t="shared" si="59"/>
        <v>682</v>
      </c>
      <c r="K76" s="301">
        <f t="shared" si="59"/>
        <v>682</v>
      </c>
      <c r="L76" s="301">
        <f t="shared" si="59"/>
        <v>682</v>
      </c>
      <c r="M76" s="301">
        <f t="shared" si="59"/>
        <v>682</v>
      </c>
      <c r="N76" s="301">
        <f t="shared" si="59"/>
        <v>682</v>
      </c>
      <c r="O76" s="301">
        <f t="shared" si="59"/>
        <v>89170</v>
      </c>
      <c r="P76" s="302">
        <f t="shared" si="23"/>
        <v>94448</v>
      </c>
      <c r="Q76" s="303">
        <f t="shared" si="24"/>
        <v>0</v>
      </c>
      <c r="R76" s="295"/>
    </row>
    <row r="77" spans="1:18" s="296" customFormat="1" ht="15.75">
      <c r="A77" s="259" t="s">
        <v>771</v>
      </c>
      <c r="B77" s="259" t="s">
        <v>671</v>
      </c>
      <c r="C77" s="294">
        <f>+'2 Össz'!E76</f>
        <v>3607777</v>
      </c>
      <c r="D77" s="262">
        <f>+D57+D76</f>
        <v>247278</v>
      </c>
      <c r="E77" s="262">
        <f aca="true" t="shared" si="60" ref="E77:O77">+E57+E76</f>
        <v>245410</v>
      </c>
      <c r="F77" s="262">
        <f t="shared" si="60"/>
        <v>372414</v>
      </c>
      <c r="G77" s="262">
        <f t="shared" si="60"/>
        <v>251606</v>
      </c>
      <c r="H77" s="262">
        <f t="shared" si="60"/>
        <v>299396</v>
      </c>
      <c r="I77" s="262">
        <f t="shared" si="60"/>
        <v>250540</v>
      </c>
      <c r="J77" s="262">
        <f t="shared" si="60"/>
        <v>316818</v>
      </c>
      <c r="K77" s="262">
        <f t="shared" si="60"/>
        <v>246092</v>
      </c>
      <c r="L77" s="262">
        <f t="shared" si="60"/>
        <v>246092</v>
      </c>
      <c r="M77" s="262">
        <f t="shared" si="60"/>
        <v>313692</v>
      </c>
      <c r="N77" s="262">
        <f t="shared" si="60"/>
        <v>439426</v>
      </c>
      <c r="O77" s="262">
        <f t="shared" si="60"/>
        <v>379013</v>
      </c>
      <c r="P77" s="302">
        <f t="shared" si="23"/>
        <v>3607777</v>
      </c>
      <c r="Q77" s="303">
        <f t="shared" si="24"/>
        <v>0</v>
      </c>
      <c r="R77" s="295"/>
    </row>
    <row r="78" spans="1:18" ht="15.75">
      <c r="A78" s="4"/>
      <c r="B78" s="73"/>
      <c r="C78" s="291"/>
      <c r="D78" s="9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02"/>
      <c r="Q78" s="303"/>
      <c r="R78" s="1"/>
    </row>
    <row r="79" spans="1:18" s="309" customFormat="1" ht="31.5">
      <c r="A79" s="72" t="s">
        <v>76</v>
      </c>
      <c r="B79" s="79" t="s">
        <v>77</v>
      </c>
      <c r="C79" s="79" t="s">
        <v>36</v>
      </c>
      <c r="D79" s="307" t="s">
        <v>721</v>
      </c>
      <c r="E79" s="307" t="s">
        <v>722</v>
      </c>
      <c r="F79" s="307" t="s">
        <v>723</v>
      </c>
      <c r="G79" s="307" t="s">
        <v>724</v>
      </c>
      <c r="H79" s="307" t="s">
        <v>725</v>
      </c>
      <c r="I79" s="307" t="s">
        <v>726</v>
      </c>
      <c r="J79" s="307" t="s">
        <v>727</v>
      </c>
      <c r="K79" s="307" t="s">
        <v>728</v>
      </c>
      <c r="L79" s="307" t="s">
        <v>729</v>
      </c>
      <c r="M79" s="307" t="s">
        <v>730</v>
      </c>
      <c r="N79" s="307" t="s">
        <v>731</v>
      </c>
      <c r="O79" s="307" t="s">
        <v>732</v>
      </c>
      <c r="P79" s="307" t="s">
        <v>813</v>
      </c>
      <c r="Q79" s="308"/>
      <c r="R79" s="308"/>
    </row>
    <row r="80" spans="1:18" ht="15.75">
      <c r="A80" s="106" t="s">
        <v>218</v>
      </c>
      <c r="B80" s="81" t="s">
        <v>219</v>
      </c>
      <c r="C80" s="291">
        <f>+'2 Össz'!E80</f>
        <v>228421</v>
      </c>
      <c r="D80" s="92">
        <f>+ROUND($C$80*0.12,0)</f>
        <v>27411</v>
      </c>
      <c r="E80" s="92">
        <f aca="true" t="shared" si="61" ref="E80:N80">+ROUND($C$80*0.08,0)</f>
        <v>18274</v>
      </c>
      <c r="F80" s="92">
        <f t="shared" si="61"/>
        <v>18274</v>
      </c>
      <c r="G80" s="92">
        <f t="shared" si="61"/>
        <v>18274</v>
      </c>
      <c r="H80" s="92">
        <f t="shared" si="61"/>
        <v>18274</v>
      </c>
      <c r="I80" s="92">
        <f t="shared" si="61"/>
        <v>18274</v>
      </c>
      <c r="J80" s="92">
        <f t="shared" si="61"/>
        <v>18274</v>
      </c>
      <c r="K80" s="92">
        <f t="shared" si="61"/>
        <v>18274</v>
      </c>
      <c r="L80" s="92">
        <f t="shared" si="61"/>
        <v>18274</v>
      </c>
      <c r="M80" s="92">
        <f t="shared" si="61"/>
        <v>18274</v>
      </c>
      <c r="N80" s="92">
        <f t="shared" si="61"/>
        <v>18274</v>
      </c>
      <c r="O80" s="92">
        <f>+ROUND($C$80*0.08,0)-4</f>
        <v>18270</v>
      </c>
      <c r="P80" s="310">
        <f t="shared" si="23"/>
        <v>228421</v>
      </c>
      <c r="Q80" s="303">
        <f t="shared" si="24"/>
        <v>0</v>
      </c>
      <c r="R80" s="1"/>
    </row>
    <row r="81" spans="1:18" ht="15.75">
      <c r="A81" s="82" t="s">
        <v>220</v>
      </c>
      <c r="B81" s="81" t="s">
        <v>221</v>
      </c>
      <c r="C81" s="291">
        <f>+'2 Össz'!E81</f>
        <v>171460</v>
      </c>
      <c r="D81" s="92">
        <f>+ROUND($C$81*0.12,0)</f>
        <v>20575</v>
      </c>
      <c r="E81" s="92">
        <f aca="true" t="shared" si="62" ref="E81:N81">+ROUND($C$81*0.08,0)</f>
        <v>13717</v>
      </c>
      <c r="F81" s="92">
        <f t="shared" si="62"/>
        <v>13717</v>
      </c>
      <c r="G81" s="92">
        <f t="shared" si="62"/>
        <v>13717</v>
      </c>
      <c r="H81" s="92">
        <f t="shared" si="62"/>
        <v>13717</v>
      </c>
      <c r="I81" s="92">
        <f t="shared" si="62"/>
        <v>13717</v>
      </c>
      <c r="J81" s="92">
        <f t="shared" si="62"/>
        <v>13717</v>
      </c>
      <c r="K81" s="92">
        <f t="shared" si="62"/>
        <v>13717</v>
      </c>
      <c r="L81" s="92">
        <f t="shared" si="62"/>
        <v>13717</v>
      </c>
      <c r="M81" s="92">
        <f t="shared" si="62"/>
        <v>13717</v>
      </c>
      <c r="N81" s="92">
        <f t="shared" si="62"/>
        <v>13717</v>
      </c>
      <c r="O81" s="92">
        <f>+ROUND($C$81*0.08,0)-2</f>
        <v>13715</v>
      </c>
      <c r="P81" s="310">
        <f t="shared" si="23"/>
        <v>171460</v>
      </c>
      <c r="Q81" s="303">
        <f t="shared" si="24"/>
        <v>0</v>
      </c>
      <c r="R81" s="1"/>
    </row>
    <row r="82" spans="1:18" ht="15.75">
      <c r="A82" s="82" t="s">
        <v>222</v>
      </c>
      <c r="B82" s="81" t="s">
        <v>223</v>
      </c>
      <c r="C82" s="291">
        <f>+'2 Össz'!E82</f>
        <v>612676</v>
      </c>
      <c r="D82" s="92">
        <f>+ROUND($C$82*0.12,0)</f>
        <v>73521</v>
      </c>
      <c r="E82" s="92">
        <f aca="true" t="shared" si="63" ref="E82:N82">+ROUND($C$82*0.08,0)</f>
        <v>49014</v>
      </c>
      <c r="F82" s="92">
        <f t="shared" si="63"/>
        <v>49014</v>
      </c>
      <c r="G82" s="92">
        <f t="shared" si="63"/>
        <v>49014</v>
      </c>
      <c r="H82" s="92">
        <f t="shared" si="63"/>
        <v>49014</v>
      </c>
      <c r="I82" s="92">
        <f t="shared" si="63"/>
        <v>49014</v>
      </c>
      <c r="J82" s="92">
        <f t="shared" si="63"/>
        <v>49014</v>
      </c>
      <c r="K82" s="92">
        <f t="shared" si="63"/>
        <v>49014</v>
      </c>
      <c r="L82" s="92">
        <f t="shared" si="63"/>
        <v>49014</v>
      </c>
      <c r="M82" s="92">
        <f t="shared" si="63"/>
        <v>49014</v>
      </c>
      <c r="N82" s="92">
        <f t="shared" si="63"/>
        <v>49014</v>
      </c>
      <c r="O82" s="92">
        <f>+ROUND($C$82*0.08,0)+1</f>
        <v>49015</v>
      </c>
      <c r="P82" s="310">
        <f t="shared" si="23"/>
        <v>612676</v>
      </c>
      <c r="Q82" s="303">
        <f t="shared" si="24"/>
        <v>0</v>
      </c>
      <c r="R82" s="1"/>
    </row>
    <row r="83" spans="1:18" ht="15.75">
      <c r="A83" s="82" t="s">
        <v>224</v>
      </c>
      <c r="B83" s="81" t="s">
        <v>225</v>
      </c>
      <c r="C83" s="291">
        <f>+'2 Össz'!E83</f>
        <v>13093</v>
      </c>
      <c r="D83" s="92">
        <f>+ROUND($C$83*0.12,0)</f>
        <v>1571</v>
      </c>
      <c r="E83" s="92">
        <f aca="true" t="shared" si="64" ref="E83:N83">+ROUND($C$83*0.08,0)</f>
        <v>1047</v>
      </c>
      <c r="F83" s="92">
        <f t="shared" si="64"/>
        <v>1047</v>
      </c>
      <c r="G83" s="92">
        <f t="shared" si="64"/>
        <v>1047</v>
      </c>
      <c r="H83" s="92">
        <f t="shared" si="64"/>
        <v>1047</v>
      </c>
      <c r="I83" s="92">
        <f t="shared" si="64"/>
        <v>1047</v>
      </c>
      <c r="J83" s="92">
        <f t="shared" si="64"/>
        <v>1047</v>
      </c>
      <c r="K83" s="92">
        <f t="shared" si="64"/>
        <v>1047</v>
      </c>
      <c r="L83" s="92">
        <f t="shared" si="64"/>
        <v>1047</v>
      </c>
      <c r="M83" s="92">
        <f t="shared" si="64"/>
        <v>1047</v>
      </c>
      <c r="N83" s="92">
        <f t="shared" si="64"/>
        <v>1047</v>
      </c>
      <c r="O83" s="92">
        <f>+ROUND($C$83*0.08,0)+5</f>
        <v>1052</v>
      </c>
      <c r="P83" s="310">
        <f t="shared" si="23"/>
        <v>13093</v>
      </c>
      <c r="Q83" s="303">
        <f t="shared" si="24"/>
        <v>0</v>
      </c>
      <c r="R83" s="1"/>
    </row>
    <row r="84" spans="1:18" ht="15.75">
      <c r="A84" s="82" t="s">
        <v>226</v>
      </c>
      <c r="B84" s="81" t="s">
        <v>227</v>
      </c>
      <c r="C84" s="291">
        <f>+'2 Össz'!E84</f>
        <v>0</v>
      </c>
      <c r="D84" s="92">
        <f>+ROUND($C$84/12,0)</f>
        <v>0</v>
      </c>
      <c r="E84" s="92">
        <f aca="true" t="shared" si="65" ref="E84:O84">+ROUND($C$84/12,0)</f>
        <v>0</v>
      </c>
      <c r="F84" s="92">
        <f t="shared" si="65"/>
        <v>0</v>
      </c>
      <c r="G84" s="92">
        <f t="shared" si="65"/>
        <v>0</v>
      </c>
      <c r="H84" s="92">
        <f t="shared" si="65"/>
        <v>0</v>
      </c>
      <c r="I84" s="92">
        <f t="shared" si="65"/>
        <v>0</v>
      </c>
      <c r="J84" s="92">
        <f t="shared" si="65"/>
        <v>0</v>
      </c>
      <c r="K84" s="92">
        <f t="shared" si="65"/>
        <v>0</v>
      </c>
      <c r="L84" s="92">
        <f t="shared" si="65"/>
        <v>0</v>
      </c>
      <c r="M84" s="92">
        <f t="shared" si="65"/>
        <v>0</v>
      </c>
      <c r="N84" s="92">
        <f t="shared" si="65"/>
        <v>0</v>
      </c>
      <c r="O84" s="92">
        <f t="shared" si="65"/>
        <v>0</v>
      </c>
      <c r="P84" s="310">
        <f t="shared" si="23"/>
        <v>0</v>
      </c>
      <c r="Q84" s="303">
        <f t="shared" si="24"/>
        <v>0</v>
      </c>
      <c r="R84" s="1"/>
    </row>
    <row r="85" spans="1:18" ht="15.75">
      <c r="A85" s="82" t="s">
        <v>228</v>
      </c>
      <c r="B85" s="81" t="s">
        <v>229</v>
      </c>
      <c r="C85" s="291">
        <f>+'2 Össz'!E85</f>
        <v>247967</v>
      </c>
      <c r="D85" s="92"/>
      <c r="E85" s="92"/>
      <c r="F85" s="92"/>
      <c r="G85" s="92"/>
      <c r="H85" s="92"/>
      <c r="I85" s="92"/>
      <c r="J85" s="92">
        <v>127161</v>
      </c>
      <c r="K85" s="92"/>
      <c r="L85" s="92"/>
      <c r="M85" s="92"/>
      <c r="N85" s="92"/>
      <c r="O85" s="92">
        <v>120806</v>
      </c>
      <c r="P85" s="310">
        <f t="shared" si="23"/>
        <v>247967</v>
      </c>
      <c r="Q85" s="303">
        <f t="shared" si="24"/>
        <v>0</v>
      </c>
      <c r="R85" s="1"/>
    </row>
    <row r="86" spans="1:18" s="296" customFormat="1" ht="15.75">
      <c r="A86" s="255" t="s">
        <v>809</v>
      </c>
      <c r="B86" s="256" t="s">
        <v>230</v>
      </c>
      <c r="C86" s="294">
        <f>+'2 Össz'!E86</f>
        <v>1273617</v>
      </c>
      <c r="D86" s="262">
        <f>SUM(D80:D85)</f>
        <v>123078</v>
      </c>
      <c r="E86" s="262">
        <f aca="true" t="shared" si="66" ref="E86:O86">SUM(E80:E85)</f>
        <v>82052</v>
      </c>
      <c r="F86" s="262">
        <f t="shared" si="66"/>
        <v>82052</v>
      </c>
      <c r="G86" s="262">
        <f t="shared" si="66"/>
        <v>82052</v>
      </c>
      <c r="H86" s="262">
        <f t="shared" si="66"/>
        <v>82052</v>
      </c>
      <c r="I86" s="262">
        <f t="shared" si="66"/>
        <v>82052</v>
      </c>
      <c r="J86" s="262">
        <f t="shared" si="66"/>
        <v>209213</v>
      </c>
      <c r="K86" s="262">
        <f t="shared" si="66"/>
        <v>82052</v>
      </c>
      <c r="L86" s="262">
        <f t="shared" si="66"/>
        <v>82052</v>
      </c>
      <c r="M86" s="262">
        <f t="shared" si="66"/>
        <v>82052</v>
      </c>
      <c r="N86" s="262">
        <f t="shared" si="66"/>
        <v>82052</v>
      </c>
      <c r="O86" s="262">
        <f t="shared" si="66"/>
        <v>202858</v>
      </c>
      <c r="P86" s="305">
        <f t="shared" si="23"/>
        <v>1273617</v>
      </c>
      <c r="Q86" s="306">
        <f t="shared" si="24"/>
        <v>0</v>
      </c>
      <c r="R86" s="295"/>
    </row>
    <row r="87" spans="1:18" ht="15.75">
      <c r="A87" s="82" t="s">
        <v>231</v>
      </c>
      <c r="B87" s="81" t="s">
        <v>232</v>
      </c>
      <c r="C87" s="291">
        <f>+'2 Össz'!E87</f>
        <v>0</v>
      </c>
      <c r="D87" s="9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02">
        <f t="shared" si="23"/>
        <v>0</v>
      </c>
      <c r="Q87" s="303">
        <f t="shared" si="24"/>
        <v>0</v>
      </c>
      <c r="R87" s="1"/>
    </row>
    <row r="88" spans="1:18" ht="15.75">
      <c r="A88" s="82" t="s">
        <v>768</v>
      </c>
      <c r="B88" s="81" t="s">
        <v>233</v>
      </c>
      <c r="C88" s="291">
        <f>+'2 Össz'!E88</f>
        <v>0</v>
      </c>
      <c r="D88" s="9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02">
        <f t="shared" si="23"/>
        <v>0</v>
      </c>
      <c r="Q88" s="303">
        <f t="shared" si="24"/>
        <v>0</v>
      </c>
      <c r="R88" s="1"/>
    </row>
    <row r="89" spans="1:18" ht="15.75">
      <c r="A89" s="82" t="s">
        <v>766</v>
      </c>
      <c r="B89" s="81" t="s">
        <v>234</v>
      </c>
      <c r="C89" s="291">
        <f>+'2 Össz'!E89</f>
        <v>0</v>
      </c>
      <c r="D89" s="9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02">
        <f t="shared" si="23"/>
        <v>0</v>
      </c>
      <c r="Q89" s="303">
        <f t="shared" si="24"/>
        <v>0</v>
      </c>
      <c r="R89" s="1"/>
    </row>
    <row r="90" spans="1:18" ht="15.75">
      <c r="A90" s="82" t="s">
        <v>767</v>
      </c>
      <c r="B90" s="81" t="s">
        <v>235</v>
      </c>
      <c r="C90" s="291">
        <f>+'2 Össz'!E90</f>
        <v>0</v>
      </c>
      <c r="D90" s="9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02">
        <f t="shared" si="23"/>
        <v>0</v>
      </c>
      <c r="Q90" s="303">
        <f t="shared" si="24"/>
        <v>0</v>
      </c>
      <c r="R90" s="1"/>
    </row>
    <row r="91" spans="1:18" ht="15.75">
      <c r="A91" s="82" t="s">
        <v>572</v>
      </c>
      <c r="B91" s="81" t="s">
        <v>236</v>
      </c>
      <c r="C91" s="291">
        <f>+'2 Össz'!E91</f>
        <v>664233</v>
      </c>
      <c r="D91" s="92">
        <v>13350</v>
      </c>
      <c r="E91" s="92">
        <f>13350</f>
        <v>13350</v>
      </c>
      <c r="F91" s="92">
        <f>13350+14600+117309</f>
        <v>145259</v>
      </c>
      <c r="G91" s="92">
        <f>13350+25400+14600-10000</f>
        <v>43350</v>
      </c>
      <c r="H91" s="92">
        <f>13350+14600</f>
        <v>27950</v>
      </c>
      <c r="I91" s="92">
        <f>13350+14600</f>
        <v>27950</v>
      </c>
      <c r="J91" s="92">
        <f>13350+4995+14600-10000</f>
        <v>22945</v>
      </c>
      <c r="K91" s="92">
        <f>13350+14600</f>
        <v>27950</v>
      </c>
      <c r="L91" s="92">
        <f>13350+37680+14600-45000</f>
        <v>20630</v>
      </c>
      <c r="M91" s="92">
        <f>13350+14600</f>
        <v>27950</v>
      </c>
      <c r="N91" s="92">
        <f>13350+139995+14600+45000+20000</f>
        <v>232945</v>
      </c>
      <c r="O91" s="92">
        <f>13350+150000+14563-117309</f>
        <v>60604</v>
      </c>
      <c r="P91" s="310">
        <f aca="true" t="shared" si="67" ref="P91:P149">SUM(D91:O91)</f>
        <v>664233</v>
      </c>
      <c r="Q91" s="303">
        <f aca="true" t="shared" si="68" ref="Q91:Q149">+P91-C91</f>
        <v>0</v>
      </c>
      <c r="R91" s="1"/>
    </row>
    <row r="92" spans="1:18" s="296" customFormat="1" ht="15.75">
      <c r="A92" s="255" t="s">
        <v>527</v>
      </c>
      <c r="B92" s="256" t="s">
        <v>237</v>
      </c>
      <c r="C92" s="294">
        <f>+'2 Össz'!E92</f>
        <v>1937850</v>
      </c>
      <c r="D92" s="262">
        <f>+D91+D90+D89+D88+D87+D86</f>
        <v>136428</v>
      </c>
      <c r="E92" s="262">
        <f aca="true" t="shared" si="69" ref="E92:O92">+E91+E90+E89+E88+E87+E86</f>
        <v>95402</v>
      </c>
      <c r="F92" s="262">
        <f t="shared" si="69"/>
        <v>227311</v>
      </c>
      <c r="G92" s="262">
        <f t="shared" si="69"/>
        <v>125402</v>
      </c>
      <c r="H92" s="262">
        <f t="shared" si="69"/>
        <v>110002</v>
      </c>
      <c r="I92" s="262">
        <f t="shared" si="69"/>
        <v>110002</v>
      </c>
      <c r="J92" s="262">
        <f t="shared" si="69"/>
        <v>232158</v>
      </c>
      <c r="K92" s="262">
        <f t="shared" si="69"/>
        <v>110002</v>
      </c>
      <c r="L92" s="262">
        <f t="shared" si="69"/>
        <v>102682</v>
      </c>
      <c r="M92" s="262">
        <f t="shared" si="69"/>
        <v>110002</v>
      </c>
      <c r="N92" s="262">
        <f t="shared" si="69"/>
        <v>314997</v>
      </c>
      <c r="O92" s="262">
        <f t="shared" si="69"/>
        <v>263462</v>
      </c>
      <c r="P92" s="302">
        <f t="shared" si="67"/>
        <v>1937850</v>
      </c>
      <c r="Q92" s="303">
        <f t="shared" si="68"/>
        <v>0</v>
      </c>
      <c r="R92" s="295"/>
    </row>
    <row r="93" spans="1:18" s="354" customFormat="1" ht="15.75">
      <c r="A93" s="90" t="s">
        <v>622</v>
      </c>
      <c r="B93" s="83" t="s">
        <v>242</v>
      </c>
      <c r="C93" s="291">
        <f>+'2 Össz'!E93</f>
        <v>531264</v>
      </c>
      <c r="D93" s="181">
        <f>+ROUND($C$93/12,0)</f>
        <v>44272</v>
      </c>
      <c r="E93" s="181">
        <f aca="true" t="shared" si="70" ref="E93:O93">+ROUND($C$93/12,0)</f>
        <v>44272</v>
      </c>
      <c r="F93" s="181">
        <f t="shared" si="70"/>
        <v>44272</v>
      </c>
      <c r="G93" s="181">
        <f t="shared" si="70"/>
        <v>44272</v>
      </c>
      <c r="H93" s="181">
        <f t="shared" si="70"/>
        <v>44272</v>
      </c>
      <c r="I93" s="181">
        <f>+ROUND($C$93/12,0)-3000</f>
        <v>41272</v>
      </c>
      <c r="J93" s="181">
        <f t="shared" si="70"/>
        <v>44272</v>
      </c>
      <c r="K93" s="181">
        <f>+ROUND($C$93/12,0)+3000</f>
        <v>47272</v>
      </c>
      <c r="L93" s="181">
        <f t="shared" si="70"/>
        <v>44272</v>
      </c>
      <c r="M93" s="181">
        <f t="shared" si="70"/>
        <v>44272</v>
      </c>
      <c r="N93" s="181">
        <f t="shared" si="70"/>
        <v>44272</v>
      </c>
      <c r="O93" s="181">
        <f t="shared" si="70"/>
        <v>44272</v>
      </c>
      <c r="P93" s="351">
        <f t="shared" si="67"/>
        <v>531264</v>
      </c>
      <c r="Q93" s="352">
        <f t="shared" si="68"/>
        <v>0</v>
      </c>
      <c r="R93" s="353"/>
    </row>
    <row r="94" spans="1:18" ht="15.75">
      <c r="A94" s="82" t="s">
        <v>623</v>
      </c>
      <c r="B94" s="81" t="s">
        <v>243</v>
      </c>
      <c r="C94" s="291">
        <f>+'2 Össz'!E94</f>
        <v>0</v>
      </c>
      <c r="D94" s="9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02">
        <f t="shared" si="67"/>
        <v>0</v>
      </c>
      <c r="Q94" s="303">
        <f t="shared" si="68"/>
        <v>0</v>
      </c>
      <c r="R94" s="1"/>
    </row>
    <row r="95" spans="1:18" ht="15.75">
      <c r="A95" s="82" t="s">
        <v>573</v>
      </c>
      <c r="B95" s="81" t="s">
        <v>244</v>
      </c>
      <c r="C95" s="291">
        <f>+'2 Össz'!E95</f>
        <v>0</v>
      </c>
      <c r="D95" s="9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02">
        <f t="shared" si="67"/>
        <v>0</v>
      </c>
      <c r="Q95" s="303">
        <f t="shared" si="68"/>
        <v>0</v>
      </c>
      <c r="R95" s="1"/>
    </row>
    <row r="96" spans="1:18" ht="15.75">
      <c r="A96" s="82" t="s">
        <v>574</v>
      </c>
      <c r="B96" s="81" t="s">
        <v>245</v>
      </c>
      <c r="C96" s="291">
        <f>+'2 Össz'!E96</f>
        <v>0</v>
      </c>
      <c r="D96" s="9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02">
        <f t="shared" si="67"/>
        <v>0</v>
      </c>
      <c r="Q96" s="303">
        <f t="shared" si="68"/>
        <v>0</v>
      </c>
      <c r="R96" s="1"/>
    </row>
    <row r="97" spans="1:18" ht="15.75">
      <c r="A97" s="82" t="s">
        <v>575</v>
      </c>
      <c r="B97" s="81" t="s">
        <v>246</v>
      </c>
      <c r="C97" s="291">
        <f>+'2 Össz'!E97</f>
        <v>96750</v>
      </c>
      <c r="D97" s="92"/>
      <c r="E97" s="92">
        <f>+ROUND($C$97/12,0)*2</f>
        <v>16126</v>
      </c>
      <c r="F97" s="92">
        <f>+ROUND($C$97/12,0)*2</f>
        <v>16126</v>
      </c>
      <c r="G97" s="92">
        <f>+ROUND($C$97/12,0)</f>
        <v>8063</v>
      </c>
      <c r="H97" s="92">
        <f>+ROUND($C$97/12,0)</f>
        <v>8063</v>
      </c>
      <c r="I97" s="92">
        <f>+ROUND($C$97/12,0)*2</f>
        <v>16126</v>
      </c>
      <c r="J97" s="92"/>
      <c r="K97" s="92"/>
      <c r="L97" s="92">
        <f>+ROUND($C$97/12,0)*2</f>
        <v>16126</v>
      </c>
      <c r="M97" s="92">
        <f>+ROUND($C$97/12,0)</f>
        <v>8063</v>
      </c>
      <c r="N97" s="92"/>
      <c r="O97" s="92">
        <f>+ROUND($C$97/12,0)-6</f>
        <v>8057</v>
      </c>
      <c r="P97" s="310">
        <f t="shared" si="67"/>
        <v>96750</v>
      </c>
      <c r="Q97" s="303">
        <f t="shared" si="68"/>
        <v>0</v>
      </c>
      <c r="R97" s="1"/>
    </row>
    <row r="98" spans="1:18" ht="15.75">
      <c r="A98" s="82" t="s">
        <v>624</v>
      </c>
      <c r="B98" s="81" t="s">
        <v>258</v>
      </c>
      <c r="C98" s="291">
        <f>+'2 Össz'!E98</f>
        <v>257450</v>
      </c>
      <c r="D98" s="92"/>
      <c r="E98" s="92">
        <f>+ROUND($C$98/12,0)*2</f>
        <v>42908</v>
      </c>
      <c r="F98" s="92">
        <f>+ROUND($C$98/12,0)*2</f>
        <v>42908</v>
      </c>
      <c r="G98" s="92">
        <f>+ROUND($C$98/12,0)</f>
        <v>21454</v>
      </c>
      <c r="H98" s="92">
        <f>+ROUND($C$98/12,0)</f>
        <v>21454</v>
      </c>
      <c r="I98" s="92">
        <f>+ROUND($C$98/12,0)*2</f>
        <v>42908</v>
      </c>
      <c r="J98" s="92"/>
      <c r="K98" s="92"/>
      <c r="L98" s="92">
        <f>+ROUND($C$98/12,0)*2</f>
        <v>42908</v>
      </c>
      <c r="M98" s="92">
        <f>+ROUND($C$98/12,0)</f>
        <v>21454</v>
      </c>
      <c r="N98" s="92"/>
      <c r="O98" s="92">
        <f>+ROUND($C$98/12,0)+2</f>
        <v>21456</v>
      </c>
      <c r="P98" s="310">
        <f t="shared" si="67"/>
        <v>257450</v>
      </c>
      <c r="Q98" s="303">
        <f t="shared" si="68"/>
        <v>0</v>
      </c>
      <c r="R98" s="1"/>
    </row>
    <row r="99" spans="1:18" ht="15.75">
      <c r="A99" s="82" t="s">
        <v>578</v>
      </c>
      <c r="B99" s="81" t="s">
        <v>259</v>
      </c>
      <c r="C99" s="291">
        <f>+'2 Össz'!E99</f>
        <v>3000</v>
      </c>
      <c r="D99" s="92">
        <f>+ROUND($C$99/12,0)</f>
        <v>250</v>
      </c>
      <c r="E99" s="92">
        <f aca="true" t="shared" si="71" ref="E99:O99">+ROUND($C$99/12,0)</f>
        <v>250</v>
      </c>
      <c r="F99" s="92">
        <f t="shared" si="71"/>
        <v>250</v>
      </c>
      <c r="G99" s="92">
        <f t="shared" si="71"/>
        <v>250</v>
      </c>
      <c r="H99" s="92">
        <f t="shared" si="71"/>
        <v>250</v>
      </c>
      <c r="I99" s="92">
        <f t="shared" si="71"/>
        <v>250</v>
      </c>
      <c r="J99" s="92">
        <f t="shared" si="71"/>
        <v>250</v>
      </c>
      <c r="K99" s="92">
        <f t="shared" si="71"/>
        <v>250</v>
      </c>
      <c r="L99" s="92">
        <f t="shared" si="71"/>
        <v>250</v>
      </c>
      <c r="M99" s="92">
        <f t="shared" si="71"/>
        <v>250</v>
      </c>
      <c r="N99" s="92">
        <f t="shared" si="71"/>
        <v>250</v>
      </c>
      <c r="O99" s="92">
        <f t="shared" si="71"/>
        <v>250</v>
      </c>
      <c r="P99" s="310">
        <f t="shared" si="67"/>
        <v>3000</v>
      </c>
      <c r="Q99" s="303">
        <f t="shared" si="68"/>
        <v>0</v>
      </c>
      <c r="R99" s="1"/>
    </row>
    <row r="100" spans="1:18" s="296" customFormat="1" ht="15.75">
      <c r="A100" s="255" t="s">
        <v>434</v>
      </c>
      <c r="B100" s="256" t="s">
        <v>260</v>
      </c>
      <c r="C100" s="294">
        <f>+'2 Össz'!E100</f>
        <v>357200</v>
      </c>
      <c r="D100" s="262">
        <f>SUM(D94:D99)</f>
        <v>250</v>
      </c>
      <c r="E100" s="262">
        <f aca="true" t="shared" si="72" ref="E100:O100">SUM(E94:E99)</f>
        <v>59284</v>
      </c>
      <c r="F100" s="262">
        <f t="shared" si="72"/>
        <v>59284</v>
      </c>
      <c r="G100" s="262">
        <f t="shared" si="72"/>
        <v>29767</v>
      </c>
      <c r="H100" s="262">
        <f t="shared" si="72"/>
        <v>29767</v>
      </c>
      <c r="I100" s="262">
        <f t="shared" si="72"/>
        <v>59284</v>
      </c>
      <c r="J100" s="262">
        <f t="shared" si="72"/>
        <v>250</v>
      </c>
      <c r="K100" s="262">
        <f t="shared" si="72"/>
        <v>250</v>
      </c>
      <c r="L100" s="262">
        <f t="shared" si="72"/>
        <v>59284</v>
      </c>
      <c r="M100" s="262">
        <f t="shared" si="72"/>
        <v>29767</v>
      </c>
      <c r="N100" s="262">
        <f t="shared" si="72"/>
        <v>250</v>
      </c>
      <c r="O100" s="262">
        <f t="shared" si="72"/>
        <v>29763</v>
      </c>
      <c r="P100" s="302">
        <f t="shared" si="67"/>
        <v>357200</v>
      </c>
      <c r="Q100" s="303">
        <f t="shared" si="68"/>
        <v>0</v>
      </c>
      <c r="R100" s="295"/>
    </row>
    <row r="101" spans="1:18" ht="15.75">
      <c r="A101" s="80" t="s">
        <v>261</v>
      </c>
      <c r="B101" s="81" t="s">
        <v>262</v>
      </c>
      <c r="C101" s="291">
        <f>+'2 Össz'!E101</f>
        <v>19300</v>
      </c>
      <c r="D101" s="92">
        <f>+ROUND($C$101/12,0)</f>
        <v>1608</v>
      </c>
      <c r="E101" s="92">
        <f aca="true" t="shared" si="73" ref="E101:N101">+ROUND($C$101/12,0)</f>
        <v>1608</v>
      </c>
      <c r="F101" s="92">
        <f t="shared" si="73"/>
        <v>1608</v>
      </c>
      <c r="G101" s="92">
        <f t="shared" si="73"/>
        <v>1608</v>
      </c>
      <c r="H101" s="92">
        <f t="shared" si="73"/>
        <v>1608</v>
      </c>
      <c r="I101" s="92">
        <f t="shared" si="73"/>
        <v>1608</v>
      </c>
      <c r="J101" s="92">
        <f t="shared" si="73"/>
        <v>1608</v>
      </c>
      <c r="K101" s="92">
        <f t="shared" si="73"/>
        <v>1608</v>
      </c>
      <c r="L101" s="92">
        <f t="shared" si="73"/>
        <v>1608</v>
      </c>
      <c r="M101" s="92">
        <f t="shared" si="73"/>
        <v>1608</v>
      </c>
      <c r="N101" s="92">
        <f t="shared" si="73"/>
        <v>1608</v>
      </c>
      <c r="O101" s="92">
        <f>+ROUND($C$101/12,0)+4</f>
        <v>1612</v>
      </c>
      <c r="P101" s="310">
        <f t="shared" si="67"/>
        <v>19300</v>
      </c>
      <c r="Q101" s="303">
        <f t="shared" si="68"/>
        <v>0</v>
      </c>
      <c r="R101" s="1"/>
    </row>
    <row r="102" spans="1:18" ht="15.75">
      <c r="A102" s="80" t="s">
        <v>579</v>
      </c>
      <c r="B102" s="81" t="s">
        <v>263</v>
      </c>
      <c r="C102" s="291">
        <f>+'2 Össz'!E102</f>
        <v>235593</v>
      </c>
      <c r="D102" s="92">
        <f>+ROUND($C$102/12,0)</f>
        <v>19633</v>
      </c>
      <c r="E102" s="92">
        <f aca="true" t="shared" si="74" ref="E102:N102">+ROUND($C$102/12,0)</f>
        <v>19633</v>
      </c>
      <c r="F102" s="92">
        <f t="shared" si="74"/>
        <v>19633</v>
      </c>
      <c r="G102" s="92">
        <f t="shared" si="74"/>
        <v>19633</v>
      </c>
      <c r="H102" s="92">
        <f t="shared" si="74"/>
        <v>19633</v>
      </c>
      <c r="I102" s="92">
        <f t="shared" si="74"/>
        <v>19633</v>
      </c>
      <c r="J102" s="92">
        <f t="shared" si="74"/>
        <v>19633</v>
      </c>
      <c r="K102" s="92">
        <f t="shared" si="74"/>
        <v>19633</v>
      </c>
      <c r="L102" s="92">
        <f t="shared" si="74"/>
        <v>19633</v>
      </c>
      <c r="M102" s="92">
        <f t="shared" si="74"/>
        <v>19633</v>
      </c>
      <c r="N102" s="92">
        <f t="shared" si="74"/>
        <v>19633</v>
      </c>
      <c r="O102" s="92">
        <f>+ROUND($C$102/12,0)-3</f>
        <v>19630</v>
      </c>
      <c r="P102" s="310">
        <f>SUM(D102:O102)</f>
        <v>235593</v>
      </c>
      <c r="Q102" s="303">
        <f>+P102-C102</f>
        <v>0</v>
      </c>
      <c r="R102" s="1"/>
    </row>
    <row r="103" spans="1:18" ht="15.75">
      <c r="A103" s="80" t="s">
        <v>580</v>
      </c>
      <c r="B103" s="81" t="s">
        <v>264</v>
      </c>
      <c r="C103" s="291">
        <f>+'2 Össz'!E103</f>
        <v>544</v>
      </c>
      <c r="D103" s="92">
        <f>+ROUND($C$103/12,0)</f>
        <v>45</v>
      </c>
      <c r="E103" s="92">
        <f aca="true" t="shared" si="75" ref="E103:N103">+ROUND($C$103/12,0)</f>
        <v>45</v>
      </c>
      <c r="F103" s="92">
        <f t="shared" si="75"/>
        <v>45</v>
      </c>
      <c r="G103" s="92">
        <f t="shared" si="75"/>
        <v>45</v>
      </c>
      <c r="H103" s="92">
        <f t="shared" si="75"/>
        <v>45</v>
      </c>
      <c r="I103" s="92">
        <f t="shared" si="75"/>
        <v>45</v>
      </c>
      <c r="J103" s="92">
        <f t="shared" si="75"/>
        <v>45</v>
      </c>
      <c r="K103" s="92">
        <f t="shared" si="75"/>
        <v>45</v>
      </c>
      <c r="L103" s="92">
        <f t="shared" si="75"/>
        <v>45</v>
      </c>
      <c r="M103" s="92">
        <f t="shared" si="75"/>
        <v>45</v>
      </c>
      <c r="N103" s="92">
        <f t="shared" si="75"/>
        <v>45</v>
      </c>
      <c r="O103" s="92">
        <f>+ROUND($C$103/12,0)+4</f>
        <v>49</v>
      </c>
      <c r="P103" s="310">
        <f t="shared" si="67"/>
        <v>544</v>
      </c>
      <c r="Q103" s="303">
        <f t="shared" si="68"/>
        <v>0</v>
      </c>
      <c r="R103" s="1"/>
    </row>
    <row r="104" spans="1:18" ht="15.75">
      <c r="A104" s="80" t="s">
        <v>581</v>
      </c>
      <c r="B104" s="81" t="s">
        <v>265</v>
      </c>
      <c r="C104" s="291">
        <f>+'2 Össz'!E104</f>
        <v>3131</v>
      </c>
      <c r="D104" s="92">
        <f>+ROUND($C$104/12,0)</f>
        <v>261</v>
      </c>
      <c r="E104" s="92">
        <f aca="true" t="shared" si="76" ref="E104:N104">+ROUND($C$104/12,0)</f>
        <v>261</v>
      </c>
      <c r="F104" s="92">
        <f t="shared" si="76"/>
        <v>261</v>
      </c>
      <c r="G104" s="92">
        <f t="shared" si="76"/>
        <v>261</v>
      </c>
      <c r="H104" s="92">
        <f t="shared" si="76"/>
        <v>261</v>
      </c>
      <c r="I104" s="92">
        <f t="shared" si="76"/>
        <v>261</v>
      </c>
      <c r="J104" s="92">
        <f t="shared" si="76"/>
        <v>261</v>
      </c>
      <c r="K104" s="92">
        <f t="shared" si="76"/>
        <v>261</v>
      </c>
      <c r="L104" s="92">
        <f t="shared" si="76"/>
        <v>261</v>
      </c>
      <c r="M104" s="92">
        <f t="shared" si="76"/>
        <v>261</v>
      </c>
      <c r="N104" s="92">
        <f t="shared" si="76"/>
        <v>261</v>
      </c>
      <c r="O104" s="92">
        <f>+ROUND($C$104/12,0)-1</f>
        <v>260</v>
      </c>
      <c r="P104" s="310">
        <f t="shared" si="67"/>
        <v>3131</v>
      </c>
      <c r="Q104" s="303">
        <f t="shared" si="68"/>
        <v>0</v>
      </c>
      <c r="R104" s="1"/>
    </row>
    <row r="105" spans="1:18" ht="15.75">
      <c r="A105" s="80" t="s">
        <v>266</v>
      </c>
      <c r="B105" s="81" t="s">
        <v>267</v>
      </c>
      <c r="C105" s="291">
        <f>+'2 Össz'!E105</f>
        <v>162835</v>
      </c>
      <c r="D105" s="92">
        <f>+ROUND($C$105/12,0)</f>
        <v>13570</v>
      </c>
      <c r="E105" s="92">
        <f aca="true" t="shared" si="77" ref="E105:N105">+ROUND($C$105/12,0)</f>
        <v>13570</v>
      </c>
      <c r="F105" s="92">
        <f t="shared" si="77"/>
        <v>13570</v>
      </c>
      <c r="G105" s="92">
        <f t="shared" si="77"/>
        <v>13570</v>
      </c>
      <c r="H105" s="92">
        <f t="shared" si="77"/>
        <v>13570</v>
      </c>
      <c r="I105" s="92">
        <f t="shared" si="77"/>
        <v>13570</v>
      </c>
      <c r="J105" s="92">
        <f t="shared" si="77"/>
        <v>13570</v>
      </c>
      <c r="K105" s="92">
        <f t="shared" si="77"/>
        <v>13570</v>
      </c>
      <c r="L105" s="92">
        <f t="shared" si="77"/>
        <v>13570</v>
      </c>
      <c r="M105" s="92">
        <f t="shared" si="77"/>
        <v>13570</v>
      </c>
      <c r="N105" s="92">
        <f t="shared" si="77"/>
        <v>13570</v>
      </c>
      <c r="O105" s="92">
        <f>+ROUND($C$105/12,0)-5</f>
        <v>13565</v>
      </c>
      <c r="P105" s="310">
        <f t="shared" si="67"/>
        <v>162835</v>
      </c>
      <c r="Q105" s="303">
        <f t="shared" si="68"/>
        <v>0</v>
      </c>
      <c r="R105" s="1"/>
    </row>
    <row r="106" spans="1:18" ht="15.75">
      <c r="A106" s="80" t="s">
        <v>268</v>
      </c>
      <c r="B106" s="81" t="s">
        <v>269</v>
      </c>
      <c r="C106" s="291">
        <f>+'2 Össz'!E106</f>
        <v>27359</v>
      </c>
      <c r="D106" s="92">
        <f>+ROUND($C$106/12,0)</f>
        <v>2280</v>
      </c>
      <c r="E106" s="92">
        <f aca="true" t="shared" si="78" ref="E106:N106">+ROUND($C$106/12,0)</f>
        <v>2280</v>
      </c>
      <c r="F106" s="92">
        <f t="shared" si="78"/>
        <v>2280</v>
      </c>
      <c r="G106" s="92">
        <f t="shared" si="78"/>
        <v>2280</v>
      </c>
      <c r="H106" s="92">
        <f t="shared" si="78"/>
        <v>2280</v>
      </c>
      <c r="I106" s="92">
        <f t="shared" si="78"/>
        <v>2280</v>
      </c>
      <c r="J106" s="92">
        <f t="shared" si="78"/>
        <v>2280</v>
      </c>
      <c r="K106" s="92">
        <f t="shared" si="78"/>
        <v>2280</v>
      </c>
      <c r="L106" s="92">
        <f t="shared" si="78"/>
        <v>2280</v>
      </c>
      <c r="M106" s="92">
        <f t="shared" si="78"/>
        <v>2280</v>
      </c>
      <c r="N106" s="92">
        <f t="shared" si="78"/>
        <v>2280</v>
      </c>
      <c r="O106" s="92">
        <f>+ROUND($C$106/12,0)-1</f>
        <v>2279</v>
      </c>
      <c r="P106" s="310">
        <f t="shared" si="67"/>
        <v>27359</v>
      </c>
      <c r="Q106" s="303">
        <f t="shared" si="68"/>
        <v>0</v>
      </c>
      <c r="R106" s="1"/>
    </row>
    <row r="107" spans="1:18" ht="15.75">
      <c r="A107" s="80" t="s">
        <v>270</v>
      </c>
      <c r="B107" s="81" t="s">
        <v>271</v>
      </c>
      <c r="C107" s="291">
        <f>+'2 Össz'!E107</f>
        <v>0</v>
      </c>
      <c r="D107" s="92">
        <f>+ROUND($C$107/12,0)</f>
        <v>0</v>
      </c>
      <c r="E107" s="92">
        <f aca="true" t="shared" si="79" ref="E107:O107">+ROUND($C$107/12,0)</f>
        <v>0</v>
      </c>
      <c r="F107" s="92">
        <f t="shared" si="79"/>
        <v>0</v>
      </c>
      <c r="G107" s="92">
        <f t="shared" si="79"/>
        <v>0</v>
      </c>
      <c r="H107" s="92">
        <f t="shared" si="79"/>
        <v>0</v>
      </c>
      <c r="I107" s="92">
        <f t="shared" si="79"/>
        <v>0</v>
      </c>
      <c r="J107" s="92">
        <f t="shared" si="79"/>
        <v>0</v>
      </c>
      <c r="K107" s="92">
        <f t="shared" si="79"/>
        <v>0</v>
      </c>
      <c r="L107" s="92">
        <f t="shared" si="79"/>
        <v>0</v>
      </c>
      <c r="M107" s="92">
        <f t="shared" si="79"/>
        <v>0</v>
      </c>
      <c r="N107" s="92">
        <f t="shared" si="79"/>
        <v>0</v>
      </c>
      <c r="O107" s="92">
        <f t="shared" si="79"/>
        <v>0</v>
      </c>
      <c r="P107" s="310">
        <f t="shared" si="67"/>
        <v>0</v>
      </c>
      <c r="Q107" s="303">
        <f t="shared" si="68"/>
        <v>0</v>
      </c>
      <c r="R107" s="1"/>
    </row>
    <row r="108" spans="1:18" ht="15.75">
      <c r="A108" s="80" t="s">
        <v>582</v>
      </c>
      <c r="B108" s="81" t="s">
        <v>272</v>
      </c>
      <c r="C108" s="291">
        <f>+'2 Össz'!E108</f>
        <v>2110</v>
      </c>
      <c r="D108" s="92"/>
      <c r="E108" s="92"/>
      <c r="F108" s="92">
        <f>+ROUND($C$108/4,0)</f>
        <v>528</v>
      </c>
      <c r="G108" s="92"/>
      <c r="H108" s="92"/>
      <c r="I108" s="92">
        <f>+ROUND($C$108/4,0)</f>
        <v>528</v>
      </c>
      <c r="J108" s="92"/>
      <c r="K108" s="92"/>
      <c r="L108" s="92">
        <f>+ROUND($C$108/4,0)</f>
        <v>528</v>
      </c>
      <c r="M108" s="92"/>
      <c r="N108" s="92"/>
      <c r="O108" s="92">
        <f>+ROUND($C$108/4,0)-2</f>
        <v>526</v>
      </c>
      <c r="P108" s="310">
        <f t="shared" si="67"/>
        <v>2110</v>
      </c>
      <c r="Q108" s="303">
        <f t="shared" si="68"/>
        <v>0</v>
      </c>
      <c r="R108" s="1"/>
    </row>
    <row r="109" spans="1:18" ht="15.75">
      <c r="A109" s="80" t="s">
        <v>583</v>
      </c>
      <c r="B109" s="81" t="s">
        <v>273</v>
      </c>
      <c r="C109" s="291">
        <f>+'2 Össz'!E109</f>
        <v>0</v>
      </c>
      <c r="D109" s="92">
        <f>+ROUND($C$109/12,0)</f>
        <v>0</v>
      </c>
      <c r="E109" s="92">
        <f aca="true" t="shared" si="80" ref="E109:O109">+ROUND($C$109/12,0)</f>
        <v>0</v>
      </c>
      <c r="F109" s="92">
        <f t="shared" si="80"/>
        <v>0</v>
      </c>
      <c r="G109" s="92">
        <f t="shared" si="80"/>
        <v>0</v>
      </c>
      <c r="H109" s="92">
        <f t="shared" si="80"/>
        <v>0</v>
      </c>
      <c r="I109" s="92">
        <f t="shared" si="80"/>
        <v>0</v>
      </c>
      <c r="J109" s="92">
        <f t="shared" si="80"/>
        <v>0</v>
      </c>
      <c r="K109" s="92">
        <f t="shared" si="80"/>
        <v>0</v>
      </c>
      <c r="L109" s="92">
        <f t="shared" si="80"/>
        <v>0</v>
      </c>
      <c r="M109" s="92">
        <f t="shared" si="80"/>
        <v>0</v>
      </c>
      <c r="N109" s="92">
        <f t="shared" si="80"/>
        <v>0</v>
      </c>
      <c r="O109" s="92">
        <f t="shared" si="80"/>
        <v>0</v>
      </c>
      <c r="P109" s="310">
        <f t="shared" si="67"/>
        <v>0</v>
      </c>
      <c r="Q109" s="303">
        <f t="shared" si="68"/>
        <v>0</v>
      </c>
      <c r="R109" s="1"/>
    </row>
    <row r="110" spans="1:18" ht="15.75">
      <c r="A110" s="80" t="s">
        <v>584</v>
      </c>
      <c r="B110" s="81" t="s">
        <v>274</v>
      </c>
      <c r="C110" s="291">
        <f>+'2 Össz'!E110</f>
        <v>3558</v>
      </c>
      <c r="D110" s="92">
        <f>+ROUND($C$110/12,0)</f>
        <v>297</v>
      </c>
      <c r="E110" s="92">
        <f aca="true" t="shared" si="81" ref="E110:N110">+ROUND($C$110/12,0)</f>
        <v>297</v>
      </c>
      <c r="F110" s="92">
        <f t="shared" si="81"/>
        <v>297</v>
      </c>
      <c r="G110" s="92">
        <f t="shared" si="81"/>
        <v>297</v>
      </c>
      <c r="H110" s="92">
        <f t="shared" si="81"/>
        <v>297</v>
      </c>
      <c r="I110" s="92">
        <f t="shared" si="81"/>
        <v>297</v>
      </c>
      <c r="J110" s="92">
        <f t="shared" si="81"/>
        <v>297</v>
      </c>
      <c r="K110" s="92">
        <f t="shared" si="81"/>
        <v>297</v>
      </c>
      <c r="L110" s="92">
        <f t="shared" si="81"/>
        <v>297</v>
      </c>
      <c r="M110" s="92">
        <f t="shared" si="81"/>
        <v>297</v>
      </c>
      <c r="N110" s="92">
        <f t="shared" si="81"/>
        <v>297</v>
      </c>
      <c r="O110" s="92">
        <f>+ROUND($C$110/12,0)-6</f>
        <v>291</v>
      </c>
      <c r="P110" s="310">
        <f t="shared" si="67"/>
        <v>3558</v>
      </c>
      <c r="Q110" s="303">
        <f t="shared" si="68"/>
        <v>0</v>
      </c>
      <c r="R110" s="1"/>
    </row>
    <row r="111" spans="1:18" s="296" customFormat="1" ht="15.75">
      <c r="A111" s="267" t="s">
        <v>435</v>
      </c>
      <c r="B111" s="256" t="s">
        <v>275</v>
      </c>
      <c r="C111" s="294">
        <f>+'2 Össz'!E111</f>
        <v>454430</v>
      </c>
      <c r="D111" s="262">
        <f>SUM(D101:D110)</f>
        <v>37694</v>
      </c>
      <c r="E111" s="262">
        <f aca="true" t="shared" si="82" ref="E111:O111">SUM(E101:E110)</f>
        <v>37694</v>
      </c>
      <c r="F111" s="262">
        <f t="shared" si="82"/>
        <v>38222</v>
      </c>
      <c r="G111" s="262">
        <f t="shared" si="82"/>
        <v>37694</v>
      </c>
      <c r="H111" s="262">
        <f t="shared" si="82"/>
        <v>37694</v>
      </c>
      <c r="I111" s="262">
        <f t="shared" si="82"/>
        <v>38222</v>
      </c>
      <c r="J111" s="262">
        <f t="shared" si="82"/>
        <v>37694</v>
      </c>
      <c r="K111" s="262">
        <f t="shared" si="82"/>
        <v>37694</v>
      </c>
      <c r="L111" s="262">
        <f t="shared" si="82"/>
        <v>38222</v>
      </c>
      <c r="M111" s="262">
        <f t="shared" si="82"/>
        <v>37694</v>
      </c>
      <c r="N111" s="262">
        <f t="shared" si="82"/>
        <v>37694</v>
      </c>
      <c r="O111" s="262">
        <f t="shared" si="82"/>
        <v>38212</v>
      </c>
      <c r="P111" s="302">
        <f t="shared" si="67"/>
        <v>454430</v>
      </c>
      <c r="Q111" s="303">
        <f t="shared" si="68"/>
        <v>0</v>
      </c>
      <c r="R111" s="295"/>
    </row>
    <row r="112" spans="1:18" ht="15.75">
      <c r="A112" s="80" t="s">
        <v>585</v>
      </c>
      <c r="B112" s="81" t="s">
        <v>276</v>
      </c>
      <c r="C112" s="291">
        <f>+'2 Össz'!E112</f>
        <v>0</v>
      </c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302">
        <f t="shared" si="67"/>
        <v>0</v>
      </c>
      <c r="Q112" s="303">
        <f t="shared" si="68"/>
        <v>0</v>
      </c>
      <c r="R112" s="1"/>
    </row>
    <row r="113" spans="1:18" ht="15.75">
      <c r="A113" s="80" t="s">
        <v>586</v>
      </c>
      <c r="B113" s="81" t="s">
        <v>277</v>
      </c>
      <c r="C113" s="291">
        <f>+'2 Össz'!E113</f>
        <v>95866</v>
      </c>
      <c r="D113" s="92"/>
      <c r="E113" s="92"/>
      <c r="F113" s="92"/>
      <c r="G113" s="92"/>
      <c r="H113" s="92"/>
      <c r="I113" s="92"/>
      <c r="J113" s="92"/>
      <c r="K113" s="92"/>
      <c r="L113" s="92"/>
      <c r="M113" s="92">
        <v>55866</v>
      </c>
      <c r="N113" s="92">
        <v>40000</v>
      </c>
      <c r="O113" s="92"/>
      <c r="P113" s="302">
        <f t="shared" si="67"/>
        <v>95866</v>
      </c>
      <c r="Q113" s="303">
        <f t="shared" si="68"/>
        <v>0</v>
      </c>
      <c r="R113" s="1"/>
    </row>
    <row r="114" spans="1:18" ht="15.75">
      <c r="A114" s="80" t="s">
        <v>278</v>
      </c>
      <c r="B114" s="81" t="s">
        <v>279</v>
      </c>
      <c r="C114" s="291">
        <f>+'2 Össz'!E114</f>
        <v>0</v>
      </c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302">
        <f t="shared" si="67"/>
        <v>0</v>
      </c>
      <c r="Q114" s="303">
        <f t="shared" si="68"/>
        <v>0</v>
      </c>
      <c r="R114" s="1"/>
    </row>
    <row r="115" spans="1:18" ht="15.75">
      <c r="A115" s="80" t="s">
        <v>587</v>
      </c>
      <c r="B115" s="81" t="s">
        <v>280</v>
      </c>
      <c r="C115" s="291">
        <f>+'2 Össz'!E115</f>
        <v>0</v>
      </c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302">
        <f t="shared" si="67"/>
        <v>0</v>
      </c>
      <c r="Q115" s="303">
        <f t="shared" si="68"/>
        <v>0</v>
      </c>
      <c r="R115" s="1"/>
    </row>
    <row r="116" spans="1:18" ht="15.75">
      <c r="A116" s="80" t="s">
        <v>281</v>
      </c>
      <c r="B116" s="81" t="s">
        <v>282</v>
      </c>
      <c r="C116" s="291">
        <f>+'2 Össz'!E116</f>
        <v>0</v>
      </c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302">
        <f t="shared" si="67"/>
        <v>0</v>
      </c>
      <c r="Q116" s="303">
        <f t="shared" si="68"/>
        <v>0</v>
      </c>
      <c r="R116" s="1"/>
    </row>
    <row r="117" spans="1:18" s="296" customFormat="1" ht="15.75">
      <c r="A117" s="255" t="s">
        <v>693</v>
      </c>
      <c r="B117" s="256" t="s">
        <v>283</v>
      </c>
      <c r="C117" s="294">
        <f>+'2 Össz'!E117</f>
        <v>95866</v>
      </c>
      <c r="D117" s="262">
        <f>SUM(D112:D116)</f>
        <v>0</v>
      </c>
      <c r="E117" s="262">
        <f aca="true" t="shared" si="83" ref="E117:O117">SUM(E112:E116)</f>
        <v>0</v>
      </c>
      <c r="F117" s="262">
        <f t="shared" si="83"/>
        <v>0</v>
      </c>
      <c r="G117" s="262">
        <f t="shared" si="83"/>
        <v>0</v>
      </c>
      <c r="H117" s="262">
        <f t="shared" si="83"/>
        <v>0</v>
      </c>
      <c r="I117" s="262">
        <f t="shared" si="83"/>
        <v>0</v>
      </c>
      <c r="J117" s="262">
        <f t="shared" si="83"/>
        <v>0</v>
      </c>
      <c r="K117" s="262">
        <f t="shared" si="83"/>
        <v>0</v>
      </c>
      <c r="L117" s="262">
        <f t="shared" si="83"/>
        <v>0</v>
      </c>
      <c r="M117" s="262">
        <f t="shared" si="83"/>
        <v>55866</v>
      </c>
      <c r="N117" s="262">
        <f t="shared" si="83"/>
        <v>40000</v>
      </c>
      <c r="O117" s="262">
        <f t="shared" si="83"/>
        <v>0</v>
      </c>
      <c r="P117" s="302">
        <f t="shared" si="67"/>
        <v>95866</v>
      </c>
      <c r="Q117" s="303">
        <f t="shared" si="68"/>
        <v>0</v>
      </c>
      <c r="R117" s="295"/>
    </row>
    <row r="118" spans="1:18" s="354" customFormat="1" ht="15.75">
      <c r="A118" s="90" t="s">
        <v>628</v>
      </c>
      <c r="B118" s="83" t="s">
        <v>286</v>
      </c>
      <c r="C118" s="291">
        <f>+'2 Össz'!E118</f>
        <v>0</v>
      </c>
      <c r="D118" s="181">
        <f>+ROUND($C$118/12,0)</f>
        <v>0</v>
      </c>
      <c r="E118" s="181">
        <f aca="true" t="shared" si="84" ref="E118:O118">+ROUND($C$118/12,0)</f>
        <v>0</v>
      </c>
      <c r="F118" s="181">
        <f t="shared" si="84"/>
        <v>0</v>
      </c>
      <c r="G118" s="181">
        <f t="shared" si="84"/>
        <v>0</v>
      </c>
      <c r="H118" s="181">
        <f t="shared" si="84"/>
        <v>0</v>
      </c>
      <c r="I118" s="181">
        <f t="shared" si="84"/>
        <v>0</v>
      </c>
      <c r="J118" s="181">
        <f t="shared" si="84"/>
        <v>0</v>
      </c>
      <c r="K118" s="181">
        <f t="shared" si="84"/>
        <v>0</v>
      </c>
      <c r="L118" s="181">
        <f t="shared" si="84"/>
        <v>0</v>
      </c>
      <c r="M118" s="181">
        <f t="shared" si="84"/>
        <v>0</v>
      </c>
      <c r="N118" s="181">
        <f t="shared" si="84"/>
        <v>0</v>
      </c>
      <c r="O118" s="181">
        <f t="shared" si="84"/>
        <v>0</v>
      </c>
      <c r="P118" s="351">
        <f t="shared" si="67"/>
        <v>0</v>
      </c>
      <c r="Q118" s="352">
        <f t="shared" si="68"/>
        <v>0</v>
      </c>
      <c r="R118" s="353"/>
    </row>
    <row r="119" spans="1:18" ht="15.75">
      <c r="A119" s="80" t="s">
        <v>808</v>
      </c>
      <c r="B119" s="81" t="s">
        <v>287</v>
      </c>
      <c r="C119" s="291">
        <f>+'2 Össz'!E119</f>
        <v>0</v>
      </c>
      <c r="D119" s="92">
        <f>+ROUND($C$119/12,0)</f>
        <v>0</v>
      </c>
      <c r="E119" s="92">
        <f aca="true" t="shared" si="85" ref="E119:O119">+ROUND($C$119/12,0)</f>
        <v>0</v>
      </c>
      <c r="F119" s="92">
        <f t="shared" si="85"/>
        <v>0</v>
      </c>
      <c r="G119" s="92">
        <f t="shared" si="85"/>
        <v>0</v>
      </c>
      <c r="H119" s="92">
        <f t="shared" si="85"/>
        <v>0</v>
      </c>
      <c r="I119" s="92">
        <f t="shared" si="85"/>
        <v>0</v>
      </c>
      <c r="J119" s="92">
        <f t="shared" si="85"/>
        <v>0</v>
      </c>
      <c r="K119" s="92">
        <f t="shared" si="85"/>
        <v>0</v>
      </c>
      <c r="L119" s="92">
        <f t="shared" si="85"/>
        <v>0</v>
      </c>
      <c r="M119" s="92">
        <f t="shared" si="85"/>
        <v>0</v>
      </c>
      <c r="N119" s="92">
        <f t="shared" si="85"/>
        <v>0</v>
      </c>
      <c r="O119" s="92">
        <f t="shared" si="85"/>
        <v>0</v>
      </c>
      <c r="P119" s="310">
        <f t="shared" si="67"/>
        <v>0</v>
      </c>
      <c r="Q119" s="303">
        <f t="shared" si="68"/>
        <v>0</v>
      </c>
      <c r="R119" s="1"/>
    </row>
    <row r="120" spans="1:18" ht="15.75">
      <c r="A120" s="82" t="s">
        <v>807</v>
      </c>
      <c r="B120" s="81" t="s">
        <v>288</v>
      </c>
      <c r="C120" s="291">
        <f>+'2 Össz'!E120</f>
        <v>0</v>
      </c>
      <c r="D120" s="92">
        <f>+ROUND($C$120/12,0)</f>
        <v>0</v>
      </c>
      <c r="E120" s="92">
        <f aca="true" t="shared" si="86" ref="E120:O120">+ROUND($C$120/12,0)</f>
        <v>0</v>
      </c>
      <c r="F120" s="92">
        <f t="shared" si="86"/>
        <v>0</v>
      </c>
      <c r="G120" s="92">
        <f t="shared" si="86"/>
        <v>0</v>
      </c>
      <c r="H120" s="92">
        <f t="shared" si="86"/>
        <v>0</v>
      </c>
      <c r="I120" s="92">
        <f t="shared" si="86"/>
        <v>0</v>
      </c>
      <c r="J120" s="92">
        <f t="shared" si="86"/>
        <v>0</v>
      </c>
      <c r="K120" s="92">
        <f t="shared" si="86"/>
        <v>0</v>
      </c>
      <c r="L120" s="92">
        <f t="shared" si="86"/>
        <v>0</v>
      </c>
      <c r="M120" s="92">
        <f t="shared" si="86"/>
        <v>0</v>
      </c>
      <c r="N120" s="92">
        <f t="shared" si="86"/>
        <v>0</v>
      </c>
      <c r="O120" s="92">
        <f t="shared" si="86"/>
        <v>0</v>
      </c>
      <c r="P120" s="310">
        <f t="shared" si="67"/>
        <v>0</v>
      </c>
      <c r="Q120" s="303">
        <f t="shared" si="68"/>
        <v>0</v>
      </c>
      <c r="R120" s="1"/>
    </row>
    <row r="121" spans="1:18" ht="15.75">
      <c r="A121" s="80" t="s">
        <v>612</v>
      </c>
      <c r="B121" s="81" t="s">
        <v>289</v>
      </c>
      <c r="C121" s="291">
        <f>+'2 Össz'!E121</f>
        <v>25400</v>
      </c>
      <c r="D121" s="92">
        <f>+ROUND($C$121/12,0)</f>
        <v>2117</v>
      </c>
      <c r="E121" s="92">
        <f aca="true" t="shared" si="87" ref="E121:N121">+ROUND($C$121/12,0)</f>
        <v>2117</v>
      </c>
      <c r="F121" s="92">
        <f t="shared" si="87"/>
        <v>2117</v>
      </c>
      <c r="G121" s="92">
        <f t="shared" si="87"/>
        <v>2117</v>
      </c>
      <c r="H121" s="92">
        <f t="shared" si="87"/>
        <v>2117</v>
      </c>
      <c r="I121" s="92">
        <f t="shared" si="87"/>
        <v>2117</v>
      </c>
      <c r="J121" s="92">
        <f t="shared" si="87"/>
        <v>2117</v>
      </c>
      <c r="K121" s="92">
        <f t="shared" si="87"/>
        <v>2117</v>
      </c>
      <c r="L121" s="92">
        <f t="shared" si="87"/>
        <v>2117</v>
      </c>
      <c r="M121" s="92">
        <f t="shared" si="87"/>
        <v>2117</v>
      </c>
      <c r="N121" s="92">
        <f t="shared" si="87"/>
        <v>2117</v>
      </c>
      <c r="O121" s="92">
        <f>+ROUND($C$121/12,0)-4</f>
        <v>2113</v>
      </c>
      <c r="P121" s="310">
        <f t="shared" si="67"/>
        <v>25400</v>
      </c>
      <c r="Q121" s="303">
        <f t="shared" si="68"/>
        <v>0</v>
      </c>
      <c r="R121" s="1"/>
    </row>
    <row r="122" spans="1:18" s="296" customFormat="1" ht="15.75">
      <c r="A122" s="255" t="s">
        <v>512</v>
      </c>
      <c r="B122" s="256" t="s">
        <v>290</v>
      </c>
      <c r="C122" s="294">
        <f>+'2 Össz'!E122</f>
        <v>25400</v>
      </c>
      <c r="D122" s="262">
        <f>SUM(D119:D121)</f>
        <v>2117</v>
      </c>
      <c r="E122" s="262">
        <f aca="true" t="shared" si="88" ref="E122:O122">SUM(E119:E121)</f>
        <v>2117</v>
      </c>
      <c r="F122" s="262">
        <f t="shared" si="88"/>
        <v>2117</v>
      </c>
      <c r="G122" s="262">
        <f t="shared" si="88"/>
        <v>2117</v>
      </c>
      <c r="H122" s="262">
        <f t="shared" si="88"/>
        <v>2117</v>
      </c>
      <c r="I122" s="262">
        <f t="shared" si="88"/>
        <v>2117</v>
      </c>
      <c r="J122" s="262">
        <f t="shared" si="88"/>
        <v>2117</v>
      </c>
      <c r="K122" s="262">
        <f t="shared" si="88"/>
        <v>2117</v>
      </c>
      <c r="L122" s="262">
        <f t="shared" si="88"/>
        <v>2117</v>
      </c>
      <c r="M122" s="262">
        <f t="shared" si="88"/>
        <v>2117</v>
      </c>
      <c r="N122" s="262">
        <f t="shared" si="88"/>
        <v>2117</v>
      </c>
      <c r="O122" s="262">
        <f t="shared" si="88"/>
        <v>2113</v>
      </c>
      <c r="P122" s="302">
        <f t="shared" si="67"/>
        <v>25400</v>
      </c>
      <c r="Q122" s="303">
        <f t="shared" si="68"/>
        <v>0</v>
      </c>
      <c r="R122" s="295"/>
    </row>
    <row r="123" spans="1:18" s="296" customFormat="1" ht="15.75">
      <c r="A123" s="269" t="s">
        <v>516</v>
      </c>
      <c r="B123" s="270" t="s">
        <v>672</v>
      </c>
      <c r="C123" s="294">
        <f>+'2 Össz'!E123</f>
        <v>3402010</v>
      </c>
      <c r="D123" s="262">
        <f>+D122+D118+D117+D111+D100+D93+D92</f>
        <v>220761</v>
      </c>
      <c r="E123" s="262">
        <f aca="true" t="shared" si="89" ref="E123:O123">+E122+E118+E117+E111+E100+E93+E92</f>
        <v>238769</v>
      </c>
      <c r="F123" s="262">
        <f t="shared" si="89"/>
        <v>371206</v>
      </c>
      <c r="G123" s="262">
        <f t="shared" si="89"/>
        <v>239252</v>
      </c>
      <c r="H123" s="262">
        <f t="shared" si="89"/>
        <v>223852</v>
      </c>
      <c r="I123" s="262">
        <f t="shared" si="89"/>
        <v>250897</v>
      </c>
      <c r="J123" s="262">
        <f t="shared" si="89"/>
        <v>316491</v>
      </c>
      <c r="K123" s="262">
        <f t="shared" si="89"/>
        <v>197335</v>
      </c>
      <c r="L123" s="262">
        <f t="shared" si="89"/>
        <v>246577</v>
      </c>
      <c r="M123" s="262">
        <f t="shared" si="89"/>
        <v>279718</v>
      </c>
      <c r="N123" s="262">
        <f t="shared" si="89"/>
        <v>439330</v>
      </c>
      <c r="O123" s="262">
        <f t="shared" si="89"/>
        <v>377822</v>
      </c>
      <c r="P123" s="302">
        <f t="shared" si="67"/>
        <v>3402010</v>
      </c>
      <c r="Q123" s="303">
        <f t="shared" si="68"/>
        <v>0</v>
      </c>
      <c r="R123" s="295"/>
    </row>
    <row r="124" spans="1:18" s="296" customFormat="1" ht="15.75">
      <c r="A124" s="297" t="s">
        <v>668</v>
      </c>
      <c r="B124" s="298"/>
      <c r="C124" s="294">
        <f>+'2 Össz'!E124</f>
        <v>-59229</v>
      </c>
      <c r="D124" s="264">
        <f>+D118+D111+D100+D92-D33</f>
        <v>-59688</v>
      </c>
      <c r="E124" s="264">
        <f aca="true" t="shared" si="90" ref="E124:O124">+E118+E111+E100+E92-E33</f>
        <v>-41680</v>
      </c>
      <c r="F124" s="264">
        <f t="shared" si="90"/>
        <v>90757</v>
      </c>
      <c r="G124" s="264">
        <f t="shared" si="90"/>
        <v>-41197</v>
      </c>
      <c r="H124" s="264">
        <f t="shared" si="90"/>
        <v>-56597</v>
      </c>
      <c r="I124" s="264">
        <f t="shared" si="90"/>
        <v>-26552</v>
      </c>
      <c r="J124" s="264">
        <f t="shared" si="90"/>
        <v>36042</v>
      </c>
      <c r="K124" s="264">
        <f t="shared" si="90"/>
        <v>-86114</v>
      </c>
      <c r="L124" s="264">
        <f t="shared" si="90"/>
        <v>-33872</v>
      </c>
      <c r="M124" s="264">
        <f t="shared" si="90"/>
        <v>-56597</v>
      </c>
      <c r="N124" s="264">
        <f t="shared" si="90"/>
        <v>118881</v>
      </c>
      <c r="O124" s="264">
        <f t="shared" si="90"/>
        <v>97388</v>
      </c>
      <c r="P124" s="302">
        <f t="shared" si="67"/>
        <v>-59229</v>
      </c>
      <c r="Q124" s="303">
        <f t="shared" si="68"/>
        <v>0</v>
      </c>
      <c r="R124" s="295"/>
    </row>
    <row r="125" spans="1:18" s="296" customFormat="1" ht="15.75">
      <c r="A125" s="297" t="s">
        <v>669</v>
      </c>
      <c r="B125" s="298"/>
      <c r="C125" s="294">
        <f>+'2 Össz'!E125</f>
        <v>-52090</v>
      </c>
      <c r="D125" s="264">
        <f>+D122+D117+D93-D56</f>
        <v>35039</v>
      </c>
      <c r="E125" s="264">
        <f aca="true" t="shared" si="91" ref="E125:O125">+E122+E117+E93-E56</f>
        <v>35039</v>
      </c>
      <c r="F125" s="264">
        <f t="shared" si="91"/>
        <v>-91965</v>
      </c>
      <c r="G125" s="264">
        <f t="shared" si="91"/>
        <v>28843</v>
      </c>
      <c r="H125" s="264">
        <f t="shared" si="91"/>
        <v>-18947</v>
      </c>
      <c r="I125" s="264">
        <f t="shared" si="91"/>
        <v>26909</v>
      </c>
      <c r="J125" s="264">
        <f t="shared" si="91"/>
        <v>-35687</v>
      </c>
      <c r="K125" s="264">
        <f t="shared" si="91"/>
        <v>38039</v>
      </c>
      <c r="L125" s="264">
        <f t="shared" si="91"/>
        <v>35039</v>
      </c>
      <c r="M125" s="264">
        <f t="shared" si="91"/>
        <v>23305</v>
      </c>
      <c r="N125" s="264">
        <f t="shared" si="91"/>
        <v>-118295</v>
      </c>
      <c r="O125" s="264">
        <f t="shared" si="91"/>
        <v>-9409</v>
      </c>
      <c r="P125" s="302">
        <f t="shared" si="67"/>
        <v>-52090</v>
      </c>
      <c r="Q125" s="303">
        <f t="shared" si="68"/>
        <v>0</v>
      </c>
      <c r="R125" s="295"/>
    </row>
    <row r="126" spans="1:18" ht="15.75">
      <c r="A126" s="123" t="s">
        <v>102</v>
      </c>
      <c r="B126" s="82" t="s">
        <v>291</v>
      </c>
      <c r="C126" s="291">
        <f>+'2 Össz'!E126</f>
        <v>33038</v>
      </c>
      <c r="D126" s="92"/>
      <c r="E126" s="302"/>
      <c r="F126" s="302"/>
      <c r="G126" s="302"/>
      <c r="H126" s="92"/>
      <c r="I126" s="92"/>
      <c r="J126" s="92"/>
      <c r="K126" s="92"/>
      <c r="L126" s="92"/>
      <c r="M126" s="302">
        <v>33038</v>
      </c>
      <c r="N126" s="302"/>
      <c r="O126" s="302"/>
      <c r="P126" s="310">
        <f t="shared" si="67"/>
        <v>33038</v>
      </c>
      <c r="Q126" s="303">
        <f t="shared" si="68"/>
        <v>0</v>
      </c>
      <c r="R126" s="1"/>
    </row>
    <row r="127" spans="1:18" ht="15.75">
      <c r="A127" s="80" t="s">
        <v>292</v>
      </c>
      <c r="B127" s="82" t="s">
        <v>293</v>
      </c>
      <c r="C127" s="291">
        <f>+'2 Össz'!E127</f>
        <v>0</v>
      </c>
      <c r="D127" s="92"/>
      <c r="E127" s="302"/>
      <c r="F127" s="302"/>
      <c r="G127" s="302"/>
      <c r="H127" s="92"/>
      <c r="I127" s="92"/>
      <c r="J127" s="92"/>
      <c r="K127" s="92"/>
      <c r="L127" s="92"/>
      <c r="M127" s="302"/>
      <c r="N127" s="302"/>
      <c r="O127" s="302"/>
      <c r="P127" s="302">
        <f t="shared" si="67"/>
        <v>0</v>
      </c>
      <c r="Q127" s="303">
        <f t="shared" si="68"/>
        <v>0</v>
      </c>
      <c r="R127" s="1"/>
    </row>
    <row r="128" spans="1:18" ht="15.75">
      <c r="A128" s="123" t="s">
        <v>103</v>
      </c>
      <c r="B128" s="82" t="s">
        <v>294</v>
      </c>
      <c r="C128" s="291">
        <f>+'2 Össz'!E128</f>
        <v>88500</v>
      </c>
      <c r="D128" s="92"/>
      <c r="E128" s="302"/>
      <c r="F128" s="92"/>
      <c r="G128" s="92"/>
      <c r="H128" s="92">
        <v>40000</v>
      </c>
      <c r="I128" s="92"/>
      <c r="J128" s="92"/>
      <c r="K128" s="92">
        <v>48500</v>
      </c>
      <c r="L128" s="92"/>
      <c r="M128" s="302"/>
      <c r="N128" s="302"/>
      <c r="O128" s="302"/>
      <c r="P128" s="302">
        <f t="shared" si="67"/>
        <v>88500</v>
      </c>
      <c r="Q128" s="303">
        <f t="shared" si="68"/>
        <v>0</v>
      </c>
      <c r="R128" s="1"/>
    </row>
    <row r="129" spans="1:18" s="296" customFormat="1" ht="15.75">
      <c r="A129" s="267" t="s">
        <v>425</v>
      </c>
      <c r="B129" s="255" t="s">
        <v>295</v>
      </c>
      <c r="C129" s="294">
        <f>+'2 Össz'!E129</f>
        <v>121538</v>
      </c>
      <c r="D129" s="262">
        <f>SUM(D126:D128)</f>
        <v>0</v>
      </c>
      <c r="E129" s="262">
        <f aca="true" t="shared" si="92" ref="E129:O129">SUM(E126:E128)</f>
        <v>0</v>
      </c>
      <c r="F129" s="262">
        <f t="shared" si="92"/>
        <v>0</v>
      </c>
      <c r="G129" s="262">
        <f t="shared" si="92"/>
        <v>0</v>
      </c>
      <c r="H129" s="262">
        <f t="shared" si="92"/>
        <v>40000</v>
      </c>
      <c r="I129" s="262">
        <f t="shared" si="92"/>
        <v>0</v>
      </c>
      <c r="J129" s="262">
        <f t="shared" si="92"/>
        <v>0</v>
      </c>
      <c r="K129" s="262">
        <f t="shared" si="92"/>
        <v>48500</v>
      </c>
      <c r="L129" s="262">
        <f t="shared" si="92"/>
        <v>0</v>
      </c>
      <c r="M129" s="262">
        <f t="shared" si="92"/>
        <v>33038</v>
      </c>
      <c r="N129" s="262">
        <f t="shared" si="92"/>
        <v>0</v>
      </c>
      <c r="O129" s="262">
        <f t="shared" si="92"/>
        <v>0</v>
      </c>
      <c r="P129" s="305">
        <f t="shared" si="67"/>
        <v>121538</v>
      </c>
      <c r="Q129" s="306">
        <f t="shared" si="68"/>
        <v>0</v>
      </c>
      <c r="R129" s="295"/>
    </row>
    <row r="130" spans="1:18" ht="15.75">
      <c r="A130" s="80" t="s">
        <v>613</v>
      </c>
      <c r="B130" s="82" t="s">
        <v>296</v>
      </c>
      <c r="C130" s="291">
        <f>+'2 Össz'!E130</f>
        <v>0</v>
      </c>
      <c r="D130" s="9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02">
        <f t="shared" si="67"/>
        <v>0</v>
      </c>
      <c r="Q130" s="303">
        <f t="shared" si="68"/>
        <v>0</v>
      </c>
      <c r="R130" s="1"/>
    </row>
    <row r="131" spans="1:18" ht="15.75">
      <c r="A131" s="123" t="s">
        <v>297</v>
      </c>
      <c r="B131" s="82" t="s">
        <v>298</v>
      </c>
      <c r="C131" s="291">
        <f>+'2 Össz'!E131</f>
        <v>0</v>
      </c>
      <c r="D131" s="9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02">
        <f t="shared" si="67"/>
        <v>0</v>
      </c>
      <c r="Q131" s="303">
        <f t="shared" si="68"/>
        <v>0</v>
      </c>
      <c r="R131" s="1"/>
    </row>
    <row r="132" spans="1:18" ht="15.75">
      <c r="A132" s="80" t="s">
        <v>614</v>
      </c>
      <c r="B132" s="82" t="s">
        <v>299</v>
      </c>
      <c r="C132" s="291">
        <f>+'2 Össz'!E132</f>
        <v>0</v>
      </c>
      <c r="D132" s="9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02">
        <f t="shared" si="67"/>
        <v>0</v>
      </c>
      <c r="Q132" s="303">
        <f t="shared" si="68"/>
        <v>0</v>
      </c>
      <c r="R132" s="1"/>
    </row>
    <row r="133" spans="1:18" ht="15.75">
      <c r="A133" s="123" t="s">
        <v>300</v>
      </c>
      <c r="B133" s="82" t="s">
        <v>301</v>
      </c>
      <c r="C133" s="291">
        <f>+'2 Össz'!E133</f>
        <v>0</v>
      </c>
      <c r="D133" s="9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02">
        <f t="shared" si="67"/>
        <v>0</v>
      </c>
      <c r="Q133" s="303">
        <f t="shared" si="68"/>
        <v>0</v>
      </c>
      <c r="R133" s="1"/>
    </row>
    <row r="134" spans="1:18" s="296" customFormat="1" ht="15.75">
      <c r="A134" s="337" t="s">
        <v>513</v>
      </c>
      <c r="B134" s="255" t="s">
        <v>302</v>
      </c>
      <c r="C134" s="294">
        <f>+'2 Össz'!E134</f>
        <v>0</v>
      </c>
      <c r="D134" s="262">
        <f>SUM(D130:D133)</f>
        <v>0</v>
      </c>
      <c r="E134" s="262">
        <f aca="true" t="shared" si="93" ref="E134:O134">SUM(E130:E133)</f>
        <v>0</v>
      </c>
      <c r="F134" s="262">
        <f t="shared" si="93"/>
        <v>0</v>
      </c>
      <c r="G134" s="262">
        <f t="shared" si="93"/>
        <v>0</v>
      </c>
      <c r="H134" s="262">
        <f t="shared" si="93"/>
        <v>0</v>
      </c>
      <c r="I134" s="262">
        <f t="shared" si="93"/>
        <v>0</v>
      </c>
      <c r="J134" s="262">
        <f t="shared" si="93"/>
        <v>0</v>
      </c>
      <c r="K134" s="262">
        <f t="shared" si="93"/>
        <v>0</v>
      </c>
      <c r="L134" s="262">
        <f t="shared" si="93"/>
        <v>0</v>
      </c>
      <c r="M134" s="262">
        <f t="shared" si="93"/>
        <v>0</v>
      </c>
      <c r="N134" s="262">
        <f t="shared" si="93"/>
        <v>0</v>
      </c>
      <c r="O134" s="262">
        <f t="shared" si="93"/>
        <v>0</v>
      </c>
      <c r="P134" s="305">
        <f t="shared" si="67"/>
        <v>0</v>
      </c>
      <c r="Q134" s="306">
        <f t="shared" si="68"/>
        <v>0</v>
      </c>
      <c r="R134" s="295"/>
    </row>
    <row r="135" spans="1:18" ht="15.75">
      <c r="A135" s="82" t="s">
        <v>788</v>
      </c>
      <c r="B135" s="82" t="s">
        <v>303</v>
      </c>
      <c r="C135" s="291">
        <f>+'2 Össz'!E135</f>
        <v>59229</v>
      </c>
      <c r="D135" s="92">
        <v>2000</v>
      </c>
      <c r="E135" s="92">
        <v>6851</v>
      </c>
      <c r="F135" s="92">
        <v>2000</v>
      </c>
      <c r="G135" s="92">
        <v>12805</v>
      </c>
      <c r="H135" s="92">
        <v>35573</v>
      </c>
      <c r="I135" s="92"/>
      <c r="J135" s="92"/>
      <c r="K135" s="92"/>
      <c r="L135" s="92"/>
      <c r="M135" s="92"/>
      <c r="N135" s="92"/>
      <c r="O135" s="92"/>
      <c r="P135" s="302">
        <f t="shared" si="67"/>
        <v>59229</v>
      </c>
      <c r="Q135" s="303">
        <f t="shared" si="68"/>
        <v>0</v>
      </c>
      <c r="R135" s="1"/>
    </row>
    <row r="136" spans="1:18" ht="15.75">
      <c r="A136" s="82" t="s">
        <v>789</v>
      </c>
      <c r="B136" s="82" t="s">
        <v>303</v>
      </c>
      <c r="C136" s="291">
        <f>+'2 Össz'!E136</f>
        <v>25000</v>
      </c>
      <c r="D136" s="92">
        <v>25000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310">
        <f t="shared" si="67"/>
        <v>25000</v>
      </c>
      <c r="Q136" s="303">
        <f t="shared" si="68"/>
        <v>0</v>
      </c>
      <c r="R136" s="1"/>
    </row>
    <row r="137" spans="1:18" ht="15.75">
      <c r="A137" s="82" t="s">
        <v>786</v>
      </c>
      <c r="B137" s="82" t="s">
        <v>304</v>
      </c>
      <c r="C137" s="291">
        <f>+'2 Össz'!E137</f>
        <v>0</v>
      </c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302">
        <f t="shared" si="67"/>
        <v>0</v>
      </c>
      <c r="Q137" s="303">
        <f t="shared" si="68"/>
        <v>0</v>
      </c>
      <c r="R137" s="1"/>
    </row>
    <row r="138" spans="1:18" ht="15.75">
      <c r="A138" s="82" t="s">
        <v>787</v>
      </c>
      <c r="B138" s="82" t="s">
        <v>304</v>
      </c>
      <c r="C138" s="291">
        <f>+'2 Össz'!E138</f>
        <v>0</v>
      </c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302">
        <f t="shared" si="67"/>
        <v>0</v>
      </c>
      <c r="Q138" s="303">
        <f t="shared" si="68"/>
        <v>0</v>
      </c>
      <c r="R138" s="1"/>
    </row>
    <row r="139" spans="1:18" s="296" customFormat="1" ht="15.75">
      <c r="A139" s="255" t="s">
        <v>514</v>
      </c>
      <c r="B139" s="255" t="s">
        <v>305</v>
      </c>
      <c r="C139" s="294">
        <f>+'2 Össz'!E139</f>
        <v>84229</v>
      </c>
      <c r="D139" s="262">
        <f>SUM(D135:D138)</f>
        <v>27000</v>
      </c>
      <c r="E139" s="262">
        <f aca="true" t="shared" si="94" ref="E139:O139">SUM(E135:E138)</f>
        <v>6851</v>
      </c>
      <c r="F139" s="262">
        <f t="shared" si="94"/>
        <v>2000</v>
      </c>
      <c r="G139" s="262">
        <f t="shared" si="94"/>
        <v>12805</v>
      </c>
      <c r="H139" s="262">
        <f t="shared" si="94"/>
        <v>35573</v>
      </c>
      <c r="I139" s="262">
        <f t="shared" si="94"/>
        <v>0</v>
      </c>
      <c r="J139" s="262">
        <f t="shared" si="94"/>
        <v>0</v>
      </c>
      <c r="K139" s="262">
        <f t="shared" si="94"/>
        <v>0</v>
      </c>
      <c r="L139" s="262">
        <f t="shared" si="94"/>
        <v>0</v>
      </c>
      <c r="M139" s="262">
        <f t="shared" si="94"/>
        <v>0</v>
      </c>
      <c r="N139" s="262">
        <f t="shared" si="94"/>
        <v>0</v>
      </c>
      <c r="O139" s="262">
        <f t="shared" si="94"/>
        <v>0</v>
      </c>
      <c r="P139" s="305">
        <f t="shared" si="67"/>
        <v>84229</v>
      </c>
      <c r="Q139" s="306">
        <f t="shared" si="68"/>
        <v>0</v>
      </c>
      <c r="R139" s="295"/>
    </row>
    <row r="140" spans="1:18" ht="15.75">
      <c r="A140" s="123" t="s">
        <v>306</v>
      </c>
      <c r="B140" s="82" t="s">
        <v>307</v>
      </c>
      <c r="C140" s="291">
        <f>+'2 Össz'!E140</f>
        <v>0</v>
      </c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302">
        <f t="shared" si="67"/>
        <v>0</v>
      </c>
      <c r="Q140" s="303">
        <f t="shared" si="68"/>
        <v>0</v>
      </c>
      <c r="R140" s="1"/>
    </row>
    <row r="141" spans="1:18" ht="15.75">
      <c r="A141" s="123" t="s">
        <v>308</v>
      </c>
      <c r="B141" s="82" t="s">
        <v>309</v>
      </c>
      <c r="C141" s="291">
        <f>+'2 Össz'!E141</f>
        <v>0</v>
      </c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302">
        <f t="shared" si="67"/>
        <v>0</v>
      </c>
      <c r="Q141" s="303">
        <f t="shared" si="68"/>
        <v>0</v>
      </c>
      <c r="R141" s="1"/>
    </row>
    <row r="142" spans="1:18" ht="15.75">
      <c r="A142" s="123" t="s">
        <v>310</v>
      </c>
      <c r="B142" s="82" t="s">
        <v>311</v>
      </c>
      <c r="C142" s="291">
        <f>+'2 Össz'!E142</f>
        <v>0</v>
      </c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302">
        <f t="shared" si="67"/>
        <v>0</v>
      </c>
      <c r="Q142" s="303">
        <f t="shared" si="68"/>
        <v>0</v>
      </c>
      <c r="R142" s="1"/>
    </row>
    <row r="143" spans="1:18" ht="15.75">
      <c r="A143" s="123" t="s">
        <v>312</v>
      </c>
      <c r="B143" s="82" t="s">
        <v>313</v>
      </c>
      <c r="C143" s="291">
        <f>+'2 Össz'!E143</f>
        <v>0</v>
      </c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302">
        <f t="shared" si="67"/>
        <v>0</v>
      </c>
      <c r="Q143" s="303">
        <f t="shared" si="68"/>
        <v>0</v>
      </c>
      <c r="R143" s="1"/>
    </row>
    <row r="144" spans="1:18" ht="15.75">
      <c r="A144" s="80" t="s">
        <v>615</v>
      </c>
      <c r="B144" s="82" t="s">
        <v>314</v>
      </c>
      <c r="C144" s="291">
        <f>+'2 Össz'!E144</f>
        <v>0</v>
      </c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302">
        <f t="shared" si="67"/>
        <v>0</v>
      </c>
      <c r="Q144" s="303">
        <f t="shared" si="68"/>
        <v>0</v>
      </c>
      <c r="R144" s="1"/>
    </row>
    <row r="145" spans="1:18" s="296" customFormat="1" ht="15.75">
      <c r="A145" s="267" t="s">
        <v>428</v>
      </c>
      <c r="B145" s="255" t="s">
        <v>316</v>
      </c>
      <c r="C145" s="294">
        <f>+'2 Össz'!E145</f>
        <v>205767</v>
      </c>
      <c r="D145" s="262">
        <f>SUM(D140:D144)+D139+D134+D129</f>
        <v>27000</v>
      </c>
      <c r="E145" s="262">
        <f aca="true" t="shared" si="95" ref="E145:O145">SUM(E140:E144)+E139+E134+E129</f>
        <v>6851</v>
      </c>
      <c r="F145" s="262">
        <f t="shared" si="95"/>
        <v>2000</v>
      </c>
      <c r="G145" s="262">
        <f t="shared" si="95"/>
        <v>12805</v>
      </c>
      <c r="H145" s="262">
        <f t="shared" si="95"/>
        <v>75573</v>
      </c>
      <c r="I145" s="262">
        <f t="shared" si="95"/>
        <v>0</v>
      </c>
      <c r="J145" s="262">
        <f t="shared" si="95"/>
        <v>0</v>
      </c>
      <c r="K145" s="262">
        <f t="shared" si="95"/>
        <v>48500</v>
      </c>
      <c r="L145" s="262">
        <f t="shared" si="95"/>
        <v>0</v>
      </c>
      <c r="M145" s="262">
        <f t="shared" si="95"/>
        <v>33038</v>
      </c>
      <c r="N145" s="262">
        <f t="shared" si="95"/>
        <v>0</v>
      </c>
      <c r="O145" s="262">
        <f t="shared" si="95"/>
        <v>0</v>
      </c>
      <c r="P145" s="305">
        <f t="shared" si="67"/>
        <v>205767</v>
      </c>
      <c r="Q145" s="306">
        <f t="shared" si="68"/>
        <v>0</v>
      </c>
      <c r="R145" s="295"/>
    </row>
    <row r="146" spans="1:18" ht="15.75">
      <c r="A146" s="123" t="s">
        <v>635</v>
      </c>
      <c r="B146" s="82" t="s">
        <v>324</v>
      </c>
      <c r="C146" s="291">
        <f>+'2 Össz'!E146</f>
        <v>0</v>
      </c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302">
        <f t="shared" si="67"/>
        <v>0</v>
      </c>
      <c r="Q146" s="303">
        <f t="shared" si="68"/>
        <v>0</v>
      </c>
      <c r="R146" s="1"/>
    </row>
    <row r="147" spans="1:18" ht="15.75">
      <c r="A147" s="80" t="s">
        <v>325</v>
      </c>
      <c r="B147" s="82" t="s">
        <v>326</v>
      </c>
      <c r="C147" s="291">
        <f>+'2 Össz'!E147</f>
        <v>0</v>
      </c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302">
        <f t="shared" si="67"/>
        <v>0</v>
      </c>
      <c r="Q147" s="303">
        <f t="shared" si="68"/>
        <v>0</v>
      </c>
      <c r="R147" s="1"/>
    </row>
    <row r="148" spans="1:18" s="296" customFormat="1" ht="15.75">
      <c r="A148" s="299" t="s">
        <v>515</v>
      </c>
      <c r="B148" s="300" t="s">
        <v>327</v>
      </c>
      <c r="C148" s="294">
        <f>+'2 Össz'!E148</f>
        <v>205767</v>
      </c>
      <c r="D148" s="262">
        <f>+D147+D146+D145</f>
        <v>27000</v>
      </c>
      <c r="E148" s="262">
        <f aca="true" t="shared" si="96" ref="E148:O148">+E147+E146+E145</f>
        <v>6851</v>
      </c>
      <c r="F148" s="262">
        <f t="shared" si="96"/>
        <v>2000</v>
      </c>
      <c r="G148" s="262">
        <f t="shared" si="96"/>
        <v>12805</v>
      </c>
      <c r="H148" s="262">
        <f t="shared" si="96"/>
        <v>75573</v>
      </c>
      <c r="I148" s="262">
        <f t="shared" si="96"/>
        <v>0</v>
      </c>
      <c r="J148" s="262">
        <f t="shared" si="96"/>
        <v>0</v>
      </c>
      <c r="K148" s="262">
        <f t="shared" si="96"/>
        <v>48500</v>
      </c>
      <c r="L148" s="262">
        <f t="shared" si="96"/>
        <v>0</v>
      </c>
      <c r="M148" s="262">
        <f t="shared" si="96"/>
        <v>33038</v>
      </c>
      <c r="N148" s="262">
        <f t="shared" si="96"/>
        <v>0</v>
      </c>
      <c r="O148" s="262">
        <f t="shared" si="96"/>
        <v>0</v>
      </c>
      <c r="P148" s="302">
        <f t="shared" si="67"/>
        <v>205767</v>
      </c>
      <c r="Q148" s="303">
        <f t="shared" si="68"/>
        <v>0</v>
      </c>
      <c r="R148" s="295"/>
    </row>
    <row r="149" spans="1:18" s="296" customFormat="1" ht="15.75">
      <c r="A149" s="259" t="s">
        <v>654</v>
      </c>
      <c r="B149" s="259" t="s">
        <v>670</v>
      </c>
      <c r="C149" s="262">
        <f>+C123+C148</f>
        <v>3607777</v>
      </c>
      <c r="D149" s="262">
        <f>+D123+D148</f>
        <v>247761</v>
      </c>
      <c r="E149" s="262">
        <f>+E123+E148</f>
        <v>245620</v>
      </c>
      <c r="F149" s="262">
        <f aca="true" t="shared" si="97" ref="F149:O149">+F123+F148</f>
        <v>373206</v>
      </c>
      <c r="G149" s="262">
        <f t="shared" si="97"/>
        <v>252057</v>
      </c>
      <c r="H149" s="262">
        <f t="shared" si="97"/>
        <v>299425</v>
      </c>
      <c r="I149" s="262">
        <f t="shared" si="97"/>
        <v>250897</v>
      </c>
      <c r="J149" s="262">
        <f t="shared" si="97"/>
        <v>316491</v>
      </c>
      <c r="K149" s="262">
        <f t="shared" si="97"/>
        <v>245835</v>
      </c>
      <c r="L149" s="262">
        <f t="shared" si="97"/>
        <v>246577</v>
      </c>
      <c r="M149" s="262">
        <f t="shared" si="97"/>
        <v>312756</v>
      </c>
      <c r="N149" s="262">
        <f t="shared" si="97"/>
        <v>439330</v>
      </c>
      <c r="O149" s="262">
        <f t="shared" si="97"/>
        <v>377822</v>
      </c>
      <c r="P149" s="305">
        <f t="shared" si="67"/>
        <v>3607777</v>
      </c>
      <c r="Q149" s="306">
        <f t="shared" si="68"/>
        <v>0</v>
      </c>
      <c r="R149" s="295"/>
    </row>
    <row r="150" spans="1:5" ht="15.75">
      <c r="A150" s="312"/>
      <c r="B150" s="312"/>
      <c r="C150" s="313"/>
      <c r="D150" s="314"/>
      <c r="E150" s="314"/>
    </row>
    <row r="151" spans="1:16" ht="15.75">
      <c r="A151" s="312"/>
      <c r="B151" s="312"/>
      <c r="C151" s="311">
        <f>+C149-C77</f>
        <v>0</v>
      </c>
      <c r="D151" s="311">
        <f>+D149-D77</f>
        <v>483</v>
      </c>
      <c r="E151" s="311">
        <f>+E149-E77</f>
        <v>210</v>
      </c>
      <c r="F151" s="311">
        <f aca="true" t="shared" si="98" ref="F151:P151">+F149-F77</f>
        <v>792</v>
      </c>
      <c r="G151" s="311">
        <f t="shared" si="98"/>
        <v>451</v>
      </c>
      <c r="H151" s="311">
        <f t="shared" si="98"/>
        <v>29</v>
      </c>
      <c r="I151" s="311">
        <f t="shared" si="98"/>
        <v>357</v>
      </c>
      <c r="J151" s="311">
        <f t="shared" si="98"/>
        <v>-327</v>
      </c>
      <c r="K151" s="311">
        <f t="shared" si="98"/>
        <v>-257</v>
      </c>
      <c r="L151" s="311">
        <f t="shared" si="98"/>
        <v>485</v>
      </c>
      <c r="M151" s="311">
        <f t="shared" si="98"/>
        <v>-936</v>
      </c>
      <c r="N151" s="311">
        <f t="shared" si="98"/>
        <v>-96</v>
      </c>
      <c r="O151" s="311">
        <f t="shared" si="98"/>
        <v>-1191</v>
      </c>
      <c r="P151" s="311">
        <f t="shared" si="98"/>
        <v>0</v>
      </c>
    </row>
    <row r="152" spans="1:5" ht="15.75">
      <c r="A152" s="4"/>
      <c r="B152" s="4"/>
      <c r="C152" s="141"/>
      <c r="D152" s="141"/>
      <c r="E152" s="142"/>
    </row>
    <row r="153" spans="1:15" ht="15.75">
      <c r="A153" s="74" t="s">
        <v>676</v>
      </c>
      <c r="B153" s="74"/>
      <c r="C153" s="93">
        <f>+C123-C57</f>
        <v>-111319</v>
      </c>
      <c r="D153" s="93">
        <f aca="true" t="shared" si="99" ref="D153:O153">+D123-D57</f>
        <v>-24649</v>
      </c>
      <c r="E153" s="93">
        <f t="shared" si="99"/>
        <v>-6641</v>
      </c>
      <c r="F153" s="93">
        <f t="shared" si="99"/>
        <v>-1208</v>
      </c>
      <c r="G153" s="93">
        <f t="shared" si="99"/>
        <v>-12354</v>
      </c>
      <c r="H153" s="93">
        <f t="shared" si="99"/>
        <v>-75544</v>
      </c>
      <c r="I153" s="93">
        <f t="shared" si="99"/>
        <v>357</v>
      </c>
      <c r="J153" s="93">
        <f t="shared" si="99"/>
        <v>355</v>
      </c>
      <c r="K153" s="93">
        <f t="shared" si="99"/>
        <v>-48075</v>
      </c>
      <c r="L153" s="93">
        <f t="shared" si="99"/>
        <v>1167</v>
      </c>
      <c r="M153" s="93">
        <f t="shared" si="99"/>
        <v>-33292</v>
      </c>
      <c r="N153" s="93">
        <f t="shared" si="99"/>
        <v>586</v>
      </c>
      <c r="O153" s="93">
        <f t="shared" si="99"/>
        <v>87979</v>
      </c>
    </row>
    <row r="154" spans="1:15" ht="15.75">
      <c r="A154" s="74" t="s">
        <v>746</v>
      </c>
      <c r="B154" s="74"/>
      <c r="C154" s="93">
        <f>+C148-C76</f>
        <v>111319</v>
      </c>
      <c r="D154" s="93">
        <f aca="true" t="shared" si="100" ref="D154:O154">+D148-D76</f>
        <v>25132</v>
      </c>
      <c r="E154" s="93">
        <f t="shared" si="100"/>
        <v>6851</v>
      </c>
      <c r="F154" s="93">
        <f t="shared" si="100"/>
        <v>2000</v>
      </c>
      <c r="G154" s="93">
        <f t="shared" si="100"/>
        <v>12805</v>
      </c>
      <c r="H154" s="93">
        <f t="shared" si="100"/>
        <v>75573</v>
      </c>
      <c r="I154" s="93">
        <f t="shared" si="100"/>
        <v>0</v>
      </c>
      <c r="J154" s="93">
        <f t="shared" si="100"/>
        <v>-682</v>
      </c>
      <c r="K154" s="93">
        <f t="shared" si="100"/>
        <v>47818</v>
      </c>
      <c r="L154" s="93">
        <f t="shared" si="100"/>
        <v>-682</v>
      </c>
      <c r="M154" s="93">
        <f t="shared" si="100"/>
        <v>32356</v>
      </c>
      <c r="N154" s="93">
        <f t="shared" si="100"/>
        <v>-682</v>
      </c>
      <c r="O154" s="93">
        <f t="shared" si="100"/>
        <v>-89170</v>
      </c>
    </row>
    <row r="155" spans="1:5" ht="15.75">
      <c r="A155" s="212"/>
      <c r="B155" s="212"/>
      <c r="C155" s="134"/>
      <c r="D155" s="134"/>
      <c r="E155" s="134"/>
    </row>
    <row r="156" spans="1:15" ht="15.75">
      <c r="A156" s="74" t="s">
        <v>359</v>
      </c>
      <c r="B156" s="74"/>
      <c r="C156" s="93">
        <f>+C124+C128+C135-C60</f>
        <v>0</v>
      </c>
      <c r="D156" s="93">
        <f aca="true" t="shared" si="101" ref="D156:O156">+D124+D128+D135-D60</f>
        <v>-57688</v>
      </c>
      <c r="E156" s="93">
        <f t="shared" si="101"/>
        <v>-34829</v>
      </c>
      <c r="F156" s="93">
        <f t="shared" si="101"/>
        <v>92757</v>
      </c>
      <c r="G156" s="93">
        <f t="shared" si="101"/>
        <v>-28392</v>
      </c>
      <c r="H156" s="93">
        <f t="shared" si="101"/>
        <v>18976</v>
      </c>
      <c r="I156" s="93">
        <f t="shared" si="101"/>
        <v>-26552</v>
      </c>
      <c r="J156" s="93">
        <f t="shared" si="101"/>
        <v>36042</v>
      </c>
      <c r="K156" s="93">
        <f t="shared" si="101"/>
        <v>-37614</v>
      </c>
      <c r="L156" s="93">
        <f t="shared" si="101"/>
        <v>-33872</v>
      </c>
      <c r="M156" s="93">
        <f t="shared" si="101"/>
        <v>-56597</v>
      </c>
      <c r="N156" s="93">
        <f t="shared" si="101"/>
        <v>118881</v>
      </c>
      <c r="O156" s="93">
        <f t="shared" si="101"/>
        <v>8888</v>
      </c>
    </row>
    <row r="157" spans="1:15" ht="15.75">
      <c r="A157" s="74" t="s">
        <v>360</v>
      </c>
      <c r="B157" s="74"/>
      <c r="C157" s="93">
        <f>+C125+C136-C58+C126</f>
        <v>0</v>
      </c>
      <c r="D157" s="93">
        <f aca="true" t="shared" si="102" ref="D157:O157">+D125+D136-D58+D126</f>
        <v>58171</v>
      </c>
      <c r="E157" s="93">
        <f t="shared" si="102"/>
        <v>35039</v>
      </c>
      <c r="F157" s="93">
        <f t="shared" si="102"/>
        <v>-91965</v>
      </c>
      <c r="G157" s="93">
        <f t="shared" si="102"/>
        <v>28843</v>
      </c>
      <c r="H157" s="93">
        <f t="shared" si="102"/>
        <v>-18947</v>
      </c>
      <c r="I157" s="93">
        <f t="shared" si="102"/>
        <v>26909</v>
      </c>
      <c r="J157" s="93">
        <f t="shared" si="102"/>
        <v>-36369</v>
      </c>
      <c r="K157" s="93">
        <f t="shared" si="102"/>
        <v>37357</v>
      </c>
      <c r="L157" s="93">
        <f t="shared" si="102"/>
        <v>34357</v>
      </c>
      <c r="M157" s="93">
        <f t="shared" si="102"/>
        <v>55661</v>
      </c>
      <c r="N157" s="93">
        <f t="shared" si="102"/>
        <v>-118977</v>
      </c>
      <c r="O157" s="93">
        <f t="shared" si="102"/>
        <v>-10079</v>
      </c>
    </row>
    <row r="158" spans="1:5" ht="15.75">
      <c r="A158" s="4"/>
      <c r="B158" s="4"/>
      <c r="C158" s="141"/>
      <c r="D158" s="141"/>
      <c r="E158" s="142"/>
    </row>
    <row r="159" spans="1:16" ht="15.75">
      <c r="A159" s="143" t="s">
        <v>756</v>
      </c>
      <c r="B159" s="4"/>
      <c r="C159" s="141">
        <f>+C149-C77</f>
        <v>0</v>
      </c>
      <c r="D159" s="141">
        <f aca="true" t="shared" si="103" ref="D159:P159">+D149-D77</f>
        <v>483</v>
      </c>
      <c r="E159" s="141">
        <f t="shared" si="103"/>
        <v>210</v>
      </c>
      <c r="F159" s="141">
        <f t="shared" si="103"/>
        <v>792</v>
      </c>
      <c r="G159" s="141">
        <f t="shared" si="103"/>
        <v>451</v>
      </c>
      <c r="H159" s="141">
        <f t="shared" si="103"/>
        <v>29</v>
      </c>
      <c r="I159" s="141">
        <f t="shared" si="103"/>
        <v>357</v>
      </c>
      <c r="J159" s="141">
        <f t="shared" si="103"/>
        <v>-327</v>
      </c>
      <c r="K159" s="141">
        <f t="shared" si="103"/>
        <v>-257</v>
      </c>
      <c r="L159" s="141">
        <f t="shared" si="103"/>
        <v>485</v>
      </c>
      <c r="M159" s="141">
        <f t="shared" si="103"/>
        <v>-936</v>
      </c>
      <c r="N159" s="141">
        <f t="shared" si="103"/>
        <v>-96</v>
      </c>
      <c r="O159" s="141">
        <f t="shared" si="103"/>
        <v>-1191</v>
      </c>
      <c r="P159" s="141">
        <f t="shared" si="103"/>
        <v>0</v>
      </c>
    </row>
  </sheetData>
  <sheetProtection/>
  <printOptions horizontalCentered="1"/>
  <pageMargins left="0.7086614173228347" right="0.7086614173228347" top="0.31496062992125984" bottom="0.31496062992125984" header="0.1968503937007874" footer="0.15748031496062992"/>
  <pageSetup fitToHeight="2" horizontalDpi="300" verticalDpi="300" orientation="landscape" paperSize="9" scale="45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L272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7.00390625" style="4" customWidth="1"/>
    <col min="2" max="2" width="10.140625" style="4" customWidth="1"/>
    <col min="3" max="3" width="14.28125" style="376" customWidth="1"/>
    <col min="4" max="4" width="13.7109375" style="4" customWidth="1"/>
    <col min="5" max="5" width="14.421875" style="4" customWidth="1"/>
    <col min="6" max="6" width="13.7109375" style="4" customWidth="1"/>
    <col min="7" max="7" width="149.140625" style="4" customWidth="1"/>
    <col min="8" max="16384" width="9.140625" style="4" customWidth="1"/>
  </cols>
  <sheetData>
    <row r="1" spans="1:6" s="180" customFormat="1" ht="15.75">
      <c r="A1" s="246"/>
      <c r="C1" s="359"/>
      <c r="F1" s="71" t="s">
        <v>738</v>
      </c>
    </row>
    <row r="2" spans="1:6" s="180" customFormat="1" ht="15.75">
      <c r="A2" s="246"/>
      <c r="C2" s="359"/>
      <c r="F2" s="144" t="s">
        <v>68</v>
      </c>
    </row>
    <row r="3" spans="1:6" ht="18.75">
      <c r="A3" s="32" t="s">
        <v>757</v>
      </c>
      <c r="B3" s="101"/>
      <c r="C3" s="360"/>
      <c r="D3" s="101"/>
      <c r="E3" s="101"/>
      <c r="F3" s="101"/>
    </row>
    <row r="4" spans="1:6" ht="15.75">
      <c r="A4" s="85"/>
      <c r="B4" s="97"/>
      <c r="C4" s="361"/>
      <c r="D4" s="97"/>
      <c r="E4" s="97"/>
      <c r="F4" s="97"/>
    </row>
    <row r="5" spans="1:12" ht="36" customHeight="1">
      <c r="A5" s="401" t="s">
        <v>458</v>
      </c>
      <c r="B5" s="401"/>
      <c r="C5" s="401"/>
      <c r="D5" s="401"/>
      <c r="E5" s="401"/>
      <c r="F5" s="401"/>
      <c r="G5" s="394" t="s">
        <v>739</v>
      </c>
      <c r="H5" s="394"/>
      <c r="I5" s="394"/>
      <c r="J5" s="394"/>
      <c r="K5" s="394"/>
      <c r="L5" s="394"/>
    </row>
    <row r="6" spans="1:7" ht="31.5">
      <c r="A6" s="1"/>
      <c r="B6"/>
      <c r="C6" s="363"/>
      <c r="G6" s="315" t="s">
        <v>98</v>
      </c>
    </row>
    <row r="7" spans="1:7" ht="31.5">
      <c r="A7" s="72" t="s">
        <v>76</v>
      </c>
      <c r="B7" s="79" t="s">
        <v>77</v>
      </c>
      <c r="C7" s="364" t="s">
        <v>737</v>
      </c>
      <c r="D7" s="318" t="s">
        <v>734</v>
      </c>
      <c r="E7" s="318" t="s">
        <v>735</v>
      </c>
      <c r="F7" s="318" t="s">
        <v>736</v>
      </c>
      <c r="G7" s="316" t="s">
        <v>99</v>
      </c>
    </row>
    <row r="8" spans="1:7" ht="15.75">
      <c r="A8" s="106" t="s">
        <v>328</v>
      </c>
      <c r="B8" s="107" t="s">
        <v>112</v>
      </c>
      <c r="C8" s="365">
        <v>980682</v>
      </c>
      <c r="D8" s="92">
        <f aca="true" t="shared" si="0" ref="D8:F9">ROUND(+C8*1.1,0)</f>
        <v>1078750</v>
      </c>
      <c r="E8" s="92">
        <f t="shared" si="0"/>
        <v>1186625</v>
      </c>
      <c r="F8" s="92">
        <f t="shared" si="0"/>
        <v>1305288</v>
      </c>
      <c r="G8" s="316" t="s">
        <v>100</v>
      </c>
    </row>
    <row r="9" spans="1:7" ht="15.75">
      <c r="A9" s="82" t="s">
        <v>329</v>
      </c>
      <c r="B9" s="107" t="s">
        <v>113</v>
      </c>
      <c r="C9" s="365">
        <v>52885</v>
      </c>
      <c r="D9" s="92">
        <f t="shared" si="0"/>
        <v>58174</v>
      </c>
      <c r="E9" s="92">
        <f t="shared" si="0"/>
        <v>63991</v>
      </c>
      <c r="F9" s="92">
        <f t="shared" si="0"/>
        <v>70390</v>
      </c>
      <c r="G9" s="317" t="s">
        <v>823</v>
      </c>
    </row>
    <row r="10" spans="1:6" ht="15.75">
      <c r="A10" s="108" t="s">
        <v>560</v>
      </c>
      <c r="B10" s="109" t="s">
        <v>114</v>
      </c>
      <c r="C10" s="366">
        <f>SUM(C8:C9)</f>
        <v>1033567</v>
      </c>
      <c r="D10" s="93">
        <f>SUM(D8:D9)</f>
        <v>1136924</v>
      </c>
      <c r="E10" s="93">
        <f>SUM(E8:E9)</f>
        <v>1250616</v>
      </c>
      <c r="F10" s="93">
        <f>SUM(F8:F9)</f>
        <v>1375678</v>
      </c>
    </row>
    <row r="11" spans="1:7" ht="15.75">
      <c r="A11" s="90" t="s">
        <v>553</v>
      </c>
      <c r="B11" s="109" t="s">
        <v>115</v>
      </c>
      <c r="C11" s="367">
        <v>264743</v>
      </c>
      <c r="D11" s="93">
        <f>ROUND(+C11*1.1,0)</f>
        <v>291217</v>
      </c>
      <c r="E11" s="93">
        <f>ROUND(+D11*1.1,0)</f>
        <v>320339</v>
      </c>
      <c r="F11" s="93">
        <f>ROUND(+E11*1.1,0)</f>
        <v>352373</v>
      </c>
      <c r="G11" s="3" t="s">
        <v>48</v>
      </c>
    </row>
    <row r="12" spans="1:7" ht="15.75">
      <c r="A12" s="82" t="s">
        <v>330</v>
      </c>
      <c r="B12" s="107" t="s">
        <v>116</v>
      </c>
      <c r="C12" s="365">
        <v>273780</v>
      </c>
      <c r="D12" s="92">
        <f aca="true" t="shared" si="1" ref="D12:F13">ROUND(+C12*0.95,0)</f>
        <v>260091</v>
      </c>
      <c r="E12" s="92">
        <f t="shared" si="1"/>
        <v>247086</v>
      </c>
      <c r="F12" s="92">
        <f t="shared" si="1"/>
        <v>234732</v>
      </c>
      <c r="G12" s="3" t="s">
        <v>49</v>
      </c>
    </row>
    <row r="13" spans="1:7" ht="15.75">
      <c r="A13" s="82" t="s">
        <v>561</v>
      </c>
      <c r="B13" s="107" t="s">
        <v>117</v>
      </c>
      <c r="C13" s="365">
        <v>17771</v>
      </c>
      <c r="D13" s="92">
        <f t="shared" si="1"/>
        <v>16882</v>
      </c>
      <c r="E13" s="92">
        <f t="shared" si="1"/>
        <v>16038</v>
      </c>
      <c r="F13" s="92">
        <f t="shared" si="1"/>
        <v>15236</v>
      </c>
      <c r="G13" s="4" t="s">
        <v>50</v>
      </c>
    </row>
    <row r="14" spans="1:7" ht="15.75">
      <c r="A14" s="82" t="s">
        <v>331</v>
      </c>
      <c r="B14" s="107" t="s">
        <v>118</v>
      </c>
      <c r="C14" s="365">
        <v>394333</v>
      </c>
      <c r="D14" s="92">
        <f>ROUND(+C14*0.9,0)-2623</f>
        <v>352277</v>
      </c>
      <c r="E14" s="92">
        <f>ROUND(+D14*0.9,0)-286</f>
        <v>316763</v>
      </c>
      <c r="F14" s="92">
        <f>ROUND(+E14*0.9,0)-315</f>
        <v>284772</v>
      </c>
      <c r="G14" s="4" t="s">
        <v>51</v>
      </c>
    </row>
    <row r="15" spans="1:7" ht="15.75">
      <c r="A15" s="82" t="s">
        <v>332</v>
      </c>
      <c r="B15" s="107" t="s">
        <v>119</v>
      </c>
      <c r="C15" s="365">
        <v>3639</v>
      </c>
      <c r="D15" s="92">
        <v>3000</v>
      </c>
      <c r="E15" s="92">
        <v>3000</v>
      </c>
      <c r="F15" s="92">
        <v>3000</v>
      </c>
      <c r="G15" s="4" t="s">
        <v>52</v>
      </c>
    </row>
    <row r="16" spans="1:7" ht="15.75">
      <c r="A16" s="82" t="s">
        <v>333</v>
      </c>
      <c r="B16" s="107" t="s">
        <v>120</v>
      </c>
      <c r="C16" s="365">
        <v>312823</v>
      </c>
      <c r="D16" s="92">
        <f>ROUND(+C16*0.9,0)</f>
        <v>281541</v>
      </c>
      <c r="E16" s="92">
        <f>ROUND(+D16*0.9,0)</f>
        <v>253387</v>
      </c>
      <c r="F16" s="92">
        <f>ROUND(+E16*0.9,0)</f>
        <v>228048</v>
      </c>
      <c r="G16" s="4" t="s">
        <v>53</v>
      </c>
    </row>
    <row r="17" spans="1:7" ht="15.75">
      <c r="A17" s="90" t="s">
        <v>334</v>
      </c>
      <c r="B17" s="109" t="s">
        <v>121</v>
      </c>
      <c r="C17" s="366">
        <f>SUM(C12:C16)</f>
        <v>1002346</v>
      </c>
      <c r="D17" s="93">
        <f>SUM(D12:D16)</f>
        <v>913791</v>
      </c>
      <c r="E17" s="93">
        <f>SUM(E12:E16)</f>
        <v>836274</v>
      </c>
      <c r="F17" s="93">
        <f>SUM(F12:F16)</f>
        <v>765788</v>
      </c>
      <c r="G17" s="4" t="s">
        <v>54</v>
      </c>
    </row>
    <row r="18" spans="1:7" ht="15.75">
      <c r="A18" s="78" t="s">
        <v>398</v>
      </c>
      <c r="B18" s="109" t="s">
        <v>128</v>
      </c>
      <c r="C18" s="367">
        <v>270887</v>
      </c>
      <c r="D18" s="93">
        <v>270000</v>
      </c>
      <c r="E18" s="93">
        <v>270000</v>
      </c>
      <c r="F18" s="93">
        <v>270000</v>
      </c>
      <c r="G18" s="4" t="s">
        <v>55</v>
      </c>
    </row>
    <row r="19" spans="1:6" ht="15.75">
      <c r="A19" s="88" t="s">
        <v>554</v>
      </c>
      <c r="B19" s="107" t="s">
        <v>129</v>
      </c>
      <c r="C19" s="365"/>
      <c r="D19" s="92"/>
      <c r="E19" s="92"/>
      <c r="F19" s="92"/>
    </row>
    <row r="20" spans="1:6" ht="15.75">
      <c r="A20" s="88" t="s">
        <v>130</v>
      </c>
      <c r="B20" s="107" t="s">
        <v>131</v>
      </c>
      <c r="C20" s="365">
        <v>6868</v>
      </c>
      <c r="D20" s="92"/>
      <c r="E20" s="92"/>
      <c r="F20" s="92"/>
    </row>
    <row r="21" spans="1:6" ht="15.75">
      <c r="A21" s="88" t="s">
        <v>803</v>
      </c>
      <c r="B21" s="107" t="s">
        <v>132</v>
      </c>
      <c r="C21" s="365"/>
      <c r="D21" s="92"/>
      <c r="E21" s="92"/>
      <c r="F21" s="92"/>
    </row>
    <row r="22" spans="1:6" ht="15.75">
      <c r="A22" s="88" t="s">
        <v>802</v>
      </c>
      <c r="B22" s="107" t="s">
        <v>133</v>
      </c>
      <c r="C22" s="365"/>
      <c r="D22" s="92"/>
      <c r="E22" s="92"/>
      <c r="F22" s="92"/>
    </row>
    <row r="23" spans="1:6" ht="15.75">
      <c r="A23" s="88" t="s">
        <v>801</v>
      </c>
      <c r="B23" s="107" t="s">
        <v>134</v>
      </c>
      <c r="C23" s="365"/>
      <c r="D23" s="92"/>
      <c r="E23" s="92"/>
      <c r="F23" s="92"/>
    </row>
    <row r="24" spans="1:6" ht="15.75">
      <c r="A24" s="88" t="s">
        <v>804</v>
      </c>
      <c r="B24" s="107" t="s">
        <v>135</v>
      </c>
      <c r="C24" s="365">
        <v>151160</v>
      </c>
      <c r="D24" s="290">
        <v>151160</v>
      </c>
      <c r="E24" s="290">
        <v>151160</v>
      </c>
      <c r="F24" s="290">
        <v>151160</v>
      </c>
    </row>
    <row r="25" spans="1:6" ht="15.75">
      <c r="A25" s="88" t="s">
        <v>799</v>
      </c>
      <c r="B25" s="107" t="s">
        <v>136</v>
      </c>
      <c r="C25" s="365"/>
      <c r="D25" s="92"/>
      <c r="E25" s="92"/>
      <c r="F25" s="92"/>
    </row>
    <row r="26" spans="1:6" ht="15.75">
      <c r="A26" s="88" t="s">
        <v>798</v>
      </c>
      <c r="B26" s="107" t="s">
        <v>137</v>
      </c>
      <c r="C26" s="365"/>
      <c r="D26" s="92"/>
      <c r="E26" s="92"/>
      <c r="F26" s="92"/>
    </row>
    <row r="27" spans="1:6" ht="15.75">
      <c r="A27" s="88" t="s">
        <v>138</v>
      </c>
      <c r="B27" s="107" t="s">
        <v>139</v>
      </c>
      <c r="C27" s="365"/>
      <c r="D27" s="92"/>
      <c r="E27" s="92"/>
      <c r="F27" s="92"/>
    </row>
    <row r="28" spans="1:6" ht="15.75">
      <c r="A28" s="87" t="s">
        <v>140</v>
      </c>
      <c r="B28" s="107" t="s">
        <v>141</v>
      </c>
      <c r="C28" s="365"/>
      <c r="D28" s="92"/>
      <c r="E28" s="92"/>
      <c r="F28" s="92"/>
    </row>
    <row r="29" spans="1:6" ht="15.75">
      <c r="A29" s="88" t="s">
        <v>555</v>
      </c>
      <c r="B29" s="107" t="s">
        <v>142</v>
      </c>
      <c r="C29" s="365">
        <v>46488</v>
      </c>
      <c r="D29" s="92">
        <v>40000</v>
      </c>
      <c r="E29" s="92">
        <v>40000</v>
      </c>
      <c r="F29" s="92">
        <v>40000</v>
      </c>
    </row>
    <row r="30" spans="1:6" ht="15.75">
      <c r="A30" s="87" t="s">
        <v>790</v>
      </c>
      <c r="B30" s="107" t="s">
        <v>143</v>
      </c>
      <c r="C30" s="365">
        <v>30000</v>
      </c>
      <c r="D30" s="290">
        <v>30000</v>
      </c>
      <c r="E30" s="290">
        <v>30000</v>
      </c>
      <c r="F30" s="290">
        <v>30000</v>
      </c>
    </row>
    <row r="31" spans="1:6" ht="15.75">
      <c r="A31" s="87" t="s">
        <v>791</v>
      </c>
      <c r="B31" s="107" t="s">
        <v>143</v>
      </c>
      <c r="C31" s="365">
        <v>2650</v>
      </c>
      <c r="D31" s="290">
        <v>2650</v>
      </c>
      <c r="E31" s="290">
        <v>2650</v>
      </c>
      <c r="F31" s="290">
        <v>2650</v>
      </c>
    </row>
    <row r="32" spans="1:6" ht="15.75">
      <c r="A32" s="78" t="s">
        <v>399</v>
      </c>
      <c r="B32" s="109" t="s">
        <v>144</v>
      </c>
      <c r="C32" s="368">
        <f>SUM(C19:C31)</f>
        <v>237166</v>
      </c>
      <c r="D32" s="93">
        <f>SUM(D19:D31)</f>
        <v>223810</v>
      </c>
      <c r="E32" s="93">
        <f>SUM(E19:E31)</f>
        <v>223810</v>
      </c>
      <c r="F32" s="93">
        <f>SUM(F19:F31)</f>
        <v>223810</v>
      </c>
    </row>
    <row r="33" spans="1:6" ht="15.75">
      <c r="A33" s="292" t="s">
        <v>785</v>
      </c>
      <c r="B33" s="293" t="s">
        <v>673</v>
      </c>
      <c r="C33" s="369">
        <f>+C32+C18+C17+C11+C10</f>
        <v>2808709</v>
      </c>
      <c r="D33" s="262">
        <f>+D32+D18+D17+D11+D10</f>
        <v>2835742</v>
      </c>
      <c r="E33" s="262">
        <f>+E32+E18+E17+E11+E10</f>
        <v>2901039</v>
      </c>
      <c r="F33" s="262">
        <f>+F32+F18+F17+F11+F10</f>
        <v>2987649</v>
      </c>
    </row>
    <row r="34" spans="1:6" ht="15.75">
      <c r="A34" s="114" t="s">
        <v>145</v>
      </c>
      <c r="B34" s="107" t="s">
        <v>146</v>
      </c>
      <c r="C34" s="365">
        <v>3417</v>
      </c>
      <c r="D34" s="92"/>
      <c r="E34" s="92"/>
      <c r="F34" s="92"/>
    </row>
    <row r="35" spans="1:6" ht="15.75">
      <c r="A35" s="114" t="s">
        <v>556</v>
      </c>
      <c r="B35" s="107" t="s">
        <v>147</v>
      </c>
      <c r="C35" s="365">
        <v>10866</v>
      </c>
      <c r="D35" s="92">
        <v>5748</v>
      </c>
      <c r="E35" s="92"/>
      <c r="F35" s="92"/>
    </row>
    <row r="36" spans="1:6" ht="15.75">
      <c r="A36" s="114" t="s">
        <v>148</v>
      </c>
      <c r="B36" s="107" t="s">
        <v>149</v>
      </c>
      <c r="C36" s="365">
        <v>942</v>
      </c>
      <c r="D36" s="92"/>
      <c r="E36" s="92"/>
      <c r="F36" s="92"/>
    </row>
    <row r="37" spans="1:6" ht="15.75">
      <c r="A37" s="114" t="s">
        <v>150</v>
      </c>
      <c r="B37" s="107" t="s">
        <v>151</v>
      </c>
      <c r="C37" s="365">
        <v>26673</v>
      </c>
      <c r="D37" s="92">
        <v>20000</v>
      </c>
      <c r="E37" s="92">
        <v>10000</v>
      </c>
      <c r="F37" s="92">
        <v>10000</v>
      </c>
    </row>
    <row r="38" spans="1:6" ht="15.75">
      <c r="A38" s="81" t="s">
        <v>152</v>
      </c>
      <c r="B38" s="107" t="s">
        <v>153</v>
      </c>
      <c r="C38" s="365"/>
      <c r="D38" s="92"/>
      <c r="E38" s="92"/>
      <c r="F38" s="92"/>
    </row>
    <row r="39" spans="1:6" ht="15.75">
      <c r="A39" s="81" t="s">
        <v>154</v>
      </c>
      <c r="B39" s="107" t="s">
        <v>155</v>
      </c>
      <c r="C39" s="365"/>
      <c r="D39" s="92"/>
      <c r="E39" s="92"/>
      <c r="F39" s="92"/>
    </row>
    <row r="40" spans="1:6" ht="15.75">
      <c r="A40" s="81" t="s">
        <v>156</v>
      </c>
      <c r="B40" s="107" t="s">
        <v>157</v>
      </c>
      <c r="C40" s="365">
        <v>8882</v>
      </c>
      <c r="D40" s="92">
        <f>ROUND(SUM(D34:D39)*0.27,0)</f>
        <v>6952</v>
      </c>
      <c r="E40" s="92">
        <f>ROUND(SUM(E34:E39)*0.27,0)</f>
        <v>2700</v>
      </c>
      <c r="F40" s="92">
        <f>ROUND(SUM(F34:F39)*0.27,0)</f>
        <v>2700</v>
      </c>
    </row>
    <row r="41" spans="1:6" ht="15.75">
      <c r="A41" s="256" t="s">
        <v>400</v>
      </c>
      <c r="B41" s="293" t="s">
        <v>158</v>
      </c>
      <c r="C41" s="369">
        <f>SUM(C34:C40)</f>
        <v>50780</v>
      </c>
      <c r="D41" s="262">
        <f>SUM(D34:D40)</f>
        <v>32700</v>
      </c>
      <c r="E41" s="262">
        <f>SUM(E34:E40)</f>
        <v>12700</v>
      </c>
      <c r="F41" s="262">
        <f>SUM(F34:F40)</f>
        <v>12700</v>
      </c>
    </row>
    <row r="42" spans="1:6" ht="15.75">
      <c r="A42" s="80" t="s">
        <v>159</v>
      </c>
      <c r="B42" s="107" t="s">
        <v>160</v>
      </c>
      <c r="C42" s="365">
        <v>254996</v>
      </c>
      <c r="D42" s="92">
        <v>50000</v>
      </c>
      <c r="E42" s="92">
        <v>50000</v>
      </c>
      <c r="F42" s="92">
        <v>50000</v>
      </c>
    </row>
    <row r="43" spans="1:6" ht="15.75">
      <c r="A43" s="80" t="s">
        <v>161</v>
      </c>
      <c r="B43" s="107" t="s">
        <v>162</v>
      </c>
      <c r="C43" s="365"/>
      <c r="D43" s="92"/>
      <c r="E43" s="92"/>
      <c r="F43" s="92"/>
    </row>
    <row r="44" spans="1:6" ht="15.75">
      <c r="A44" s="80" t="s">
        <v>163</v>
      </c>
      <c r="B44" s="107" t="s">
        <v>164</v>
      </c>
      <c r="C44" s="365">
        <v>154055</v>
      </c>
      <c r="D44" s="92">
        <v>50000</v>
      </c>
      <c r="E44" s="92">
        <v>50000</v>
      </c>
      <c r="F44" s="92">
        <v>50000</v>
      </c>
    </row>
    <row r="45" spans="1:6" ht="15.75">
      <c r="A45" s="80" t="s">
        <v>165</v>
      </c>
      <c r="B45" s="107" t="s">
        <v>166</v>
      </c>
      <c r="C45" s="365">
        <v>108595</v>
      </c>
      <c r="D45" s="92">
        <f>ROUND(SUM(D42:D44)*0.27,0)</f>
        <v>27000</v>
      </c>
      <c r="E45" s="92">
        <f>ROUND(SUM(E42:E44)*0.27,0)</f>
        <v>27000</v>
      </c>
      <c r="F45" s="92">
        <f>ROUND(SUM(F42:F44)*0.27,0)</f>
        <v>27000</v>
      </c>
    </row>
    <row r="46" spans="1:6" ht="15.75">
      <c r="A46" s="255" t="s">
        <v>401</v>
      </c>
      <c r="B46" s="293" t="s">
        <v>167</v>
      </c>
      <c r="C46" s="369">
        <f>SUM(C42:C45)</f>
        <v>517646</v>
      </c>
      <c r="D46" s="262">
        <f>SUM(D42:D45)</f>
        <v>127000</v>
      </c>
      <c r="E46" s="262">
        <f>SUM(E42:E45)</f>
        <v>127000</v>
      </c>
      <c r="F46" s="262">
        <f>SUM(F42:F45)</f>
        <v>127000</v>
      </c>
    </row>
    <row r="47" spans="1:6" ht="15.75">
      <c r="A47" s="80" t="s">
        <v>793</v>
      </c>
      <c r="B47" s="107" t="s">
        <v>168</v>
      </c>
      <c r="C47" s="365"/>
      <c r="D47" s="92"/>
      <c r="E47" s="92"/>
      <c r="F47" s="92"/>
    </row>
    <row r="48" spans="1:6" ht="15.75">
      <c r="A48" s="80" t="s">
        <v>794</v>
      </c>
      <c r="B48" s="107" t="s">
        <v>169</v>
      </c>
      <c r="C48" s="365"/>
      <c r="D48" s="92"/>
      <c r="E48" s="92"/>
      <c r="F48" s="92"/>
    </row>
    <row r="49" spans="1:6" ht="15.75">
      <c r="A49" s="80" t="s">
        <v>795</v>
      </c>
      <c r="B49" s="107" t="s">
        <v>170</v>
      </c>
      <c r="C49" s="365"/>
      <c r="D49" s="92"/>
      <c r="E49" s="92"/>
      <c r="F49" s="92"/>
    </row>
    <row r="50" spans="1:6" ht="15.75">
      <c r="A50" s="80" t="s">
        <v>805</v>
      </c>
      <c r="B50" s="107" t="s">
        <v>171</v>
      </c>
      <c r="C50" s="365">
        <v>136194</v>
      </c>
      <c r="D50" s="92"/>
      <c r="E50" s="92"/>
      <c r="F50" s="92"/>
    </row>
    <row r="51" spans="1:6" ht="15.75">
      <c r="A51" s="80" t="s">
        <v>796</v>
      </c>
      <c r="B51" s="107" t="s">
        <v>172</v>
      </c>
      <c r="C51" s="365"/>
      <c r="D51" s="92"/>
      <c r="E51" s="92"/>
      <c r="F51" s="92"/>
    </row>
    <row r="52" spans="1:6" ht="15.75">
      <c r="A52" s="80" t="s">
        <v>797</v>
      </c>
      <c r="B52" s="107" t="s">
        <v>173</v>
      </c>
      <c r="C52" s="365"/>
      <c r="D52" s="92"/>
      <c r="E52" s="92"/>
      <c r="F52" s="92"/>
    </row>
    <row r="53" spans="1:6" ht="15.75">
      <c r="A53" s="80" t="s">
        <v>174</v>
      </c>
      <c r="B53" s="107" t="s">
        <v>175</v>
      </c>
      <c r="C53" s="365"/>
      <c r="D53" s="92"/>
      <c r="E53" s="92"/>
      <c r="F53" s="92"/>
    </row>
    <row r="54" spans="1:6" ht="15.75">
      <c r="A54" s="80" t="s">
        <v>557</v>
      </c>
      <c r="B54" s="107" t="s">
        <v>176</v>
      </c>
      <c r="C54" s="365"/>
      <c r="D54" s="92"/>
      <c r="E54" s="92"/>
      <c r="F54" s="92"/>
    </row>
    <row r="55" spans="1:6" ht="15.75">
      <c r="A55" s="267" t="s">
        <v>411</v>
      </c>
      <c r="B55" s="293" t="s">
        <v>177</v>
      </c>
      <c r="C55" s="369">
        <f>SUM(C47:C54)</f>
        <v>136194</v>
      </c>
      <c r="D55" s="262">
        <f>SUM(D47:D54)</f>
        <v>0</v>
      </c>
      <c r="E55" s="262">
        <f>SUM(E47:E54)</f>
        <v>0</v>
      </c>
      <c r="F55" s="262">
        <f>SUM(F47:F54)</f>
        <v>0</v>
      </c>
    </row>
    <row r="56" spans="1:6" ht="15.75">
      <c r="A56" s="292" t="s">
        <v>784</v>
      </c>
      <c r="B56" s="293" t="s">
        <v>674</v>
      </c>
      <c r="C56" s="369">
        <f>+C55+C46+C41</f>
        <v>704620</v>
      </c>
      <c r="D56" s="262">
        <f>+D55+D46+D41</f>
        <v>159700</v>
      </c>
      <c r="E56" s="262">
        <f>+E55+E46+E41</f>
        <v>139700</v>
      </c>
      <c r="F56" s="262">
        <f>+F55+F46+F41</f>
        <v>139700</v>
      </c>
    </row>
    <row r="57" spans="1:6" ht="15.75">
      <c r="A57" s="270" t="s">
        <v>562</v>
      </c>
      <c r="B57" s="304" t="s">
        <v>675</v>
      </c>
      <c r="C57" s="369">
        <f>+C55+C46+C41+C32+C18+C17+C11+C10</f>
        <v>3513329</v>
      </c>
      <c r="D57" s="262">
        <f>+D55+D46+D41+D32+D18+D17+D11+D10</f>
        <v>2995442</v>
      </c>
      <c r="E57" s="262">
        <f>+E55+E46+E41+E32+E18+E17+E11+E10</f>
        <v>3040739</v>
      </c>
      <c r="F57" s="262">
        <f>+F55+F46+F41+F32+F18+F17+F11+F10</f>
        <v>3127349</v>
      </c>
    </row>
    <row r="58" spans="1:6" ht="15.75">
      <c r="A58" s="80" t="s">
        <v>567</v>
      </c>
      <c r="B58" s="82" t="s">
        <v>178</v>
      </c>
      <c r="C58" s="365">
        <v>5948</v>
      </c>
      <c r="D58" s="92">
        <v>13000</v>
      </c>
      <c r="E58" s="92">
        <v>13000</v>
      </c>
      <c r="F58" s="92">
        <v>13000</v>
      </c>
    </row>
    <row r="59" spans="1:6" ht="15.75">
      <c r="A59" s="80" t="s">
        <v>181</v>
      </c>
      <c r="B59" s="82" t="s">
        <v>182</v>
      </c>
      <c r="C59" s="365"/>
      <c r="D59" s="92"/>
      <c r="E59" s="92"/>
      <c r="F59" s="92"/>
    </row>
    <row r="60" spans="1:6" ht="15.75">
      <c r="A60" s="80" t="s">
        <v>568</v>
      </c>
      <c r="B60" s="82" t="s">
        <v>183</v>
      </c>
      <c r="C60" s="365">
        <v>88500</v>
      </c>
      <c r="D60" s="290">
        <v>88500</v>
      </c>
      <c r="E60" s="290">
        <v>88500</v>
      </c>
      <c r="F60" s="290">
        <v>88500</v>
      </c>
    </row>
    <row r="61" spans="1:6" ht="15.75">
      <c r="A61" s="78" t="s">
        <v>412</v>
      </c>
      <c r="B61" s="90" t="s">
        <v>184</v>
      </c>
      <c r="C61" s="121">
        <f>SUM(C58:C60)</f>
        <v>94448</v>
      </c>
      <c r="D61" s="121">
        <f>SUM(D58:D60)</f>
        <v>101500</v>
      </c>
      <c r="E61" s="121">
        <f>SUM(E58:E60)</f>
        <v>101500</v>
      </c>
      <c r="F61" s="121">
        <f>SUM(F58:F60)</f>
        <v>101500</v>
      </c>
    </row>
    <row r="62" spans="1:6" ht="15.75">
      <c r="A62" s="123" t="s">
        <v>558</v>
      </c>
      <c r="B62" s="82" t="s">
        <v>185</v>
      </c>
      <c r="C62" s="367"/>
      <c r="D62" s="92"/>
      <c r="E62" s="92"/>
      <c r="F62" s="92"/>
    </row>
    <row r="63" spans="1:6" ht="15.75">
      <c r="A63" s="123" t="s">
        <v>544</v>
      </c>
      <c r="B63" s="82" t="s">
        <v>188</v>
      </c>
      <c r="C63" s="367"/>
      <c r="D63" s="92"/>
      <c r="E63" s="92"/>
      <c r="F63" s="92"/>
    </row>
    <row r="64" spans="1:6" ht="15.75">
      <c r="A64" s="80" t="s">
        <v>189</v>
      </c>
      <c r="B64" s="82" t="s">
        <v>190</v>
      </c>
      <c r="C64" s="367"/>
      <c r="D64" s="92"/>
      <c r="E64" s="92"/>
      <c r="F64" s="92"/>
    </row>
    <row r="65" spans="1:6" ht="15.75">
      <c r="A65" s="80" t="s">
        <v>559</v>
      </c>
      <c r="B65" s="82" t="s">
        <v>191</v>
      </c>
      <c r="C65" s="365"/>
      <c r="D65" s="92"/>
      <c r="E65" s="92"/>
      <c r="F65" s="92"/>
    </row>
    <row r="66" spans="1:6" ht="15.75">
      <c r="A66" s="125" t="s">
        <v>413</v>
      </c>
      <c r="B66" s="90" t="s">
        <v>192</v>
      </c>
      <c r="C66" s="126">
        <f>SUM(C62:C65)</f>
        <v>0</v>
      </c>
      <c r="D66" s="126">
        <f>SUM(D62:D65)</f>
        <v>0</v>
      </c>
      <c r="E66" s="126">
        <f>SUM(E62:E65)</f>
        <v>0</v>
      </c>
      <c r="F66" s="126">
        <f>SUM(F62:F65)</f>
        <v>0</v>
      </c>
    </row>
    <row r="67" spans="1:6" ht="15.75">
      <c r="A67" s="123" t="s">
        <v>193</v>
      </c>
      <c r="B67" s="82" t="s">
        <v>194</v>
      </c>
      <c r="C67" s="367"/>
      <c r="D67" s="92"/>
      <c r="E67" s="92"/>
      <c r="F67" s="92"/>
    </row>
    <row r="68" spans="1:6" ht="15.75">
      <c r="A68" s="123" t="s">
        <v>195</v>
      </c>
      <c r="B68" s="82" t="s">
        <v>196</v>
      </c>
      <c r="C68" s="367"/>
      <c r="D68" s="92"/>
      <c r="E68" s="92"/>
      <c r="F68" s="92"/>
    </row>
    <row r="69" spans="1:6" ht="15.75">
      <c r="A69" s="123" t="s">
        <v>667</v>
      </c>
      <c r="B69" s="82" t="s">
        <v>197</v>
      </c>
      <c r="C69" s="367"/>
      <c r="D69" s="92"/>
      <c r="E69" s="92"/>
      <c r="F69" s="92"/>
    </row>
    <row r="70" spans="1:6" ht="15.75">
      <c r="A70" s="123" t="s">
        <v>198</v>
      </c>
      <c r="B70" s="82" t="s">
        <v>199</v>
      </c>
      <c r="C70" s="367"/>
      <c r="D70" s="92"/>
      <c r="E70" s="92"/>
      <c r="F70" s="92"/>
    </row>
    <row r="71" spans="1:6" ht="15.75">
      <c r="A71" s="123" t="s">
        <v>200</v>
      </c>
      <c r="B71" s="82" t="s">
        <v>201</v>
      </c>
      <c r="C71" s="367"/>
      <c r="D71" s="92"/>
      <c r="E71" s="92"/>
      <c r="F71" s="92"/>
    </row>
    <row r="72" spans="1:6" ht="15.75">
      <c r="A72" s="123" t="s">
        <v>202</v>
      </c>
      <c r="B72" s="82" t="s">
        <v>203</v>
      </c>
      <c r="C72" s="367"/>
      <c r="D72" s="92"/>
      <c r="E72" s="92"/>
      <c r="F72" s="92"/>
    </row>
    <row r="73" spans="1:6" ht="15.75">
      <c r="A73" s="125" t="s">
        <v>542</v>
      </c>
      <c r="B73" s="90" t="s">
        <v>204</v>
      </c>
      <c r="C73" s="126">
        <f>+C72+C71+C70+C69+C68+C67+C66+C61</f>
        <v>94448</v>
      </c>
      <c r="D73" s="126">
        <f>+D72+D71+D70+D69+D68+D67+D66+D61</f>
        <v>101500</v>
      </c>
      <c r="E73" s="126">
        <f>+E72+E71+E70+E69+E68+E67+E66+E61</f>
        <v>101500</v>
      </c>
      <c r="F73" s="126">
        <f>+F72+F71+F70+F69+F68+F67+F66+F61</f>
        <v>101500</v>
      </c>
    </row>
    <row r="74" spans="1:6" ht="15.75">
      <c r="A74" s="125" t="s">
        <v>547</v>
      </c>
      <c r="B74" s="90" t="s">
        <v>214</v>
      </c>
      <c r="C74" s="367"/>
      <c r="D74" s="92"/>
      <c r="E74" s="92"/>
      <c r="F74" s="92"/>
    </row>
    <row r="75" spans="1:6" ht="15.75">
      <c r="A75" s="80" t="s">
        <v>215</v>
      </c>
      <c r="B75" s="82" t="s">
        <v>216</v>
      </c>
      <c r="C75" s="367"/>
      <c r="D75" s="92"/>
      <c r="E75" s="92"/>
      <c r="F75" s="92"/>
    </row>
    <row r="76" spans="1:6" ht="15.75">
      <c r="A76" s="299" t="s">
        <v>563</v>
      </c>
      <c r="B76" s="300" t="s">
        <v>217</v>
      </c>
      <c r="C76" s="301">
        <f>+C75+C74+C73</f>
        <v>94448</v>
      </c>
      <c r="D76" s="301">
        <f>+D75+D74+D73</f>
        <v>101500</v>
      </c>
      <c r="E76" s="301">
        <f>+E75+E74+E73</f>
        <v>101500</v>
      </c>
      <c r="F76" s="301">
        <f>+F75+F74+F73</f>
        <v>101500</v>
      </c>
    </row>
    <row r="77" spans="1:6" ht="15.75">
      <c r="A77" s="259" t="s">
        <v>771</v>
      </c>
      <c r="B77" s="259" t="s">
        <v>671</v>
      </c>
      <c r="C77" s="369">
        <f>+C57+C76</f>
        <v>3607777</v>
      </c>
      <c r="D77" s="262">
        <f>+D57+D76</f>
        <v>3096942</v>
      </c>
      <c r="E77" s="262">
        <f>+E57+E76</f>
        <v>3142239</v>
      </c>
      <c r="F77" s="262">
        <f>+F57+F76</f>
        <v>3228849</v>
      </c>
    </row>
    <row r="78" spans="1:6" ht="31.5">
      <c r="A78" s="72" t="s">
        <v>76</v>
      </c>
      <c r="B78" s="79" t="s">
        <v>77</v>
      </c>
      <c r="C78" s="364" t="s">
        <v>737</v>
      </c>
      <c r="D78" s="318" t="s">
        <v>734</v>
      </c>
      <c r="E78" s="318" t="s">
        <v>735</v>
      </c>
      <c r="F78" s="318" t="s">
        <v>736</v>
      </c>
    </row>
    <row r="79" spans="1:6" ht="15.75">
      <c r="A79" s="106" t="s">
        <v>218</v>
      </c>
      <c r="B79" s="81" t="s">
        <v>219</v>
      </c>
      <c r="C79" s="365">
        <v>228421</v>
      </c>
      <c r="D79" s="92">
        <v>230000</v>
      </c>
      <c r="E79" s="92">
        <v>230000</v>
      </c>
      <c r="F79" s="92">
        <v>230000</v>
      </c>
    </row>
    <row r="80" spans="1:6" ht="15.75">
      <c r="A80" s="82" t="s">
        <v>220</v>
      </c>
      <c r="B80" s="81" t="s">
        <v>221</v>
      </c>
      <c r="C80" s="365">
        <v>171460</v>
      </c>
      <c r="D80" s="92">
        <v>175000</v>
      </c>
      <c r="E80" s="92">
        <v>175000</v>
      </c>
      <c r="F80" s="92">
        <v>175000</v>
      </c>
    </row>
    <row r="81" spans="1:6" ht="15.75">
      <c r="A81" s="82" t="s">
        <v>222</v>
      </c>
      <c r="B81" s="81" t="s">
        <v>223</v>
      </c>
      <c r="C81" s="365">
        <v>612676</v>
      </c>
      <c r="D81" s="92">
        <v>620000</v>
      </c>
      <c r="E81" s="92">
        <v>620000</v>
      </c>
      <c r="F81" s="92">
        <v>620000</v>
      </c>
    </row>
    <row r="82" spans="1:6" ht="15.75">
      <c r="A82" s="82" t="s">
        <v>224</v>
      </c>
      <c r="B82" s="81" t="s">
        <v>225</v>
      </c>
      <c r="C82" s="365">
        <v>13093</v>
      </c>
      <c r="D82" s="92">
        <v>15000</v>
      </c>
      <c r="E82" s="92">
        <v>15000</v>
      </c>
      <c r="F82" s="92">
        <v>15000</v>
      </c>
    </row>
    <row r="83" spans="1:6" ht="15.75">
      <c r="A83" s="82" t="s">
        <v>226</v>
      </c>
      <c r="B83" s="81" t="s">
        <v>227</v>
      </c>
      <c r="C83" s="365"/>
      <c r="D83" s="92"/>
      <c r="E83" s="92"/>
      <c r="F83" s="92"/>
    </row>
    <row r="84" spans="1:6" ht="15.75">
      <c r="A84" s="82" t="s">
        <v>228</v>
      </c>
      <c r="B84" s="81" t="s">
        <v>229</v>
      </c>
      <c r="C84" s="365">
        <v>247967</v>
      </c>
      <c r="D84" s="92">
        <v>220000</v>
      </c>
      <c r="E84" s="92">
        <v>217000</v>
      </c>
      <c r="F84" s="92">
        <v>217000</v>
      </c>
    </row>
    <row r="85" spans="1:6" ht="15.75">
      <c r="A85" s="90" t="s">
        <v>620</v>
      </c>
      <c r="B85" s="83" t="s">
        <v>230</v>
      </c>
      <c r="C85" s="366">
        <f>SUM(C79:C84)</f>
        <v>1273617</v>
      </c>
      <c r="D85" s="93">
        <f>SUM(D79:D84)</f>
        <v>1260000</v>
      </c>
      <c r="E85" s="93">
        <f>SUM(E79:E84)</f>
        <v>1257000</v>
      </c>
      <c r="F85" s="93">
        <f>SUM(F79:F84)</f>
        <v>1257000</v>
      </c>
    </row>
    <row r="86" spans="1:6" ht="15.75">
      <c r="A86" s="82" t="s">
        <v>231</v>
      </c>
      <c r="B86" s="81" t="s">
        <v>232</v>
      </c>
      <c r="C86" s="365"/>
      <c r="D86" s="92"/>
      <c r="E86" s="92"/>
      <c r="F86" s="92"/>
    </row>
    <row r="87" spans="1:6" ht="15.75">
      <c r="A87" s="82" t="s">
        <v>768</v>
      </c>
      <c r="B87" s="81" t="s">
        <v>233</v>
      </c>
      <c r="C87" s="365"/>
      <c r="D87" s="92"/>
      <c r="E87" s="92"/>
      <c r="F87" s="92"/>
    </row>
    <row r="88" spans="1:6" ht="15.75">
      <c r="A88" s="82" t="s">
        <v>766</v>
      </c>
      <c r="B88" s="81" t="s">
        <v>234</v>
      </c>
      <c r="C88" s="365"/>
      <c r="D88" s="92"/>
      <c r="E88" s="92"/>
      <c r="F88" s="92"/>
    </row>
    <row r="89" spans="1:6" ht="15.75">
      <c r="A89" s="82" t="s">
        <v>767</v>
      </c>
      <c r="B89" s="81" t="s">
        <v>235</v>
      </c>
      <c r="C89" s="365"/>
      <c r="D89" s="92"/>
      <c r="E89" s="92"/>
      <c r="F89" s="92"/>
    </row>
    <row r="90" spans="1:6" ht="15.75">
      <c r="A90" s="82" t="s">
        <v>572</v>
      </c>
      <c r="B90" s="81" t="s">
        <v>236</v>
      </c>
      <c r="C90" s="365">
        <v>664233</v>
      </c>
      <c r="D90" s="92">
        <v>746907</v>
      </c>
      <c r="E90" s="92">
        <v>814670</v>
      </c>
      <c r="F90" s="92">
        <v>900746</v>
      </c>
    </row>
    <row r="91" spans="1:6" ht="15.75">
      <c r="A91" s="255" t="s">
        <v>621</v>
      </c>
      <c r="B91" s="256" t="s">
        <v>237</v>
      </c>
      <c r="C91" s="369">
        <f>+C90+C89+C88+C87+C86+C85</f>
        <v>1937850</v>
      </c>
      <c r="D91" s="262">
        <f>+D90+D89+D88+D87+D86+D85</f>
        <v>2006907</v>
      </c>
      <c r="E91" s="262">
        <f>+E90+E89+E88+E87+E86+E85</f>
        <v>2071670</v>
      </c>
      <c r="F91" s="262">
        <f>+F90+F89+F88+F87+F86+F85</f>
        <v>2157746</v>
      </c>
    </row>
    <row r="92" spans="1:6" ht="15.75">
      <c r="A92" s="255" t="s">
        <v>622</v>
      </c>
      <c r="B92" s="256" t="s">
        <v>242</v>
      </c>
      <c r="C92" s="370">
        <v>531264</v>
      </c>
      <c r="D92" s="262">
        <f>ROUND(+D46*0.9,0)-20038</f>
        <v>94262</v>
      </c>
      <c r="E92" s="262">
        <f>ROUND(+E46*0.9,0)-17000</f>
        <v>97300</v>
      </c>
      <c r="F92" s="262">
        <f>ROUND(+F46*0.9,0)-17000</f>
        <v>97300</v>
      </c>
    </row>
    <row r="93" spans="1:6" ht="15.75">
      <c r="A93" s="82" t="s">
        <v>623</v>
      </c>
      <c r="B93" s="81" t="s">
        <v>243</v>
      </c>
      <c r="C93" s="365"/>
      <c r="D93" s="92"/>
      <c r="E93" s="92"/>
      <c r="F93" s="92"/>
    </row>
    <row r="94" spans="1:6" ht="15.75">
      <c r="A94" s="82" t="s">
        <v>573</v>
      </c>
      <c r="B94" s="81" t="s">
        <v>244</v>
      </c>
      <c r="C94" s="365"/>
      <c r="D94" s="92"/>
      <c r="E94" s="92"/>
      <c r="F94" s="92"/>
    </row>
    <row r="95" spans="1:6" ht="15.75">
      <c r="A95" s="82" t="s">
        <v>574</v>
      </c>
      <c r="B95" s="81" t="s">
        <v>245</v>
      </c>
      <c r="C95" s="365"/>
      <c r="D95" s="92"/>
      <c r="E95" s="92"/>
      <c r="F95" s="92"/>
    </row>
    <row r="96" spans="1:6" ht="15.75">
      <c r="A96" s="82" t="s">
        <v>575</v>
      </c>
      <c r="B96" s="81" t="s">
        <v>246</v>
      </c>
      <c r="C96" s="365">
        <v>96750</v>
      </c>
      <c r="D96" s="290">
        <v>96750</v>
      </c>
      <c r="E96" s="290">
        <v>96750</v>
      </c>
      <c r="F96" s="290">
        <v>96750</v>
      </c>
    </row>
    <row r="97" spans="1:6" ht="15.75">
      <c r="A97" s="82" t="s">
        <v>624</v>
      </c>
      <c r="B97" s="81" t="s">
        <v>258</v>
      </c>
      <c r="C97" s="365">
        <v>257450</v>
      </c>
      <c r="D97" s="290">
        <v>257450</v>
      </c>
      <c r="E97" s="290">
        <v>257450</v>
      </c>
      <c r="F97" s="290">
        <v>257450</v>
      </c>
    </row>
    <row r="98" spans="1:6" ht="15.75">
      <c r="A98" s="82" t="s">
        <v>578</v>
      </c>
      <c r="B98" s="81" t="s">
        <v>259</v>
      </c>
      <c r="C98" s="365">
        <v>3000</v>
      </c>
      <c r="D98" s="290">
        <v>3000</v>
      </c>
      <c r="E98" s="290">
        <v>3000</v>
      </c>
      <c r="F98" s="290">
        <v>3000</v>
      </c>
    </row>
    <row r="99" spans="1:6" ht="15.75">
      <c r="A99" s="255" t="s">
        <v>625</v>
      </c>
      <c r="B99" s="256" t="s">
        <v>260</v>
      </c>
      <c r="C99" s="369">
        <f>SUM(C93:C98)</f>
        <v>357200</v>
      </c>
      <c r="D99" s="262">
        <f>SUM(D93:D98)</f>
        <v>357200</v>
      </c>
      <c r="E99" s="262">
        <f>SUM(E93:E98)</f>
        <v>357200</v>
      </c>
      <c r="F99" s="262">
        <f>SUM(F93:F98)</f>
        <v>357200</v>
      </c>
    </row>
    <row r="100" spans="1:6" ht="15.75">
      <c r="A100" s="80" t="s">
        <v>261</v>
      </c>
      <c r="B100" s="81" t="s">
        <v>262</v>
      </c>
      <c r="C100" s="365">
        <v>19300</v>
      </c>
      <c r="D100" s="290">
        <v>20000</v>
      </c>
      <c r="E100" s="290">
        <v>20000</v>
      </c>
      <c r="F100" s="290">
        <v>20000</v>
      </c>
    </row>
    <row r="101" spans="1:6" ht="15.75">
      <c r="A101" s="80" t="s">
        <v>579</v>
      </c>
      <c r="B101" s="81" t="s">
        <v>263</v>
      </c>
      <c r="C101" s="365">
        <v>235593</v>
      </c>
      <c r="D101" s="290">
        <v>239000</v>
      </c>
      <c r="E101" s="290">
        <v>239000</v>
      </c>
      <c r="F101" s="290">
        <v>239000</v>
      </c>
    </row>
    <row r="102" spans="1:6" ht="15.75">
      <c r="A102" s="80" t="s">
        <v>580</v>
      </c>
      <c r="B102" s="81" t="s">
        <v>264</v>
      </c>
      <c r="C102" s="365">
        <v>544</v>
      </c>
      <c r="D102" s="290"/>
      <c r="E102" s="290"/>
      <c r="F102" s="290"/>
    </row>
    <row r="103" spans="1:6" ht="15.75">
      <c r="A103" s="80" t="s">
        <v>581</v>
      </c>
      <c r="B103" s="81" t="s">
        <v>265</v>
      </c>
      <c r="C103" s="365">
        <v>3131</v>
      </c>
      <c r="D103" s="290">
        <v>3138</v>
      </c>
      <c r="E103" s="290">
        <v>3100</v>
      </c>
      <c r="F103" s="290">
        <v>3100</v>
      </c>
    </row>
    <row r="104" spans="1:6" ht="15.75">
      <c r="A104" s="80" t="s">
        <v>266</v>
      </c>
      <c r="B104" s="81" t="s">
        <v>267</v>
      </c>
      <c r="C104" s="365">
        <v>162835</v>
      </c>
      <c r="D104" s="290">
        <v>166000</v>
      </c>
      <c r="E104" s="290">
        <v>166000</v>
      </c>
      <c r="F104" s="290">
        <v>166000</v>
      </c>
    </row>
    <row r="105" spans="1:6" ht="15.75">
      <c r="A105" s="80" t="s">
        <v>268</v>
      </c>
      <c r="B105" s="81" t="s">
        <v>269</v>
      </c>
      <c r="C105" s="365">
        <v>27359</v>
      </c>
      <c r="D105" s="290">
        <v>28000</v>
      </c>
      <c r="E105" s="290">
        <v>28000</v>
      </c>
      <c r="F105" s="290">
        <v>28000</v>
      </c>
    </row>
    <row r="106" spans="1:6" ht="15.75">
      <c r="A106" s="80" t="s">
        <v>270</v>
      </c>
      <c r="B106" s="81" t="s">
        <v>271</v>
      </c>
      <c r="C106" s="365"/>
      <c r="D106" s="290"/>
      <c r="E106" s="290"/>
      <c r="F106" s="290"/>
    </row>
    <row r="107" spans="1:6" ht="15.75">
      <c r="A107" s="80" t="s">
        <v>582</v>
      </c>
      <c r="B107" s="81" t="s">
        <v>272</v>
      </c>
      <c r="C107" s="365">
        <v>2110</v>
      </c>
      <c r="D107" s="290">
        <v>2000</v>
      </c>
      <c r="E107" s="290">
        <v>2000</v>
      </c>
      <c r="F107" s="290">
        <v>2000</v>
      </c>
    </row>
    <row r="108" spans="1:6" ht="15.75">
      <c r="A108" s="80" t="s">
        <v>583</v>
      </c>
      <c r="B108" s="81" t="s">
        <v>273</v>
      </c>
      <c r="C108" s="365"/>
      <c r="D108" s="290"/>
      <c r="E108" s="290"/>
      <c r="F108" s="290"/>
    </row>
    <row r="109" spans="1:6" ht="15.75">
      <c r="A109" s="80" t="s">
        <v>584</v>
      </c>
      <c r="B109" s="81" t="s">
        <v>274</v>
      </c>
      <c r="C109" s="365">
        <v>3558</v>
      </c>
      <c r="D109" s="290">
        <v>3000</v>
      </c>
      <c r="E109" s="290">
        <v>3000</v>
      </c>
      <c r="F109" s="290">
        <v>3000</v>
      </c>
    </row>
    <row r="110" spans="1:6" ht="15.75">
      <c r="A110" s="267" t="s">
        <v>626</v>
      </c>
      <c r="B110" s="256" t="s">
        <v>275</v>
      </c>
      <c r="C110" s="369">
        <f>SUM(C100:C109)</f>
        <v>454430</v>
      </c>
      <c r="D110" s="262">
        <f>SUM(D100:D109)</f>
        <v>461138</v>
      </c>
      <c r="E110" s="262">
        <f>SUM(E100:E109)</f>
        <v>461100</v>
      </c>
      <c r="F110" s="262">
        <f>SUM(F100:F109)</f>
        <v>461100</v>
      </c>
    </row>
    <row r="111" spans="1:6" ht="15.75">
      <c r="A111" s="80" t="s">
        <v>585</v>
      </c>
      <c r="B111" s="81" t="s">
        <v>276</v>
      </c>
      <c r="C111" s="365"/>
      <c r="D111" s="92"/>
      <c r="E111" s="92"/>
      <c r="F111" s="92"/>
    </row>
    <row r="112" spans="1:6" ht="15.75">
      <c r="A112" s="80" t="s">
        <v>586</v>
      </c>
      <c r="B112" s="81" t="s">
        <v>277</v>
      </c>
      <c r="C112" s="365">
        <v>95866</v>
      </c>
      <c r="D112" s="92">
        <v>20000</v>
      </c>
      <c r="E112" s="92">
        <v>20000</v>
      </c>
      <c r="F112" s="92">
        <v>20000</v>
      </c>
    </row>
    <row r="113" spans="1:6" ht="15.75">
      <c r="A113" s="80" t="s">
        <v>278</v>
      </c>
      <c r="B113" s="81" t="s">
        <v>279</v>
      </c>
      <c r="C113" s="365"/>
      <c r="D113" s="92"/>
      <c r="E113" s="92"/>
      <c r="F113" s="92"/>
    </row>
    <row r="114" spans="1:6" ht="15.75">
      <c r="A114" s="80" t="s">
        <v>587</v>
      </c>
      <c r="B114" s="81" t="s">
        <v>280</v>
      </c>
      <c r="C114" s="365"/>
      <c r="D114" s="92"/>
      <c r="E114" s="92"/>
      <c r="F114" s="92"/>
    </row>
    <row r="115" spans="1:6" ht="15.75">
      <c r="A115" s="80" t="s">
        <v>281</v>
      </c>
      <c r="B115" s="81" t="s">
        <v>282</v>
      </c>
      <c r="C115" s="365"/>
      <c r="D115" s="92"/>
      <c r="E115" s="92"/>
      <c r="F115" s="92"/>
    </row>
    <row r="116" spans="1:6" ht="15.75">
      <c r="A116" s="255" t="s">
        <v>627</v>
      </c>
      <c r="B116" s="256" t="s">
        <v>283</v>
      </c>
      <c r="C116" s="369">
        <f>SUM(C111:C115)</f>
        <v>95866</v>
      </c>
      <c r="D116" s="262">
        <f>SUM(D111:D115)</f>
        <v>20000</v>
      </c>
      <c r="E116" s="262">
        <f>SUM(E111:E115)</f>
        <v>20000</v>
      </c>
      <c r="F116" s="262">
        <f>SUM(F111:F115)</f>
        <v>20000</v>
      </c>
    </row>
    <row r="117" spans="1:6" ht="15.75">
      <c r="A117" s="255" t="s">
        <v>628</v>
      </c>
      <c r="B117" s="256" t="s">
        <v>286</v>
      </c>
      <c r="C117" s="370">
        <v>0</v>
      </c>
      <c r="D117" s="294">
        <v>0</v>
      </c>
      <c r="E117" s="294">
        <v>0</v>
      </c>
      <c r="F117" s="294">
        <v>0</v>
      </c>
    </row>
    <row r="118" spans="1:6" ht="15.75">
      <c r="A118" s="80" t="s">
        <v>808</v>
      </c>
      <c r="B118" s="81" t="s">
        <v>287</v>
      </c>
      <c r="C118" s="365"/>
      <c r="D118" s="92"/>
      <c r="E118" s="92"/>
      <c r="F118" s="92"/>
    </row>
    <row r="119" spans="1:6" ht="15.75">
      <c r="A119" s="82" t="s">
        <v>807</v>
      </c>
      <c r="B119" s="81" t="s">
        <v>288</v>
      </c>
      <c r="C119" s="365"/>
      <c r="D119" s="92"/>
      <c r="E119" s="92"/>
      <c r="F119" s="92"/>
    </row>
    <row r="120" spans="1:6" ht="15.75">
      <c r="A120" s="80" t="s">
        <v>612</v>
      </c>
      <c r="B120" s="81" t="s">
        <v>289</v>
      </c>
      <c r="C120" s="365">
        <v>25400</v>
      </c>
      <c r="D120" s="290">
        <v>25400</v>
      </c>
      <c r="E120" s="290">
        <v>25400</v>
      </c>
      <c r="F120" s="290">
        <v>25400</v>
      </c>
    </row>
    <row r="121" spans="1:6" ht="15.75">
      <c r="A121" s="255" t="s">
        <v>630</v>
      </c>
      <c r="B121" s="256" t="s">
        <v>290</v>
      </c>
      <c r="C121" s="369">
        <f>SUM(C118:C120)</f>
        <v>25400</v>
      </c>
      <c r="D121" s="262">
        <f>SUM(D118:D120)</f>
        <v>25400</v>
      </c>
      <c r="E121" s="262">
        <f>SUM(E118:E120)</f>
        <v>25400</v>
      </c>
      <c r="F121" s="262">
        <f>SUM(F118:F120)</f>
        <v>25400</v>
      </c>
    </row>
    <row r="122" spans="1:6" ht="15.75">
      <c r="A122" s="269" t="s">
        <v>629</v>
      </c>
      <c r="B122" s="270" t="s">
        <v>672</v>
      </c>
      <c r="C122" s="369">
        <f>+C121+C117+C116+C110+C99+C92+C91</f>
        <v>3402010</v>
      </c>
      <c r="D122" s="262">
        <f>+D121+D117+D116+D110+D99+D92+D91</f>
        <v>2964907</v>
      </c>
      <c r="E122" s="262">
        <f>+E121+E117+E116+E110+E99+E92+E91</f>
        <v>3032670</v>
      </c>
      <c r="F122" s="262">
        <f>+F121+F117+F116+F110+F99+F92+F91</f>
        <v>3118746</v>
      </c>
    </row>
    <row r="123" spans="1:6" ht="15.75">
      <c r="A123" s="297" t="s">
        <v>668</v>
      </c>
      <c r="B123" s="298"/>
      <c r="C123" s="371">
        <f>+C117+C110+C99+C91-C33</f>
        <v>-59229</v>
      </c>
      <c r="D123" s="264">
        <f>+D117+D110+D99+D91-D33</f>
        <v>-10497</v>
      </c>
      <c r="E123" s="264">
        <f>+E117+E110+E99+E91-E33</f>
        <v>-11069</v>
      </c>
      <c r="F123" s="264">
        <f>+F117+F110+F99+F91-F33</f>
        <v>-11603</v>
      </c>
    </row>
    <row r="124" spans="1:6" ht="15.75">
      <c r="A124" s="297" t="s">
        <v>669</v>
      </c>
      <c r="B124" s="298"/>
      <c r="C124" s="371">
        <f>+C121+C116+C92-C56</f>
        <v>-52090</v>
      </c>
      <c r="D124" s="264">
        <f>+D121+D116+D92-D56</f>
        <v>-20038</v>
      </c>
      <c r="E124" s="264">
        <f>+E121+E116+E92-E56</f>
        <v>3000</v>
      </c>
      <c r="F124" s="264">
        <f>+F121+F116+F92-F56</f>
        <v>3000</v>
      </c>
    </row>
    <row r="125" spans="1:6" ht="15.75">
      <c r="A125" s="123" t="s">
        <v>102</v>
      </c>
      <c r="B125" s="82" t="s">
        <v>291</v>
      </c>
      <c r="C125" s="365">
        <v>33038</v>
      </c>
      <c r="D125" s="365">
        <v>33038</v>
      </c>
      <c r="E125" s="92">
        <v>10000</v>
      </c>
      <c r="F125" s="92">
        <v>10000</v>
      </c>
    </row>
    <row r="126" spans="1:6" ht="15.75">
      <c r="A126" s="80" t="s">
        <v>292</v>
      </c>
      <c r="B126" s="82" t="s">
        <v>293</v>
      </c>
      <c r="C126" s="365"/>
      <c r="D126" s="92"/>
      <c r="E126" s="92"/>
      <c r="F126" s="92"/>
    </row>
    <row r="127" spans="1:6" ht="15.75">
      <c r="A127" s="123" t="s">
        <v>103</v>
      </c>
      <c r="B127" s="82" t="s">
        <v>294</v>
      </c>
      <c r="C127" s="365">
        <v>88500</v>
      </c>
      <c r="D127" s="290">
        <v>88500</v>
      </c>
      <c r="E127" s="290">
        <v>88500</v>
      </c>
      <c r="F127" s="290">
        <v>88500</v>
      </c>
    </row>
    <row r="128" spans="1:6" ht="15.75">
      <c r="A128" s="78" t="s">
        <v>631</v>
      </c>
      <c r="B128" s="90" t="s">
        <v>295</v>
      </c>
      <c r="C128" s="366">
        <f>SUM(C125:C127)</f>
        <v>121538</v>
      </c>
      <c r="D128" s="93">
        <f>SUM(D125:D127)</f>
        <v>121538</v>
      </c>
      <c r="E128" s="93">
        <f>SUM(E125:E127)</f>
        <v>98500</v>
      </c>
      <c r="F128" s="93">
        <f>SUM(F125:F127)</f>
        <v>98500</v>
      </c>
    </row>
    <row r="129" spans="1:6" ht="15.75">
      <c r="A129" s="80" t="s">
        <v>613</v>
      </c>
      <c r="B129" s="82" t="s">
        <v>296</v>
      </c>
      <c r="C129" s="365"/>
      <c r="D129" s="92"/>
      <c r="E129" s="92"/>
      <c r="F129" s="92"/>
    </row>
    <row r="130" spans="1:6" ht="15.75">
      <c r="A130" s="123" t="s">
        <v>297</v>
      </c>
      <c r="B130" s="82" t="s">
        <v>298</v>
      </c>
      <c r="C130" s="365"/>
      <c r="D130" s="92"/>
      <c r="E130" s="92"/>
      <c r="F130" s="92"/>
    </row>
    <row r="131" spans="1:6" ht="15.75">
      <c r="A131" s="80" t="s">
        <v>614</v>
      </c>
      <c r="B131" s="82" t="s">
        <v>299</v>
      </c>
      <c r="C131" s="365"/>
      <c r="D131" s="92"/>
      <c r="E131" s="92"/>
      <c r="F131" s="92"/>
    </row>
    <row r="132" spans="1:6" ht="15.75">
      <c r="A132" s="123" t="s">
        <v>300</v>
      </c>
      <c r="B132" s="82" t="s">
        <v>301</v>
      </c>
      <c r="C132" s="365"/>
      <c r="D132" s="92"/>
      <c r="E132" s="92"/>
      <c r="F132" s="92"/>
    </row>
    <row r="133" spans="1:6" ht="15.75">
      <c r="A133" s="125" t="s">
        <v>632</v>
      </c>
      <c r="B133" s="90" t="s">
        <v>302</v>
      </c>
      <c r="C133" s="366">
        <f>SUM(C129:C132)</f>
        <v>0</v>
      </c>
      <c r="D133" s="93">
        <f>SUM(D129:D132)</f>
        <v>0</v>
      </c>
      <c r="E133" s="93">
        <f>SUM(E129:E132)</f>
        <v>0</v>
      </c>
      <c r="F133" s="93">
        <f>SUM(F129:F132)</f>
        <v>0</v>
      </c>
    </row>
    <row r="134" spans="1:6" ht="15.75">
      <c r="A134" s="82" t="s">
        <v>788</v>
      </c>
      <c r="B134" s="82" t="s">
        <v>303</v>
      </c>
      <c r="C134" s="365">
        <v>59229</v>
      </c>
      <c r="D134" s="92">
        <v>10497</v>
      </c>
      <c r="E134" s="92">
        <v>11069</v>
      </c>
      <c r="F134" s="92">
        <v>11603</v>
      </c>
    </row>
    <row r="135" spans="1:6" ht="15.75">
      <c r="A135" s="82" t="s">
        <v>789</v>
      </c>
      <c r="B135" s="82" t="s">
        <v>303</v>
      </c>
      <c r="C135" s="365">
        <v>25000</v>
      </c>
      <c r="D135" s="92"/>
      <c r="E135" s="92"/>
      <c r="F135" s="92"/>
    </row>
    <row r="136" spans="1:6" ht="15.75">
      <c r="A136" s="82" t="s">
        <v>786</v>
      </c>
      <c r="B136" s="82" t="s">
        <v>304</v>
      </c>
      <c r="C136" s="365"/>
      <c r="D136" s="92"/>
      <c r="E136" s="92"/>
      <c r="F136" s="92"/>
    </row>
    <row r="137" spans="1:6" ht="15.75">
      <c r="A137" s="82" t="s">
        <v>787</v>
      </c>
      <c r="B137" s="82" t="s">
        <v>304</v>
      </c>
      <c r="C137" s="365"/>
      <c r="D137" s="92"/>
      <c r="E137" s="92"/>
      <c r="F137" s="92"/>
    </row>
    <row r="138" spans="1:6" ht="15.75">
      <c r="A138" s="90" t="s">
        <v>633</v>
      </c>
      <c r="B138" s="90" t="s">
        <v>305</v>
      </c>
      <c r="C138" s="366">
        <f>SUM(C134:C137)</f>
        <v>84229</v>
      </c>
      <c r="D138" s="93">
        <f>SUM(D134:D137)</f>
        <v>10497</v>
      </c>
      <c r="E138" s="93">
        <f>SUM(E134:E137)</f>
        <v>11069</v>
      </c>
      <c r="F138" s="93">
        <f>SUM(F134:F137)</f>
        <v>11603</v>
      </c>
    </row>
    <row r="139" spans="1:6" ht="15.75">
      <c r="A139" s="123" t="s">
        <v>306</v>
      </c>
      <c r="B139" s="82" t="s">
        <v>307</v>
      </c>
      <c r="C139" s="365"/>
      <c r="D139" s="92"/>
      <c r="E139" s="92"/>
      <c r="F139" s="92"/>
    </row>
    <row r="140" spans="1:6" ht="15.75">
      <c r="A140" s="123" t="s">
        <v>308</v>
      </c>
      <c r="B140" s="82" t="s">
        <v>309</v>
      </c>
      <c r="C140" s="365"/>
      <c r="D140" s="92"/>
      <c r="E140" s="92"/>
      <c r="F140" s="92"/>
    </row>
    <row r="141" spans="1:6" ht="15.75">
      <c r="A141" s="123" t="s">
        <v>310</v>
      </c>
      <c r="B141" s="82" t="s">
        <v>311</v>
      </c>
      <c r="C141" s="365"/>
      <c r="D141" s="92"/>
      <c r="E141" s="92"/>
      <c r="F141" s="92"/>
    </row>
    <row r="142" spans="1:6" ht="15.75">
      <c r="A142" s="123" t="s">
        <v>312</v>
      </c>
      <c r="B142" s="82" t="s">
        <v>313</v>
      </c>
      <c r="C142" s="365"/>
      <c r="D142" s="92"/>
      <c r="E142" s="92"/>
      <c r="F142" s="92"/>
    </row>
    <row r="143" spans="1:6" ht="15.75">
      <c r="A143" s="80" t="s">
        <v>615</v>
      </c>
      <c r="B143" s="82" t="s">
        <v>314</v>
      </c>
      <c r="C143" s="365"/>
      <c r="D143" s="92"/>
      <c r="E143" s="92"/>
      <c r="F143" s="92"/>
    </row>
    <row r="144" spans="1:6" ht="15.75">
      <c r="A144" s="78" t="s">
        <v>634</v>
      </c>
      <c r="B144" s="90" t="s">
        <v>316</v>
      </c>
      <c r="C144" s="366">
        <f>SUM(C139:C143)+C138+C133+C128</f>
        <v>205767</v>
      </c>
      <c r="D144" s="93">
        <f>SUM(D139:D143)+D138+D133+D128</f>
        <v>132035</v>
      </c>
      <c r="E144" s="93">
        <f>SUM(E139:E143)+E138+E133+E128</f>
        <v>109569</v>
      </c>
      <c r="F144" s="93">
        <f>SUM(F139:F143)+F138+F133+F128</f>
        <v>110103</v>
      </c>
    </row>
    <row r="145" spans="1:6" ht="15.75">
      <c r="A145" s="123" t="s">
        <v>635</v>
      </c>
      <c r="B145" s="82" t="s">
        <v>324</v>
      </c>
      <c r="C145" s="365"/>
      <c r="D145" s="92"/>
      <c r="E145" s="92"/>
      <c r="F145" s="92"/>
    </row>
    <row r="146" spans="1:6" ht="15.75">
      <c r="A146" s="80" t="s">
        <v>325</v>
      </c>
      <c r="B146" s="82" t="s">
        <v>326</v>
      </c>
      <c r="C146" s="365"/>
      <c r="D146" s="92"/>
      <c r="E146" s="92"/>
      <c r="F146" s="92"/>
    </row>
    <row r="147" spans="1:6" ht="15.75">
      <c r="A147" s="299" t="s">
        <v>636</v>
      </c>
      <c r="B147" s="300" t="s">
        <v>327</v>
      </c>
      <c r="C147" s="369">
        <f>+C146+C145+C144</f>
        <v>205767</v>
      </c>
      <c r="D147" s="262">
        <f>+D146+D145+D144</f>
        <v>132035</v>
      </c>
      <c r="E147" s="262">
        <f>+E146+E145+E144</f>
        <v>109569</v>
      </c>
      <c r="F147" s="262">
        <f>+F146+F145+F144</f>
        <v>110103</v>
      </c>
    </row>
    <row r="148" spans="1:6" s="260" customFormat="1" ht="15.75">
      <c r="A148" s="259" t="s">
        <v>654</v>
      </c>
      <c r="B148" s="259" t="s">
        <v>670</v>
      </c>
      <c r="C148" s="369">
        <f>+C122+C147</f>
        <v>3607777</v>
      </c>
      <c r="D148" s="262">
        <f>+D122+D147</f>
        <v>3096942</v>
      </c>
      <c r="E148" s="262">
        <f>+E122+E147</f>
        <v>3142239</v>
      </c>
      <c r="F148" s="262">
        <f>+F122+F147</f>
        <v>3228849</v>
      </c>
    </row>
    <row r="149" spans="1:6" ht="15.75">
      <c r="A149" s="312"/>
      <c r="B149" s="312"/>
      <c r="C149" s="372"/>
      <c r="D149" s="314"/>
      <c r="E149" s="314"/>
      <c r="F149" s="314"/>
    </row>
    <row r="150" spans="1:6" ht="15.75">
      <c r="A150" s="312"/>
      <c r="B150" s="312"/>
      <c r="C150" s="373">
        <f>+C148-C77</f>
        <v>0</v>
      </c>
      <c r="D150" s="311">
        <f>+D148-D77</f>
        <v>0</v>
      </c>
      <c r="E150" s="311">
        <f>+E148-E77</f>
        <v>0</v>
      </c>
      <c r="F150" s="311">
        <f>+F148-F77</f>
        <v>0</v>
      </c>
    </row>
    <row r="151" spans="3:6" ht="15.75">
      <c r="C151" s="374"/>
      <c r="D151" s="141"/>
      <c r="E151" s="141"/>
      <c r="F151" s="141"/>
    </row>
    <row r="152" spans="1:6" ht="15.75">
      <c r="A152" s="74" t="s">
        <v>676</v>
      </c>
      <c r="B152" s="74"/>
      <c r="C152" s="366">
        <f>+C122-C57</f>
        <v>-111319</v>
      </c>
      <c r="D152" s="93">
        <f>+D122-D57</f>
        <v>-30535</v>
      </c>
      <c r="E152" s="93">
        <f>+E122-E57</f>
        <v>-8069</v>
      </c>
      <c r="F152" s="93">
        <f>+F122-F57</f>
        <v>-8603</v>
      </c>
    </row>
    <row r="153" spans="1:6" ht="15.75">
      <c r="A153" s="74" t="s">
        <v>746</v>
      </c>
      <c r="B153" s="74"/>
      <c r="C153" s="366">
        <f>+C147-C76</f>
        <v>111319</v>
      </c>
      <c r="D153" s="93">
        <f>+D147-D76</f>
        <v>30535</v>
      </c>
      <c r="E153" s="93">
        <f>+E147-E76</f>
        <v>8069</v>
      </c>
      <c r="F153" s="93">
        <f>+F147-F76</f>
        <v>8603</v>
      </c>
    </row>
    <row r="154" spans="1:6" ht="15.75">
      <c r="A154" s="212"/>
      <c r="B154" s="212"/>
      <c r="C154" s="375"/>
      <c r="D154" s="134"/>
      <c r="E154" s="134"/>
      <c r="F154" s="134"/>
    </row>
    <row r="155" spans="1:6" ht="15.75">
      <c r="A155" s="74" t="s">
        <v>359</v>
      </c>
      <c r="B155" s="74"/>
      <c r="C155" s="366">
        <f>+C123+C127+C134-C60</f>
        <v>0</v>
      </c>
      <c r="D155" s="93">
        <f>+D123+D127+D134-D60</f>
        <v>0</v>
      </c>
      <c r="E155" s="93">
        <f>+E123+E127+E134-E60</f>
        <v>0</v>
      </c>
      <c r="F155" s="93">
        <f>+F123+F127+F134-F60</f>
        <v>0</v>
      </c>
    </row>
    <row r="156" spans="1:6" ht="15.75">
      <c r="A156" s="74" t="s">
        <v>360</v>
      </c>
      <c r="B156" s="74"/>
      <c r="C156" s="366">
        <f>+C124+C135-C58+C125-C65</f>
        <v>0</v>
      </c>
      <c r="D156" s="366">
        <f>+D124+D135-D58+D125-D65</f>
        <v>0</v>
      </c>
      <c r="E156" s="366">
        <f>+E124+E135-E58+E125-E65</f>
        <v>0</v>
      </c>
      <c r="F156" s="366">
        <f>+F124+F135-F58+F125-F65</f>
        <v>0</v>
      </c>
    </row>
    <row r="157" spans="3:6" ht="15.75">
      <c r="C157" s="374"/>
      <c r="D157" s="141"/>
      <c r="E157" s="141"/>
      <c r="F157" s="141"/>
    </row>
    <row r="158" spans="1:6" ht="15.75">
      <c r="A158" s="143" t="s">
        <v>756</v>
      </c>
      <c r="C158" s="374">
        <f>+C148-C77</f>
        <v>0</v>
      </c>
      <c r="D158" s="141">
        <f>+D148-D77</f>
        <v>0</v>
      </c>
      <c r="E158" s="141">
        <f>+E148-E77</f>
        <v>0</v>
      </c>
      <c r="F158" s="141">
        <f>+F148-F77</f>
        <v>0</v>
      </c>
    </row>
    <row r="159" ht="15.75">
      <c r="C159" s="363"/>
    </row>
    <row r="160" ht="15.75">
      <c r="C160" s="363"/>
    </row>
    <row r="161" ht="15.75">
      <c r="C161" s="363"/>
    </row>
    <row r="162" ht="15.75">
      <c r="C162" s="363"/>
    </row>
    <row r="163" ht="15.75">
      <c r="C163" s="363"/>
    </row>
    <row r="164" ht="15.75">
      <c r="C164" s="363"/>
    </row>
    <row r="165" ht="15.75">
      <c r="C165" s="363"/>
    </row>
    <row r="166" ht="15.75">
      <c r="C166" s="363"/>
    </row>
    <row r="167" ht="15.75">
      <c r="C167" s="363"/>
    </row>
    <row r="168" ht="15.75">
      <c r="C168" s="363"/>
    </row>
    <row r="169" ht="15.75">
      <c r="C169" s="363"/>
    </row>
    <row r="170" ht="15.75">
      <c r="C170" s="363"/>
    </row>
    <row r="171" ht="15.75">
      <c r="C171" s="363"/>
    </row>
    <row r="172" ht="15.75">
      <c r="C172" s="363"/>
    </row>
    <row r="173" ht="15.75">
      <c r="C173" s="363"/>
    </row>
    <row r="174" ht="15.75">
      <c r="C174" s="363"/>
    </row>
    <row r="175" ht="15.75">
      <c r="C175" s="363"/>
    </row>
    <row r="176" ht="15.75">
      <c r="C176" s="363"/>
    </row>
    <row r="177" ht="15.75">
      <c r="C177" s="363"/>
    </row>
    <row r="178" ht="15.75">
      <c r="C178" s="363"/>
    </row>
    <row r="179" ht="15.75">
      <c r="C179" s="363"/>
    </row>
    <row r="180" ht="15.75">
      <c r="C180" s="363"/>
    </row>
    <row r="181" ht="15.75">
      <c r="C181" s="363"/>
    </row>
    <row r="182" ht="15.75">
      <c r="C182" s="363"/>
    </row>
    <row r="183" ht="15.75">
      <c r="C183" s="363"/>
    </row>
    <row r="184" ht="15.75">
      <c r="C184" s="363"/>
    </row>
    <row r="185" ht="15.75">
      <c r="C185" s="363"/>
    </row>
    <row r="186" ht="15.75">
      <c r="C186" s="363"/>
    </row>
    <row r="187" ht="15.75">
      <c r="C187" s="363"/>
    </row>
    <row r="188" ht="15.75">
      <c r="C188" s="363"/>
    </row>
    <row r="189" ht="15.75">
      <c r="C189" s="363"/>
    </row>
    <row r="190" ht="15.75">
      <c r="C190" s="363"/>
    </row>
    <row r="191" ht="15.75">
      <c r="C191" s="363"/>
    </row>
    <row r="192" ht="15.75">
      <c r="C192" s="363"/>
    </row>
    <row r="193" ht="15.75">
      <c r="C193" s="363"/>
    </row>
    <row r="194" ht="15.75">
      <c r="C194" s="363"/>
    </row>
    <row r="195" ht="15.75">
      <c r="C195" s="363"/>
    </row>
    <row r="196" ht="15.75">
      <c r="C196" s="363"/>
    </row>
    <row r="197" ht="15.75">
      <c r="C197" s="363"/>
    </row>
    <row r="198" ht="15.75">
      <c r="C198" s="363"/>
    </row>
    <row r="199" ht="15.75">
      <c r="C199" s="363"/>
    </row>
    <row r="200" ht="15.75">
      <c r="C200" s="363"/>
    </row>
    <row r="201" ht="15.75">
      <c r="C201" s="363"/>
    </row>
    <row r="202" ht="15.75">
      <c r="C202" s="363"/>
    </row>
    <row r="203" ht="15.75">
      <c r="C203" s="363"/>
    </row>
    <row r="204" ht="15.75">
      <c r="C204" s="363"/>
    </row>
    <row r="205" ht="15.75">
      <c r="C205" s="363"/>
    </row>
    <row r="206" ht="15.75">
      <c r="C206" s="363"/>
    </row>
    <row r="207" ht="15.75">
      <c r="C207" s="363"/>
    </row>
    <row r="208" ht="15.75">
      <c r="C208" s="363"/>
    </row>
    <row r="209" ht="15.75">
      <c r="C209" s="363"/>
    </row>
    <row r="210" ht="15.75">
      <c r="C210" s="363"/>
    </row>
    <row r="211" ht="15.75">
      <c r="C211" s="363"/>
    </row>
    <row r="212" ht="15.75">
      <c r="C212" s="363"/>
    </row>
    <row r="213" ht="15.75">
      <c r="C213" s="363"/>
    </row>
    <row r="214" ht="15.75">
      <c r="C214" s="363"/>
    </row>
    <row r="215" ht="15.75">
      <c r="C215" s="363"/>
    </row>
    <row r="216" ht="15.75">
      <c r="C216" s="363"/>
    </row>
    <row r="217" ht="15.75">
      <c r="C217" s="363"/>
    </row>
    <row r="218" ht="15.75">
      <c r="C218" s="363"/>
    </row>
    <row r="219" ht="15.75">
      <c r="C219" s="363"/>
    </row>
    <row r="220" ht="15.75">
      <c r="C220" s="363"/>
    </row>
    <row r="221" ht="15.75">
      <c r="C221" s="363"/>
    </row>
    <row r="222" ht="15.75">
      <c r="C222" s="363"/>
    </row>
    <row r="223" ht="15.75">
      <c r="C223" s="363"/>
    </row>
    <row r="224" ht="15.75">
      <c r="C224" s="363"/>
    </row>
    <row r="225" ht="15.75">
      <c r="C225" s="363"/>
    </row>
    <row r="226" ht="15.75">
      <c r="C226" s="363"/>
    </row>
    <row r="227" ht="15.75">
      <c r="C227" s="363"/>
    </row>
    <row r="228" ht="15.75">
      <c r="C228" s="363"/>
    </row>
    <row r="229" ht="15.75">
      <c r="C229" s="363"/>
    </row>
    <row r="230" ht="15.75">
      <c r="C230" s="363"/>
    </row>
    <row r="231" ht="15.75">
      <c r="C231" s="363"/>
    </row>
    <row r="232" ht="15.75">
      <c r="C232" s="363"/>
    </row>
    <row r="233" ht="15.75">
      <c r="C233" s="363"/>
    </row>
    <row r="234" ht="15.75">
      <c r="C234" s="363"/>
    </row>
    <row r="235" ht="15.75">
      <c r="C235" s="363"/>
    </row>
    <row r="236" ht="15.75">
      <c r="C236" s="363"/>
    </row>
    <row r="237" ht="15.75">
      <c r="C237" s="363"/>
    </row>
    <row r="238" ht="15.75">
      <c r="C238" s="363"/>
    </row>
    <row r="239" ht="15.75">
      <c r="C239" s="363"/>
    </row>
    <row r="240" ht="15.75">
      <c r="C240" s="363"/>
    </row>
    <row r="241" ht="15.75">
      <c r="C241" s="363"/>
    </row>
    <row r="242" ht="15.75">
      <c r="C242" s="363"/>
    </row>
    <row r="243" ht="15.75">
      <c r="C243" s="363"/>
    </row>
    <row r="244" ht="15.75">
      <c r="C244" s="363"/>
    </row>
    <row r="245" ht="15.75">
      <c r="C245" s="363"/>
    </row>
    <row r="246" ht="15.75">
      <c r="C246" s="363"/>
    </row>
    <row r="247" ht="15.75">
      <c r="C247" s="363"/>
    </row>
    <row r="248" ht="15.75">
      <c r="C248" s="363"/>
    </row>
    <row r="249" ht="15.75">
      <c r="C249" s="363"/>
    </row>
    <row r="250" ht="15.75">
      <c r="C250" s="363"/>
    </row>
    <row r="251" ht="15.75">
      <c r="C251" s="363"/>
    </row>
    <row r="252" ht="15.75">
      <c r="C252" s="363"/>
    </row>
    <row r="253" ht="15.75">
      <c r="C253" s="363"/>
    </row>
    <row r="254" ht="15.75">
      <c r="C254" s="363"/>
    </row>
    <row r="255" ht="15.75">
      <c r="C255" s="363"/>
    </row>
    <row r="256" ht="15.75">
      <c r="C256" s="363"/>
    </row>
    <row r="257" ht="15.75">
      <c r="C257" s="363"/>
    </row>
    <row r="258" ht="15.75">
      <c r="C258" s="363"/>
    </row>
    <row r="259" ht="15.75">
      <c r="C259" s="363"/>
    </row>
    <row r="260" ht="15.75">
      <c r="C260" s="363"/>
    </row>
    <row r="261" ht="15.75">
      <c r="C261" s="363"/>
    </row>
    <row r="262" ht="15.75">
      <c r="C262" s="363"/>
    </row>
    <row r="263" ht="15.75">
      <c r="C263" s="363"/>
    </row>
    <row r="264" ht="15.75">
      <c r="C264" s="363"/>
    </row>
    <row r="265" ht="15.75">
      <c r="C265" s="363"/>
    </row>
    <row r="266" ht="15.75">
      <c r="C266" s="363"/>
    </row>
    <row r="267" ht="15.75">
      <c r="C267" s="363"/>
    </row>
    <row r="268" ht="15.75">
      <c r="C268" s="363"/>
    </row>
    <row r="269" ht="15.75">
      <c r="C269" s="363"/>
    </row>
    <row r="270" ht="15.75">
      <c r="C270" s="363"/>
    </row>
    <row r="271" ht="15.75">
      <c r="C271" s="363"/>
    </row>
    <row r="272" ht="15.75">
      <c r="C272" s="363"/>
    </row>
  </sheetData>
  <sheetProtection/>
  <mergeCells count="2">
    <mergeCell ref="A5:F5"/>
    <mergeCell ref="G5:L5"/>
  </mergeCells>
  <hyperlinks>
    <hyperlink ref="A34" r:id="rId1" display="http://njt.hu/cgi_bin/njt_doc.cgi?docid=142896.245143#foot4"/>
  </hyperlinks>
  <printOptions horizontalCentered="1"/>
  <pageMargins left="0.4724409448818898" right="0.35433070866141736" top="0.4330708661417323" bottom="0.5118110236220472" header="0.31496062992125984" footer="0.31496062992125984"/>
  <pageSetup horizontalDpi="300" verticalDpi="300" orientation="portrait" paperSize="9" scale="62" r:id="rId2"/>
  <headerFooter alignWithMargins="0">
    <oddFooter>&amp;R&amp;P</oddFooter>
  </headerFooter>
  <rowBreaks count="1" manualBreakCount="1">
    <brk id="7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281"/>
  <sheetViews>
    <sheetView view="pageBreakPreview" zoomScale="75" zoomScaleSheetLayoutView="75" zoomScalePageLayoutView="0" workbookViewId="0" topLeftCell="A1">
      <selection activeCell="E2" sqref="E2"/>
    </sheetView>
  </sheetViews>
  <sheetFormatPr defaultColWidth="9.140625" defaultRowHeight="15"/>
  <cols>
    <col min="1" max="1" width="77.8515625" style="103" customWidth="1"/>
    <col min="2" max="2" width="10.421875" style="103" customWidth="1"/>
    <col min="3" max="3" width="14.28125" style="103" customWidth="1"/>
    <col min="4" max="4" width="14.7109375" style="103" customWidth="1"/>
    <col min="5" max="5" width="15.421875" style="110" customWidth="1"/>
    <col min="6" max="16384" width="9.140625" style="103" customWidth="1"/>
  </cols>
  <sheetData>
    <row r="1" s="4" customFormat="1" ht="15.75">
      <c r="E1" s="71" t="s">
        <v>611</v>
      </c>
    </row>
    <row r="2" spans="1:5" s="4" customFormat="1" ht="15.75">
      <c r="A2" s="100"/>
      <c r="E2" s="144" t="s">
        <v>68</v>
      </c>
    </row>
    <row r="3" spans="1:5" s="4" customFormat="1" ht="18.75">
      <c r="A3" s="32" t="s">
        <v>757</v>
      </c>
      <c r="B3" s="183"/>
      <c r="C3" s="183"/>
      <c r="D3" s="101"/>
      <c r="E3" s="98"/>
    </row>
    <row r="4" spans="1:5" s="4" customFormat="1" ht="15.75">
      <c r="A4" s="84" t="s">
        <v>390</v>
      </c>
      <c r="B4" s="97"/>
      <c r="C4" s="97"/>
      <c r="D4" s="97"/>
      <c r="E4" s="85"/>
    </row>
    <row r="5" spans="1:5" ht="15.75">
      <c r="A5" s="102"/>
      <c r="E5" s="103"/>
    </row>
    <row r="6" spans="1:5" ht="31.5">
      <c r="A6" s="72" t="s">
        <v>76</v>
      </c>
      <c r="B6" s="79" t="s">
        <v>77</v>
      </c>
      <c r="C6" s="104" t="s">
        <v>769</v>
      </c>
      <c r="D6" s="104" t="s">
        <v>770</v>
      </c>
      <c r="E6" s="105" t="s">
        <v>28</v>
      </c>
    </row>
    <row r="7" spans="1:5" ht="15.75">
      <c r="A7" s="106" t="s">
        <v>328</v>
      </c>
      <c r="B7" s="107" t="s">
        <v>112</v>
      </c>
      <c r="C7" s="92">
        <f>+'7 Önk'!D7+'8 PH'!D7+'9 VGIG'!D7+'10 Járób'!D7+'11 Szoci'!D7+'12 Ovi'!D7+'13 Művház'!D7+'14 Könyvt'!D7</f>
        <v>759590</v>
      </c>
      <c r="D7" s="92">
        <f>+'7 Önk'!E7+'8 PH'!E7+'9 VGIG'!E7+'10 Járób'!E7+'11 Szoci'!E7+'12 Ovi'!E7+'13 Művház'!E7+'14 Könyvt'!E7</f>
        <v>221092</v>
      </c>
      <c r="E7" s="93">
        <f>+C7+D7</f>
        <v>980682</v>
      </c>
    </row>
    <row r="8" spans="1:5" ht="15.75">
      <c r="A8" s="82" t="s">
        <v>329</v>
      </c>
      <c r="B8" s="107" t="s">
        <v>113</v>
      </c>
      <c r="C8" s="92">
        <f>+'7 Önk'!D8+'8 PH'!D8+'9 VGIG'!D8+'10 Járób'!D8+'11 Szoci'!D8+'12 Ovi'!D8+'13 Művház'!D8+'14 Könyvt'!D8</f>
        <v>42589</v>
      </c>
      <c r="D8" s="92">
        <f>+'7 Önk'!E8+'8 PH'!E8+'9 VGIG'!E8+'10 Járób'!E8+'11 Szoci'!E8+'12 Ovi'!E8+'13 Művház'!E8+'14 Könyvt'!E8</f>
        <v>10296</v>
      </c>
      <c r="E8" s="93">
        <f>+C8+D8</f>
        <v>52885</v>
      </c>
    </row>
    <row r="9" spans="1:5" ht="15.75">
      <c r="A9" s="108" t="s">
        <v>526</v>
      </c>
      <c r="B9" s="109" t="s">
        <v>114</v>
      </c>
      <c r="C9" s="93">
        <f>SUM(C7:C8)</f>
        <v>802179</v>
      </c>
      <c r="D9" s="93">
        <f>SUM(D7:D8)</f>
        <v>231388</v>
      </c>
      <c r="E9" s="93">
        <f>SUM(E7:E8)</f>
        <v>1033567</v>
      </c>
    </row>
    <row r="10" spans="1:5" ht="15.75">
      <c r="A10" s="90" t="s">
        <v>553</v>
      </c>
      <c r="B10" s="109" t="s">
        <v>115</v>
      </c>
      <c r="C10" s="92">
        <f>+'7 Önk'!D10+'8 PH'!D10+'9 VGIG'!D10+'10 Járób'!D10+'11 Szoci'!D10+'12 Ovi'!D10+'13 Művház'!D10+'14 Könyvt'!D10</f>
        <v>211046</v>
      </c>
      <c r="D10" s="92">
        <f>+'7 Önk'!E10+'8 PH'!E10+'9 VGIG'!E10+'10 Járób'!E10+'11 Szoci'!E10+'12 Ovi'!E10+'13 Művház'!E10+'14 Könyvt'!E10</f>
        <v>53697</v>
      </c>
      <c r="E10" s="93">
        <f aca="true" t="shared" si="0" ref="E10:E15">+C10+D10</f>
        <v>264743</v>
      </c>
    </row>
    <row r="11" spans="1:5" ht="15.75">
      <c r="A11" s="82" t="s">
        <v>330</v>
      </c>
      <c r="B11" s="107" t="s">
        <v>116</v>
      </c>
      <c r="C11" s="92">
        <f>+'7 Önk'!D11+'8 PH'!D11+'9 VGIG'!D11+'10 Járób'!D11+'11 Szoci'!D11+'12 Ovi'!D11+'13 Művház'!D11+'14 Könyvt'!D11</f>
        <v>213086</v>
      </c>
      <c r="D11" s="92">
        <f>+'7 Önk'!E11+'8 PH'!E11+'9 VGIG'!E11+'10 Járób'!E11+'11 Szoci'!E11+'12 Ovi'!E11+'13 Művház'!E11+'14 Könyvt'!E11</f>
        <v>60694</v>
      </c>
      <c r="E11" s="93">
        <f t="shared" si="0"/>
        <v>273780</v>
      </c>
    </row>
    <row r="12" spans="1:5" ht="15.75">
      <c r="A12" s="82" t="s">
        <v>561</v>
      </c>
      <c r="B12" s="107" t="s">
        <v>117</v>
      </c>
      <c r="C12" s="92">
        <f>+'7 Önk'!D12+'8 PH'!D12+'9 VGIG'!D12+'10 Járób'!D12+'11 Szoci'!D12+'12 Ovi'!D12+'13 Művház'!D12+'14 Könyvt'!D12</f>
        <v>10427</v>
      </c>
      <c r="D12" s="92">
        <f>+'7 Önk'!E12+'8 PH'!E12+'9 VGIG'!E12+'10 Járób'!E12+'11 Szoci'!E12+'12 Ovi'!E12+'13 Művház'!E12+'14 Könyvt'!E12</f>
        <v>7344</v>
      </c>
      <c r="E12" s="93">
        <f t="shared" si="0"/>
        <v>17771</v>
      </c>
    </row>
    <row r="13" spans="1:5" ht="15.75">
      <c r="A13" s="82" t="s">
        <v>331</v>
      </c>
      <c r="B13" s="107" t="s">
        <v>118</v>
      </c>
      <c r="C13" s="92">
        <f>+'7 Önk'!D13+'8 PH'!D13+'9 VGIG'!D13+'10 Járób'!D13+'11 Szoci'!D13+'12 Ovi'!D13+'13 Művház'!D13+'14 Könyvt'!D13</f>
        <v>189733</v>
      </c>
      <c r="D13" s="92">
        <f>+'7 Önk'!E13+'8 PH'!E13+'9 VGIG'!E13+'10 Járób'!E13+'11 Szoci'!E13+'12 Ovi'!E13+'13 Művház'!E13+'14 Könyvt'!E13</f>
        <v>204600</v>
      </c>
      <c r="E13" s="93">
        <f t="shared" si="0"/>
        <v>394333</v>
      </c>
    </row>
    <row r="14" spans="1:5" ht="15.75">
      <c r="A14" s="82" t="s">
        <v>332</v>
      </c>
      <c r="B14" s="107" t="s">
        <v>119</v>
      </c>
      <c r="C14" s="92">
        <f>+'7 Önk'!D14+'8 PH'!D14+'9 VGIG'!D14+'10 Járób'!D14+'11 Szoci'!D14+'12 Ovi'!D14+'13 Művház'!D14+'14 Könyvt'!D14</f>
        <v>1704</v>
      </c>
      <c r="D14" s="92">
        <f>+'7 Önk'!E14+'8 PH'!E14+'9 VGIG'!E14+'10 Járób'!E14+'11 Szoci'!E14+'12 Ovi'!E14+'13 Művház'!E14+'14 Könyvt'!E14</f>
        <v>1935</v>
      </c>
      <c r="E14" s="93">
        <f t="shared" si="0"/>
        <v>3639</v>
      </c>
    </row>
    <row r="15" spans="1:5" ht="15.75">
      <c r="A15" s="82" t="s">
        <v>333</v>
      </c>
      <c r="B15" s="107" t="s">
        <v>120</v>
      </c>
      <c r="C15" s="92">
        <f>+'7 Önk'!D15+'8 PH'!D15+'9 VGIG'!D15+'10 Járób'!D15+'11 Szoci'!D15+'12 Ovi'!D15+'13 Művház'!D15+'14 Könyvt'!D15</f>
        <v>243826</v>
      </c>
      <c r="D15" s="92">
        <f>+'7 Önk'!E15+'8 PH'!E15+'9 VGIG'!E15+'10 Járób'!E15+'11 Szoci'!E15+'12 Ovi'!E15+'13 Művház'!E15+'14 Könyvt'!E15</f>
        <v>68997</v>
      </c>
      <c r="E15" s="93">
        <f t="shared" si="0"/>
        <v>312823</v>
      </c>
    </row>
    <row r="16" spans="1:5" ht="15.75">
      <c r="A16" s="90" t="s">
        <v>525</v>
      </c>
      <c r="B16" s="109" t="s">
        <v>121</v>
      </c>
      <c r="C16" s="93">
        <f>SUM(C11:C15)</f>
        <v>658776</v>
      </c>
      <c r="D16" s="93">
        <f>SUM(D11:D15)</f>
        <v>343570</v>
      </c>
      <c r="E16" s="93">
        <f>SUM(E11:E15)</f>
        <v>1002346</v>
      </c>
    </row>
    <row r="17" spans="1:5" ht="15.75">
      <c r="A17" s="78" t="s">
        <v>398</v>
      </c>
      <c r="B17" s="109" t="s">
        <v>128</v>
      </c>
      <c r="C17" s="93">
        <f>+'7 Önk'!D17+'8 PH'!D17+'9 VGIG'!D17+'10 Járób'!D17+'11 Szoci'!D17+'12 Ovi'!D17+'13 Művház'!D17+'14 Könyvt'!D17+'16 szociális kiad'!C48</f>
        <v>270887</v>
      </c>
      <c r="D17" s="92">
        <f>+'7 Önk'!E17+'8 PH'!E17+'9 VGIG'!E17+'10 Járób'!E17+'11 Szoci'!E17+'12 Ovi'!E17+'13 Művház'!E17+'14 Könyvt'!E17</f>
        <v>0</v>
      </c>
      <c r="E17" s="93">
        <f aca="true" t="shared" si="1" ref="E17:E30">+C17+D17</f>
        <v>270887</v>
      </c>
    </row>
    <row r="18" spans="1:5" ht="15.75">
      <c r="A18" s="88" t="s">
        <v>554</v>
      </c>
      <c r="B18" s="107" t="s">
        <v>129</v>
      </c>
      <c r="C18" s="92">
        <f>+'7 Önk'!D18+'8 PH'!D18+'9 VGIG'!D18+'10 Járób'!D18+'11 Szoci'!D18+'12 Ovi'!D18+'13 Művház'!D18+'14 Könyvt'!D18</f>
        <v>0</v>
      </c>
      <c r="D18" s="92">
        <f>+'7 Önk'!E18+'8 PH'!E18+'9 VGIG'!E18+'10 Járób'!E18+'11 Szoci'!E18+'12 Ovi'!E18+'13 Művház'!E18+'14 Könyvt'!E18</f>
        <v>0</v>
      </c>
      <c r="E18" s="93">
        <f t="shared" si="1"/>
        <v>0</v>
      </c>
    </row>
    <row r="19" spans="1:5" ht="15.75">
      <c r="A19" s="88" t="s">
        <v>130</v>
      </c>
      <c r="B19" s="107" t="s">
        <v>131</v>
      </c>
      <c r="C19" s="92">
        <f>+'7 Önk'!D19+'8 PH'!D19+'9 VGIG'!D19+'10 Járób'!D19+'11 Szoci'!D19+'12 Ovi'!D19+'13 Művház'!D19+'14 Könyvt'!D19</f>
        <v>4400</v>
      </c>
      <c r="D19" s="92">
        <f>+'7 Önk'!E19+'8 PH'!E19+'9 VGIG'!E19+'10 Járób'!E19+'11 Szoci'!E19+'12 Ovi'!E19+'13 Művház'!E19+'14 Könyvt'!E19</f>
        <v>2468</v>
      </c>
      <c r="E19" s="93">
        <f t="shared" si="1"/>
        <v>6868</v>
      </c>
    </row>
    <row r="20" spans="1:5" ht="15.75">
      <c r="A20" s="88" t="s">
        <v>803</v>
      </c>
      <c r="B20" s="107" t="s">
        <v>132</v>
      </c>
      <c r="C20" s="92">
        <f>+'7 Önk'!D20+'8 PH'!D20+'9 VGIG'!D20+'10 Járób'!D20+'11 Szoci'!D20+'12 Ovi'!D20+'13 Művház'!D20+'14 Könyvt'!D20</f>
        <v>0</v>
      </c>
      <c r="D20" s="92">
        <f>+'7 Önk'!E20+'8 PH'!E20+'9 VGIG'!E20+'10 Járób'!E20+'11 Szoci'!E20+'12 Ovi'!E20+'13 Művház'!E20+'14 Könyvt'!E20</f>
        <v>0</v>
      </c>
      <c r="E20" s="93">
        <f t="shared" si="1"/>
        <v>0</v>
      </c>
    </row>
    <row r="21" spans="1:5" ht="15.75">
      <c r="A21" s="88" t="s">
        <v>802</v>
      </c>
      <c r="B21" s="107" t="s">
        <v>133</v>
      </c>
      <c r="C21" s="92">
        <f>+'7 Önk'!D21+'8 PH'!D21+'9 VGIG'!D21+'10 Járób'!D21+'11 Szoci'!D21+'12 Ovi'!D21+'13 Művház'!D21+'14 Könyvt'!D21</f>
        <v>0</v>
      </c>
      <c r="D21" s="92">
        <f>+'7 Önk'!E21+'8 PH'!E21+'9 VGIG'!E21+'10 Járób'!E21+'11 Szoci'!E21+'12 Ovi'!E21+'13 Művház'!E21+'14 Könyvt'!E21</f>
        <v>0</v>
      </c>
      <c r="E21" s="93">
        <f t="shared" si="1"/>
        <v>0</v>
      </c>
    </row>
    <row r="22" spans="1:5" ht="15.75">
      <c r="A22" s="88" t="s">
        <v>801</v>
      </c>
      <c r="B22" s="107" t="s">
        <v>134</v>
      </c>
      <c r="C22" s="92">
        <f>+'7 Önk'!D22+'8 PH'!D22+'9 VGIG'!D22+'10 Járób'!D22+'11 Szoci'!D22+'12 Ovi'!D22+'13 Művház'!D22+'14 Könyvt'!D22</f>
        <v>0</v>
      </c>
      <c r="D22" s="92">
        <f>+'7 Önk'!E22+'8 PH'!E22+'9 VGIG'!E22+'10 Járób'!E22+'11 Szoci'!E22+'12 Ovi'!E22+'13 Művház'!E22+'14 Könyvt'!E22</f>
        <v>0</v>
      </c>
      <c r="E22" s="93">
        <f t="shared" si="1"/>
        <v>0</v>
      </c>
    </row>
    <row r="23" spans="1:5" ht="15.75">
      <c r="A23" s="88" t="s">
        <v>804</v>
      </c>
      <c r="B23" s="107" t="s">
        <v>135</v>
      </c>
      <c r="C23" s="92">
        <f>+'7 Önk'!D23+'8 PH'!D23+'9 VGIG'!D23+'10 Járób'!D23+'11 Szoci'!D23+'12 Ovi'!D23+'13 Művház'!D23+'14 Könyvt'!D23</f>
        <v>151160</v>
      </c>
      <c r="D23" s="92">
        <f>+'7 Önk'!E23+'8 PH'!E23+'9 VGIG'!E23+'10 Járób'!E23+'11 Szoci'!E23+'12 Ovi'!E23+'13 Művház'!E23+'14 Könyvt'!E23</f>
        <v>0</v>
      </c>
      <c r="E23" s="93">
        <f t="shared" si="1"/>
        <v>151160</v>
      </c>
    </row>
    <row r="24" spans="1:5" ht="15.75">
      <c r="A24" s="88" t="s">
        <v>799</v>
      </c>
      <c r="B24" s="107" t="s">
        <v>136</v>
      </c>
      <c r="C24" s="92">
        <f>+'7 Önk'!D24+'8 PH'!D24+'9 VGIG'!D24+'10 Járób'!D24+'11 Szoci'!D24+'12 Ovi'!D24+'13 Művház'!D24+'14 Könyvt'!D24</f>
        <v>0</v>
      </c>
      <c r="D24" s="92">
        <f>+'7 Önk'!E24+'8 PH'!E24+'9 VGIG'!E24+'10 Járób'!E24+'11 Szoci'!E24+'12 Ovi'!E24+'13 Művház'!E24+'14 Könyvt'!E24</f>
        <v>0</v>
      </c>
      <c r="E24" s="93">
        <f t="shared" si="1"/>
        <v>0</v>
      </c>
    </row>
    <row r="25" spans="1:5" ht="15.75">
      <c r="A25" s="88" t="s">
        <v>798</v>
      </c>
      <c r="B25" s="107" t="s">
        <v>137</v>
      </c>
      <c r="C25" s="92">
        <f>+'7 Önk'!D25+'8 PH'!D25+'9 VGIG'!D25+'10 Járób'!D25+'11 Szoci'!D25+'12 Ovi'!D25+'13 Művház'!D25+'14 Könyvt'!D25</f>
        <v>0</v>
      </c>
      <c r="D25" s="92">
        <f>+'7 Önk'!E25+'8 PH'!E25+'9 VGIG'!E25+'10 Járób'!E25+'11 Szoci'!E25+'12 Ovi'!E25+'13 Művház'!E25+'14 Könyvt'!E25</f>
        <v>0</v>
      </c>
      <c r="E25" s="93">
        <f t="shared" si="1"/>
        <v>0</v>
      </c>
    </row>
    <row r="26" spans="1:5" ht="15.75">
      <c r="A26" s="88" t="s">
        <v>138</v>
      </c>
      <c r="B26" s="107" t="s">
        <v>139</v>
      </c>
      <c r="C26" s="92">
        <f>+'7 Önk'!D26+'8 PH'!D26+'9 VGIG'!D26+'10 Járób'!D26+'11 Szoci'!D26+'12 Ovi'!D26+'13 Művház'!D26+'14 Könyvt'!D26</f>
        <v>0</v>
      </c>
      <c r="D26" s="92">
        <f>+'7 Önk'!E26+'8 PH'!E26+'9 VGIG'!E26+'10 Járób'!E26+'11 Szoci'!E26+'12 Ovi'!E26+'13 Művház'!E26+'14 Könyvt'!E26</f>
        <v>0</v>
      </c>
      <c r="E26" s="93">
        <f t="shared" si="1"/>
        <v>0</v>
      </c>
    </row>
    <row r="27" spans="1:5" ht="15.75">
      <c r="A27" s="87" t="s">
        <v>140</v>
      </c>
      <c r="B27" s="107" t="s">
        <v>141</v>
      </c>
      <c r="C27" s="92">
        <f>+'7 Önk'!D27+'8 PH'!D27+'9 VGIG'!D27+'10 Járób'!D27+'11 Szoci'!D27+'12 Ovi'!D27+'13 Művház'!D27+'14 Könyvt'!D27</f>
        <v>0</v>
      </c>
      <c r="D27" s="92">
        <f>+'7 Önk'!E27+'8 PH'!E27+'9 VGIG'!E27+'10 Járób'!E27+'11 Szoci'!E27+'12 Ovi'!E27+'13 Művház'!E27+'14 Könyvt'!E27</f>
        <v>0</v>
      </c>
      <c r="E27" s="93">
        <f t="shared" si="1"/>
        <v>0</v>
      </c>
    </row>
    <row r="28" spans="1:5" ht="15.75">
      <c r="A28" s="88" t="s">
        <v>555</v>
      </c>
      <c r="B28" s="107" t="s">
        <v>142</v>
      </c>
      <c r="C28" s="92">
        <f>+'7 Önk'!D28+'8 PH'!D28+'9 VGIG'!D28+'10 Járób'!D28+'11 Szoci'!D28+'12 Ovi'!D28+'13 Művház'!D28+'14 Könyvt'!D28</f>
        <v>10633</v>
      </c>
      <c r="D28" s="92">
        <f>+'7 Önk'!E28+'8 PH'!E28+'9 VGIG'!E28+'10 Járób'!E28+'11 Szoci'!E28+'12 Ovi'!E28+'13 Művház'!E28+'14 Könyvt'!E28</f>
        <v>35855</v>
      </c>
      <c r="E28" s="93">
        <f t="shared" si="1"/>
        <v>46488</v>
      </c>
    </row>
    <row r="29" spans="1:5" ht="15.75">
      <c r="A29" s="87" t="s">
        <v>790</v>
      </c>
      <c r="B29" s="107" t="s">
        <v>143</v>
      </c>
      <c r="C29" s="92">
        <f>+'6 Tart'!D14</f>
        <v>30000</v>
      </c>
      <c r="D29" s="92">
        <f>+'6 Tart'!E14</f>
        <v>0</v>
      </c>
      <c r="E29" s="93">
        <f t="shared" si="1"/>
        <v>30000</v>
      </c>
    </row>
    <row r="30" spans="1:5" ht="15.75">
      <c r="A30" s="87" t="s">
        <v>791</v>
      </c>
      <c r="B30" s="107" t="s">
        <v>143</v>
      </c>
      <c r="C30" s="92">
        <f>+'6 Tart'!D26</f>
        <v>2650</v>
      </c>
      <c r="D30" s="92">
        <f>+'6 Tart'!E26</f>
        <v>0</v>
      </c>
      <c r="E30" s="93">
        <f t="shared" si="1"/>
        <v>2650</v>
      </c>
    </row>
    <row r="31" spans="1:5" s="110" customFormat="1" ht="15.75">
      <c r="A31" s="78" t="s">
        <v>524</v>
      </c>
      <c r="B31" s="109" t="s">
        <v>144</v>
      </c>
      <c r="C31" s="93">
        <f>SUM(C18:C30)</f>
        <v>198843</v>
      </c>
      <c r="D31" s="93">
        <f>SUM(D18:D30)</f>
        <v>38323</v>
      </c>
      <c r="E31" s="93">
        <f>SUM(E18:E30)</f>
        <v>237166</v>
      </c>
    </row>
    <row r="32" spans="1:5" ht="15.75">
      <c r="A32" s="111" t="s">
        <v>523</v>
      </c>
      <c r="B32" s="112" t="s">
        <v>673</v>
      </c>
      <c r="C32" s="113">
        <f>+C31+C17+C16+C10+C9</f>
        <v>2141731</v>
      </c>
      <c r="D32" s="113">
        <f>+D31+D17+D16+D10+D9</f>
        <v>666978</v>
      </c>
      <c r="E32" s="113">
        <f>+E31+E17+E16+E10+E9</f>
        <v>2808709</v>
      </c>
    </row>
    <row r="33" spans="1:8" ht="15.75">
      <c r="A33" s="114" t="s">
        <v>145</v>
      </c>
      <c r="B33" s="107" t="s">
        <v>146</v>
      </c>
      <c r="C33" s="92">
        <f>+'7 Önk'!D33+'8 PH'!D33+'9 VGIG'!D33+'10 Járób'!D33+'11 Szoci'!D33+'12 Ovi'!D33+'13 Művház'!D33+'14 Könyvt'!D33+'5 Beruh kiad'!D11</f>
        <v>455</v>
      </c>
      <c r="D33" s="92">
        <f>+'7 Önk'!E33+'8 PH'!E33+'9 VGIG'!E33+'10 Járób'!E33+'11 Szoci'!E33+'12 Ovi'!E33+'13 Művház'!E33+'14 Könyvt'!E33+'5 Beruh kiad'!E11</f>
        <v>2962</v>
      </c>
      <c r="E33" s="93">
        <f aca="true" t="shared" si="2" ref="E33:E39">+C33+D33</f>
        <v>3417</v>
      </c>
      <c r="H33" s="115"/>
    </row>
    <row r="34" spans="1:5" ht="15.75">
      <c r="A34" s="114" t="s">
        <v>556</v>
      </c>
      <c r="B34" s="107" t="s">
        <v>147</v>
      </c>
      <c r="C34" s="92">
        <f>+'7 Önk'!D34+'8 PH'!D34+'9 VGIG'!D34+'10 Járób'!D34+'11 Szoci'!D34+'12 Ovi'!D34+'13 Művház'!D34+'14 Könyvt'!D34+'5 Beruh kiad'!D14</f>
        <v>10866</v>
      </c>
      <c r="D34" s="92">
        <f>+'7 Önk'!E34+'8 PH'!E34+'9 VGIG'!E34+'10 Járób'!E34+'11 Szoci'!E34+'12 Ovi'!E34+'13 Művház'!E34+'14 Könyvt'!E34+'5 Beruh kiad'!E14</f>
        <v>0</v>
      </c>
      <c r="E34" s="93">
        <f t="shared" si="2"/>
        <v>10866</v>
      </c>
    </row>
    <row r="35" spans="1:5" ht="15.75">
      <c r="A35" s="114" t="s">
        <v>148</v>
      </c>
      <c r="B35" s="107" t="s">
        <v>149</v>
      </c>
      <c r="C35" s="92">
        <f>+'7 Önk'!D35+'8 PH'!D35+'9 VGIG'!D35+'10 Járób'!D35+'11 Szoci'!D35+'12 Ovi'!D35+'13 Művház'!D35+'14 Könyvt'!D35+'5 Beruh kiad'!D17</f>
        <v>942</v>
      </c>
      <c r="D35" s="92">
        <f>+'7 Önk'!E35+'8 PH'!E35+'9 VGIG'!E35+'10 Járób'!E35+'11 Szoci'!E35+'12 Ovi'!E35+'13 Művház'!E35+'14 Könyvt'!E35+'5 Beruh kiad'!E17</f>
        <v>0</v>
      </c>
      <c r="E35" s="93">
        <f t="shared" si="2"/>
        <v>942</v>
      </c>
    </row>
    <row r="36" spans="1:5" ht="15.75">
      <c r="A36" s="114" t="s">
        <v>150</v>
      </c>
      <c r="B36" s="107" t="s">
        <v>151</v>
      </c>
      <c r="C36" s="92">
        <f>+'7 Önk'!D36+'8 PH'!D36+'9 VGIG'!D36+'10 Járób'!D36+'11 Szoci'!D36+'12 Ovi'!D36+'13 Művház'!D36+'14 Könyvt'!D36+'5 Beruh kiad'!D20</f>
        <v>9100</v>
      </c>
      <c r="D36" s="92">
        <f>+'7 Önk'!E36+'8 PH'!E36+'9 VGIG'!E36+'10 Járób'!E36+'11 Szoci'!E36+'12 Ovi'!E36+'13 Művház'!E36+'14 Könyvt'!E36+'5 Beruh kiad'!E20</f>
        <v>17573</v>
      </c>
      <c r="E36" s="93">
        <f t="shared" si="2"/>
        <v>26673</v>
      </c>
    </row>
    <row r="37" spans="1:5" ht="15.75">
      <c r="A37" s="81" t="s">
        <v>152</v>
      </c>
      <c r="B37" s="107" t="s">
        <v>153</v>
      </c>
      <c r="C37" s="92">
        <f>+'7 Önk'!D37+'8 PH'!D37+'9 VGIG'!D37+'10 Járób'!D37+'11 Szoci'!D37+'12 Ovi'!D37+'13 Művház'!D37+'14 Könyvt'!D37+'5 Beruh kiad'!D23</f>
        <v>0</v>
      </c>
      <c r="D37" s="92">
        <f>+'7 Önk'!E37+'8 PH'!E37+'9 VGIG'!E37+'10 Járób'!E37+'11 Szoci'!E37+'12 Ovi'!E37+'13 Művház'!E37+'14 Könyvt'!E37+'5 Beruh kiad'!E23</f>
        <v>0</v>
      </c>
      <c r="E37" s="93">
        <f t="shared" si="2"/>
        <v>0</v>
      </c>
    </row>
    <row r="38" spans="1:5" ht="15.75">
      <c r="A38" s="81" t="s">
        <v>154</v>
      </c>
      <c r="B38" s="107" t="s">
        <v>155</v>
      </c>
      <c r="C38" s="92">
        <f>+'7 Önk'!D38+'8 PH'!D38+'9 VGIG'!D38+'10 Járób'!D38+'11 Szoci'!D38+'12 Ovi'!D38+'13 Művház'!D38+'14 Könyvt'!D38+'5 Beruh kiad'!D26</f>
        <v>0</v>
      </c>
      <c r="D38" s="92">
        <f>+'7 Önk'!E38+'8 PH'!E38+'9 VGIG'!E38+'10 Járób'!E38+'11 Szoci'!E38+'12 Ovi'!E38+'13 Művház'!E38+'14 Könyvt'!E38</f>
        <v>0</v>
      </c>
      <c r="E38" s="93">
        <f t="shared" si="2"/>
        <v>0</v>
      </c>
    </row>
    <row r="39" spans="1:5" ht="15.75">
      <c r="A39" s="81" t="s">
        <v>156</v>
      </c>
      <c r="B39" s="107" t="s">
        <v>157</v>
      </c>
      <c r="C39" s="92">
        <f>+'7 Önk'!D39+'8 PH'!D39+'9 VGIG'!D39+'10 Járób'!D39+'11 Szoci'!D39+'12 Ovi'!D39+'13 Művház'!D39+'14 Könyvt'!D39+'5 Beruh kiad'!D31</f>
        <v>3338</v>
      </c>
      <c r="D39" s="92">
        <f>+'7 Önk'!E39+'8 PH'!E39+'9 VGIG'!E39+'10 Járób'!E39+'11 Szoci'!E39+'12 Ovi'!E39+'13 Művház'!E39+'14 Könyvt'!E39+'5 Beruh kiad'!E31</f>
        <v>5544</v>
      </c>
      <c r="E39" s="93">
        <f t="shared" si="2"/>
        <v>8882</v>
      </c>
    </row>
    <row r="40" spans="1:5" s="110" customFormat="1" ht="15.75">
      <c r="A40" s="83" t="s">
        <v>522</v>
      </c>
      <c r="B40" s="109" t="s">
        <v>158</v>
      </c>
      <c r="C40" s="93">
        <f>SUM(C33:C39)</f>
        <v>24701</v>
      </c>
      <c r="D40" s="93">
        <f>SUM(D33:D39)</f>
        <v>26079</v>
      </c>
      <c r="E40" s="93">
        <f>SUM(E33:E39)</f>
        <v>50780</v>
      </c>
    </row>
    <row r="41" spans="1:5" ht="15.75">
      <c r="A41" s="80" t="s">
        <v>159</v>
      </c>
      <c r="B41" s="107" t="s">
        <v>160</v>
      </c>
      <c r="C41" s="92">
        <f>+'7 Önk'!D41+'8 PH'!D41+'9 VGIG'!D41+'10 Járób'!D41+'11 Szoci'!D41+'12 Ovi'!D41+'13 Művház'!D41+'14 Könyvt'!D41+'5 Beruh kiad'!D41</f>
        <v>248396</v>
      </c>
      <c r="D41" s="92">
        <f>+'7 Önk'!E41+'8 PH'!E41+'9 VGIG'!E41+'10 Járób'!E41+'11 Szoci'!E41+'12 Ovi'!E41+'13 Művház'!E41+'14 Könyvt'!E41+'5 Beruh kiad'!E41</f>
        <v>6600</v>
      </c>
      <c r="E41" s="93">
        <f>+C41+D41</f>
        <v>254996</v>
      </c>
    </row>
    <row r="42" spans="1:5" ht="15.75">
      <c r="A42" s="80" t="s">
        <v>161</v>
      </c>
      <c r="B42" s="107" t="s">
        <v>162</v>
      </c>
      <c r="C42" s="92">
        <f>+'7 Önk'!D42+'8 PH'!D42+'9 VGIG'!D42+'10 Járób'!D42+'11 Szoci'!D42+'12 Ovi'!D42+'13 Művház'!D42+'14 Könyvt'!D42+'5 Beruh kiad'!D44</f>
        <v>0</v>
      </c>
      <c r="D42" s="92">
        <f>+'7 Önk'!E42+'8 PH'!E42+'9 VGIG'!E42+'10 Járób'!E42+'11 Szoci'!E42+'12 Ovi'!E42+'13 Művház'!E42+'14 Könyvt'!E42+'5 Beruh kiad'!E44</f>
        <v>0</v>
      </c>
      <c r="E42" s="93">
        <f>+C42+D42</f>
        <v>0</v>
      </c>
    </row>
    <row r="43" spans="1:5" ht="15.75">
      <c r="A43" s="80" t="s">
        <v>163</v>
      </c>
      <c r="B43" s="107" t="s">
        <v>164</v>
      </c>
      <c r="C43" s="92">
        <f>+'7 Önk'!D43+'8 PH'!D43+'9 VGIG'!D43+'10 Járób'!D43+'11 Szoci'!D43+'12 Ovi'!D43+'13 Művház'!D43+'14 Könyvt'!D43+'5 Beruh kiad'!D49</f>
        <v>149685</v>
      </c>
      <c r="D43" s="92">
        <f>+'7 Önk'!E43+'8 PH'!E43+'9 VGIG'!E43+'10 Járób'!E43+'11 Szoci'!E43+'12 Ovi'!E43+'13 Művház'!E43+'14 Könyvt'!E43+'5 Beruh kiad'!E49</f>
        <v>4370</v>
      </c>
      <c r="E43" s="93">
        <f>+C43+D43</f>
        <v>154055</v>
      </c>
    </row>
    <row r="44" spans="1:5" ht="15.75">
      <c r="A44" s="80" t="s">
        <v>165</v>
      </c>
      <c r="B44" s="107" t="s">
        <v>166</v>
      </c>
      <c r="C44" s="92">
        <f>+'7 Önk'!D44+'8 PH'!D44+'9 VGIG'!D44+'10 Járób'!D44+'11 Szoci'!D44+'12 Ovi'!D44+'13 Művház'!D44+'14 Könyvt'!D44+'5 Beruh kiad'!D60</f>
        <v>107415</v>
      </c>
      <c r="D44" s="92">
        <f>+'7 Önk'!E44+'8 PH'!E44+'9 VGIG'!E44+'10 Járób'!E44+'11 Szoci'!E44+'12 Ovi'!E44+'13 Művház'!E44+'14 Könyvt'!E44+'5 Beruh kiad'!E60</f>
        <v>1180</v>
      </c>
      <c r="E44" s="93">
        <f>+C44+D44</f>
        <v>108595</v>
      </c>
    </row>
    <row r="45" spans="1:5" s="110" customFormat="1" ht="15.75">
      <c r="A45" s="90" t="s">
        <v>521</v>
      </c>
      <c r="B45" s="109" t="s">
        <v>167</v>
      </c>
      <c r="C45" s="93">
        <f>SUM(C41:C44)</f>
        <v>505496</v>
      </c>
      <c r="D45" s="93">
        <f>SUM(D41:D44)</f>
        <v>12150</v>
      </c>
      <c r="E45" s="93">
        <f>SUM(E41:E44)</f>
        <v>517646</v>
      </c>
    </row>
    <row r="46" spans="1:5" ht="15.75">
      <c r="A46" s="80" t="s">
        <v>793</v>
      </c>
      <c r="B46" s="107" t="s">
        <v>168</v>
      </c>
      <c r="C46" s="92">
        <f>+'7 Önk'!D46+'8 PH'!D46+'9 VGIG'!D46+'10 Járób'!D46+'11 Szoci'!D46+'12 Ovi'!D46+'13 Művház'!D46+'14 Könyvt'!D46</f>
        <v>0</v>
      </c>
      <c r="D46" s="92">
        <f>+'7 Önk'!E46+'8 PH'!E46+'9 VGIG'!E46+'10 Járób'!E46+'11 Szoci'!E46+'12 Ovi'!E46+'13 Művház'!E46+'14 Könyvt'!E46</f>
        <v>0</v>
      </c>
      <c r="E46" s="93">
        <f aca="true" t="shared" si="3" ref="E46:E53">+C46+D46</f>
        <v>0</v>
      </c>
    </row>
    <row r="47" spans="1:5" ht="15.75">
      <c r="A47" s="80" t="s">
        <v>794</v>
      </c>
      <c r="B47" s="107" t="s">
        <v>169</v>
      </c>
      <c r="C47" s="92">
        <f>+'7 Önk'!D47+'8 PH'!D47+'9 VGIG'!D47+'10 Járób'!D47+'11 Szoci'!D47+'12 Ovi'!D47+'13 Művház'!D47+'14 Könyvt'!D47</f>
        <v>0</v>
      </c>
      <c r="D47" s="92">
        <f>+'7 Önk'!E47+'8 PH'!E47+'9 VGIG'!E47+'10 Járób'!E47+'11 Szoci'!E47+'12 Ovi'!E47+'13 Művház'!E47+'14 Könyvt'!E47</f>
        <v>0</v>
      </c>
      <c r="E47" s="93">
        <f t="shared" si="3"/>
        <v>0</v>
      </c>
    </row>
    <row r="48" spans="1:5" ht="15.75">
      <c r="A48" s="80" t="s">
        <v>795</v>
      </c>
      <c r="B48" s="107" t="s">
        <v>170</v>
      </c>
      <c r="C48" s="92">
        <f>+'7 Önk'!D48+'8 PH'!D48+'9 VGIG'!D48+'10 Járób'!D48+'11 Szoci'!D48+'12 Ovi'!D48+'13 Művház'!D48+'14 Könyvt'!D48</f>
        <v>0</v>
      </c>
      <c r="D48" s="92">
        <f>+'7 Önk'!E48+'8 PH'!E48+'9 VGIG'!E48+'10 Járób'!E48+'11 Szoci'!E48+'12 Ovi'!E48+'13 Művház'!E48+'14 Könyvt'!E48</f>
        <v>0</v>
      </c>
      <c r="E48" s="93">
        <f t="shared" si="3"/>
        <v>0</v>
      </c>
    </row>
    <row r="49" spans="1:5" ht="15.75">
      <c r="A49" s="80" t="s">
        <v>805</v>
      </c>
      <c r="B49" s="107" t="s">
        <v>171</v>
      </c>
      <c r="C49" s="92">
        <f>+'7 Önk'!D49+'8 PH'!D49+'9 VGIG'!D49+'10 Járób'!D49+'11 Szoci'!D49+'12 Ovi'!D49+'13 Művház'!D49+'14 Könyvt'!D49</f>
        <v>136194</v>
      </c>
      <c r="D49" s="92">
        <f>+'7 Önk'!E49+'8 PH'!E49+'9 VGIG'!E49+'10 Járób'!E49+'11 Szoci'!E49+'12 Ovi'!E49+'13 Művház'!E49+'14 Könyvt'!E49</f>
        <v>0</v>
      </c>
      <c r="E49" s="93">
        <f t="shared" si="3"/>
        <v>136194</v>
      </c>
    </row>
    <row r="50" spans="1:5" ht="15.75">
      <c r="A50" s="80" t="s">
        <v>796</v>
      </c>
      <c r="B50" s="107" t="s">
        <v>172</v>
      </c>
      <c r="C50" s="92">
        <f>+'7 Önk'!D50+'8 PH'!D50+'9 VGIG'!D50+'10 Járób'!D50+'11 Szoci'!D50+'12 Ovi'!D50+'13 Művház'!D50+'14 Könyvt'!D50</f>
        <v>0</v>
      </c>
      <c r="D50" s="92">
        <f>+'7 Önk'!E50+'8 PH'!E50+'9 VGIG'!E50+'10 Járób'!E50+'11 Szoci'!E50+'12 Ovi'!E50+'13 Művház'!E50+'14 Könyvt'!E50</f>
        <v>0</v>
      </c>
      <c r="E50" s="93">
        <f t="shared" si="3"/>
        <v>0</v>
      </c>
    </row>
    <row r="51" spans="1:5" ht="15.75">
      <c r="A51" s="80" t="s">
        <v>797</v>
      </c>
      <c r="B51" s="107" t="s">
        <v>173</v>
      </c>
      <c r="C51" s="92">
        <f>+'7 Önk'!D51+'8 PH'!D51+'9 VGIG'!D51+'10 Járób'!D51+'11 Szoci'!D51+'12 Ovi'!D51+'13 Művház'!D51+'14 Könyvt'!D51</f>
        <v>0</v>
      </c>
      <c r="D51" s="92">
        <f>+'7 Önk'!E51+'8 PH'!E51+'9 VGIG'!E51+'10 Járób'!E51+'11 Szoci'!E51+'12 Ovi'!E51+'13 Művház'!E51+'14 Könyvt'!E51</f>
        <v>0</v>
      </c>
      <c r="E51" s="93">
        <f t="shared" si="3"/>
        <v>0</v>
      </c>
    </row>
    <row r="52" spans="1:5" ht="15.75">
      <c r="A52" s="80" t="s">
        <v>174</v>
      </c>
      <c r="B52" s="107" t="s">
        <v>175</v>
      </c>
      <c r="C52" s="92">
        <f>+'7 Önk'!D52+'8 PH'!D52+'9 VGIG'!D52+'10 Járób'!D52+'11 Szoci'!D52+'12 Ovi'!D52+'13 Művház'!D52+'14 Könyvt'!D52</f>
        <v>0</v>
      </c>
      <c r="D52" s="92">
        <f>+'7 Önk'!E52+'8 PH'!E52+'9 VGIG'!E52+'10 Járób'!E52+'11 Szoci'!E52+'12 Ovi'!E52+'13 Művház'!E52+'14 Könyvt'!E52</f>
        <v>0</v>
      </c>
      <c r="E52" s="93">
        <f t="shared" si="3"/>
        <v>0</v>
      </c>
    </row>
    <row r="53" spans="1:5" ht="15.75">
      <c r="A53" s="80" t="s">
        <v>557</v>
      </c>
      <c r="B53" s="107" t="s">
        <v>176</v>
      </c>
      <c r="C53" s="92">
        <f>+'7 Önk'!D53+'8 PH'!D53+'9 VGIG'!D53+'10 Járób'!D53+'11 Szoci'!D53+'12 Ovi'!D53+'13 Művház'!D53+'14 Könyvt'!D53</f>
        <v>0</v>
      </c>
      <c r="D53" s="92">
        <f>+'7 Önk'!E53+'8 PH'!E53+'9 VGIG'!E53+'10 Járób'!E53+'11 Szoci'!E53+'12 Ovi'!E53+'13 Művház'!E53+'14 Könyvt'!E53</f>
        <v>0</v>
      </c>
      <c r="E53" s="93">
        <f t="shared" si="3"/>
        <v>0</v>
      </c>
    </row>
    <row r="54" spans="1:5" s="110" customFormat="1" ht="15.75">
      <c r="A54" s="78" t="s">
        <v>520</v>
      </c>
      <c r="B54" s="109" t="s">
        <v>177</v>
      </c>
      <c r="C54" s="93">
        <f>SUM(C46:C53)</f>
        <v>136194</v>
      </c>
      <c r="D54" s="93">
        <f>SUM(D46:D53)</f>
        <v>0</v>
      </c>
      <c r="E54" s="93">
        <f>SUM(E46:E53)</f>
        <v>136194</v>
      </c>
    </row>
    <row r="55" spans="1:5" ht="15.75">
      <c r="A55" s="111" t="s">
        <v>519</v>
      </c>
      <c r="B55" s="112" t="s">
        <v>674</v>
      </c>
      <c r="C55" s="113">
        <f>+C54+C45+C40</f>
        <v>666391</v>
      </c>
      <c r="D55" s="113">
        <f>+D54+D45+D40</f>
        <v>38229</v>
      </c>
      <c r="E55" s="113">
        <f>+E54+E45+E40</f>
        <v>704620</v>
      </c>
    </row>
    <row r="56" spans="1:5" ht="15.75">
      <c r="A56" s="116" t="s">
        <v>518</v>
      </c>
      <c r="B56" s="117" t="s">
        <v>675</v>
      </c>
      <c r="C56" s="118">
        <f>+C54+C45+C40+C31+C17+C16+C10+C9</f>
        <v>2808122</v>
      </c>
      <c r="D56" s="118">
        <f>+D54+D45+D40+D31+D17+D16+D10+D9</f>
        <v>705207</v>
      </c>
      <c r="E56" s="118">
        <f>+E54+E45+E40+E31+E17+E16+E10+E9</f>
        <v>3513329</v>
      </c>
    </row>
    <row r="57" spans="1:24" ht="15.75">
      <c r="A57" s="80" t="s">
        <v>567</v>
      </c>
      <c r="B57" s="82" t="s">
        <v>178</v>
      </c>
      <c r="C57" s="92">
        <f>+'17 hitelek'!C14</f>
        <v>5948</v>
      </c>
      <c r="D57" s="92">
        <f>+'17 hitelek'!D14</f>
        <v>0</v>
      </c>
      <c r="E57" s="93">
        <f>+C57+D57</f>
        <v>5948</v>
      </c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20"/>
      <c r="X57" s="120"/>
    </row>
    <row r="58" spans="1:24" ht="15.75">
      <c r="A58" s="80" t="s">
        <v>181</v>
      </c>
      <c r="B58" s="82" t="s">
        <v>182</v>
      </c>
      <c r="C58" s="92">
        <f>+'17 hitelek'!C17</f>
        <v>0</v>
      </c>
      <c r="D58" s="92">
        <f>+'17 hitelek'!D17</f>
        <v>0</v>
      </c>
      <c r="E58" s="93">
        <f>+C58+D58</f>
        <v>0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20"/>
      <c r="X58" s="120"/>
    </row>
    <row r="59" spans="1:24" ht="15.75">
      <c r="A59" s="80" t="s">
        <v>568</v>
      </c>
      <c r="B59" s="82" t="s">
        <v>183</v>
      </c>
      <c r="C59" s="92">
        <f>+'17 hitelek'!C20</f>
        <v>88500</v>
      </c>
      <c r="D59" s="92">
        <f>+'17 hitelek'!D20</f>
        <v>0</v>
      </c>
      <c r="E59" s="93">
        <f>+C59+D59</f>
        <v>88500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20"/>
      <c r="X59" s="120"/>
    </row>
    <row r="60" spans="1:24" ht="15.75">
      <c r="A60" s="78" t="s">
        <v>433</v>
      </c>
      <c r="B60" s="90" t="s">
        <v>184</v>
      </c>
      <c r="C60" s="121">
        <f>SUM(C57:C59)</f>
        <v>94448</v>
      </c>
      <c r="D60" s="121">
        <f>SUM(D57:D59)</f>
        <v>0</v>
      </c>
      <c r="E60" s="121">
        <f>SUM(E57:E59)</f>
        <v>94448</v>
      </c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0"/>
      <c r="X60" s="120"/>
    </row>
    <row r="61" spans="1:24" ht="15.75">
      <c r="A61" s="123" t="s">
        <v>558</v>
      </c>
      <c r="B61" s="82" t="s">
        <v>185</v>
      </c>
      <c r="C61" s="92"/>
      <c r="D61" s="92"/>
      <c r="E61" s="93">
        <f>+C61+D61</f>
        <v>0</v>
      </c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0"/>
      <c r="X61" s="120"/>
    </row>
    <row r="62" spans="1:24" ht="15.75">
      <c r="A62" s="123" t="s">
        <v>544</v>
      </c>
      <c r="B62" s="82" t="s">
        <v>188</v>
      </c>
      <c r="C62" s="92"/>
      <c r="D62" s="92"/>
      <c r="E62" s="93">
        <f>+C62+D62</f>
        <v>0</v>
      </c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0"/>
      <c r="X62" s="120"/>
    </row>
    <row r="63" spans="1:24" ht="15.75">
      <c r="A63" s="80" t="s">
        <v>189</v>
      </c>
      <c r="B63" s="82" t="s">
        <v>190</v>
      </c>
      <c r="C63" s="92"/>
      <c r="D63" s="92"/>
      <c r="E63" s="93">
        <f>+C63+D63</f>
        <v>0</v>
      </c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20"/>
      <c r="X63" s="120"/>
    </row>
    <row r="64" spans="1:24" ht="15.75">
      <c r="A64" s="80" t="s">
        <v>414</v>
      </c>
      <c r="B64" s="82" t="s">
        <v>191</v>
      </c>
      <c r="C64" s="92">
        <f>+'17 hitelek'!C31</f>
        <v>0</v>
      </c>
      <c r="D64" s="92">
        <f>+'17 hitelek'!D31</f>
        <v>0</v>
      </c>
      <c r="E64" s="93">
        <f>+C64+D64</f>
        <v>0</v>
      </c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20"/>
      <c r="X64" s="120"/>
    </row>
    <row r="65" spans="1:24" ht="15.75">
      <c r="A65" s="125" t="s">
        <v>432</v>
      </c>
      <c r="B65" s="90" t="s">
        <v>192</v>
      </c>
      <c r="C65" s="126">
        <f>SUM(C61:C64)</f>
        <v>0</v>
      </c>
      <c r="D65" s="126">
        <f>SUM(D61:D64)</f>
        <v>0</v>
      </c>
      <c r="E65" s="126">
        <f>SUM(E61:E64)</f>
        <v>0</v>
      </c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0"/>
      <c r="X65" s="120"/>
    </row>
    <row r="66" spans="1:24" ht="15.75">
      <c r="A66" s="123" t="s">
        <v>193</v>
      </c>
      <c r="B66" s="82" t="s">
        <v>194</v>
      </c>
      <c r="C66" s="92"/>
      <c r="D66" s="92"/>
      <c r="E66" s="93">
        <f aca="true" t="shared" si="4" ref="E66:E71">+C66+D66</f>
        <v>0</v>
      </c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0"/>
      <c r="X66" s="120"/>
    </row>
    <row r="67" spans="1:24" ht="15.75">
      <c r="A67" s="123" t="s">
        <v>195</v>
      </c>
      <c r="B67" s="82" t="s">
        <v>196</v>
      </c>
      <c r="C67" s="92"/>
      <c r="D67" s="92"/>
      <c r="E67" s="93">
        <f t="shared" si="4"/>
        <v>0</v>
      </c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0"/>
      <c r="X67" s="120"/>
    </row>
    <row r="68" spans="1:24" ht="15.75">
      <c r="A68" s="123" t="s">
        <v>667</v>
      </c>
      <c r="B68" s="82" t="s">
        <v>197</v>
      </c>
      <c r="C68" s="92"/>
      <c r="D68" s="92"/>
      <c r="E68" s="93">
        <f t="shared" si="4"/>
        <v>0</v>
      </c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0"/>
      <c r="X68" s="120"/>
    </row>
    <row r="69" spans="1:24" ht="15.75">
      <c r="A69" s="123" t="s">
        <v>198</v>
      </c>
      <c r="B69" s="82" t="s">
        <v>199</v>
      </c>
      <c r="C69" s="92"/>
      <c r="D69" s="92"/>
      <c r="E69" s="93">
        <f t="shared" si="4"/>
        <v>0</v>
      </c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0"/>
      <c r="X69" s="120"/>
    </row>
    <row r="70" spans="1:24" ht="15.75">
      <c r="A70" s="123" t="s">
        <v>200</v>
      </c>
      <c r="B70" s="82" t="s">
        <v>201</v>
      </c>
      <c r="C70" s="92"/>
      <c r="D70" s="92"/>
      <c r="E70" s="93">
        <f t="shared" si="4"/>
        <v>0</v>
      </c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0"/>
      <c r="X70" s="120"/>
    </row>
    <row r="71" spans="1:24" ht="15.75">
      <c r="A71" s="123" t="s">
        <v>202</v>
      </c>
      <c r="B71" s="82" t="s">
        <v>203</v>
      </c>
      <c r="C71" s="92"/>
      <c r="D71" s="92"/>
      <c r="E71" s="93">
        <f t="shared" si="4"/>
        <v>0</v>
      </c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0"/>
      <c r="X71" s="120"/>
    </row>
    <row r="72" spans="1:24" ht="15.75">
      <c r="A72" s="125" t="s">
        <v>431</v>
      </c>
      <c r="B72" s="90" t="s">
        <v>204</v>
      </c>
      <c r="C72" s="126">
        <f>+C71+C70+C69+C68+C67+C66+C65+C60</f>
        <v>94448</v>
      </c>
      <c r="D72" s="126">
        <f>+D71+D70+D69+D68+D67+D66+D65+D60</f>
        <v>0</v>
      </c>
      <c r="E72" s="126">
        <f>+E71+E70+E69+E68+E67+E66+E65+E60</f>
        <v>94448</v>
      </c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0"/>
      <c r="X72" s="120"/>
    </row>
    <row r="73" spans="1:24" ht="15.75">
      <c r="A73" s="125" t="s">
        <v>547</v>
      </c>
      <c r="B73" s="90" t="s">
        <v>214</v>
      </c>
      <c r="C73" s="92">
        <f>+'7 Önk'!D58+'8 PH'!D58+'9 VGIG'!D58+'10 Járób'!D58+'11 Szoci'!D58+'12 Ovi'!D58+'13 Művház'!D58+'14 Könyvt'!D58</f>
        <v>0</v>
      </c>
      <c r="D73" s="92">
        <f>+'7 Önk'!E58+'8 PH'!E58+'9 VGIG'!E58+'10 Járób'!E58+'11 Szoci'!E58+'12 Ovi'!E58+'13 Művház'!E58+'14 Könyvt'!E58</f>
        <v>0</v>
      </c>
      <c r="E73" s="93">
        <f>+C73+D73</f>
        <v>0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0"/>
      <c r="X73" s="120"/>
    </row>
    <row r="74" spans="1:24" ht="15.75">
      <c r="A74" s="80" t="s">
        <v>215</v>
      </c>
      <c r="B74" s="82" t="s">
        <v>216</v>
      </c>
      <c r="C74" s="92">
        <f>+'7 Önk'!D59+'8 PH'!D59+'9 VGIG'!D59+'10 Járób'!D59+'11 Szoci'!D59+'12 Ovi'!D59+'13 Művház'!D59+'14 Könyvt'!D59</f>
        <v>0</v>
      </c>
      <c r="D74" s="92">
        <f>+'7 Önk'!E59+'8 PH'!E59+'9 VGIG'!E59+'10 Járób'!E59+'11 Szoci'!E59+'12 Ovi'!E59+'13 Művház'!E59+'14 Könyvt'!E59</f>
        <v>0</v>
      </c>
      <c r="E74" s="93">
        <f>+C74+D74</f>
        <v>0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0"/>
      <c r="X74" s="120"/>
    </row>
    <row r="75" spans="1:24" ht="15.75">
      <c r="A75" s="128" t="s">
        <v>517</v>
      </c>
      <c r="B75" s="129" t="s">
        <v>217</v>
      </c>
      <c r="C75" s="130">
        <f>+C74+C73+C72</f>
        <v>94448</v>
      </c>
      <c r="D75" s="130">
        <f>+D74+D73+D72</f>
        <v>0</v>
      </c>
      <c r="E75" s="130">
        <f>+E74+E73+E72</f>
        <v>94448</v>
      </c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0"/>
      <c r="X75" s="120"/>
    </row>
    <row r="76" spans="1:24" ht="15.75">
      <c r="A76" s="75" t="s">
        <v>771</v>
      </c>
      <c r="B76" s="75" t="s">
        <v>671</v>
      </c>
      <c r="C76" s="131">
        <f>+C56+C75</f>
        <v>2902570</v>
      </c>
      <c r="D76" s="131">
        <f>+D56+D75</f>
        <v>705207</v>
      </c>
      <c r="E76" s="131">
        <f>+E56+E75</f>
        <v>3607777</v>
      </c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:24" ht="15.75">
      <c r="A77" s="4"/>
      <c r="B77" s="132"/>
      <c r="C77" s="133"/>
      <c r="D77" s="133"/>
      <c r="E77" s="134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:24" ht="15.75">
      <c r="A78" s="4"/>
      <c r="B78" s="132"/>
      <c r="C78" s="133"/>
      <c r="D78" s="133"/>
      <c r="E78" s="134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ht="31.5">
      <c r="A79" s="72" t="s">
        <v>76</v>
      </c>
      <c r="B79" s="79" t="s">
        <v>31</v>
      </c>
      <c r="C79" s="135" t="s">
        <v>769</v>
      </c>
      <c r="D79" s="135" t="s">
        <v>770</v>
      </c>
      <c r="E79" s="136" t="s">
        <v>28</v>
      </c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:24" ht="15.75">
      <c r="A80" s="106" t="s">
        <v>218</v>
      </c>
      <c r="B80" s="81" t="s">
        <v>219</v>
      </c>
      <c r="C80" s="92">
        <f>+'3 Adók és tám'!D48</f>
        <v>228421</v>
      </c>
      <c r="D80" s="92"/>
      <c r="E80" s="93">
        <f aca="true" t="shared" si="5" ref="E80:E85">+D80+C80</f>
        <v>228421</v>
      </c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:24" ht="15.75">
      <c r="A81" s="82" t="s">
        <v>220</v>
      </c>
      <c r="B81" s="81" t="s">
        <v>221</v>
      </c>
      <c r="C81" s="92">
        <f>+'3 Adók és tám'!D52</f>
        <v>171460</v>
      </c>
      <c r="D81" s="92"/>
      <c r="E81" s="93">
        <f t="shared" si="5"/>
        <v>171460</v>
      </c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:24" ht="15.75">
      <c r="A82" s="82" t="s">
        <v>222</v>
      </c>
      <c r="B82" s="81" t="s">
        <v>223</v>
      </c>
      <c r="C82" s="92">
        <f>+'3 Adók és tám'!D65</f>
        <v>612676</v>
      </c>
      <c r="D82" s="92"/>
      <c r="E82" s="93">
        <f t="shared" si="5"/>
        <v>612676</v>
      </c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:24" ht="15.75">
      <c r="A83" s="82" t="s">
        <v>224</v>
      </c>
      <c r="B83" s="81" t="s">
        <v>225</v>
      </c>
      <c r="C83" s="92">
        <f>+'3 Adók és tám'!D67</f>
        <v>13093</v>
      </c>
      <c r="D83" s="92"/>
      <c r="E83" s="93">
        <f t="shared" si="5"/>
        <v>13093</v>
      </c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:24" ht="15.75">
      <c r="A84" s="82" t="s">
        <v>226</v>
      </c>
      <c r="B84" s="81" t="s">
        <v>227</v>
      </c>
      <c r="C84" s="92">
        <f>+'3 Adók és tám'!D69</f>
        <v>0</v>
      </c>
      <c r="D84" s="92"/>
      <c r="E84" s="93">
        <f t="shared" si="5"/>
        <v>0</v>
      </c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:24" ht="15.75">
      <c r="A85" s="82" t="s">
        <v>228</v>
      </c>
      <c r="B85" s="81" t="s">
        <v>229</v>
      </c>
      <c r="C85" s="92">
        <f>+'3 Adók és tám'!D72</f>
        <v>247967</v>
      </c>
      <c r="D85" s="92"/>
      <c r="E85" s="93">
        <f t="shared" si="5"/>
        <v>247967</v>
      </c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:24" ht="15.75">
      <c r="A86" s="90" t="s">
        <v>809</v>
      </c>
      <c r="B86" s="83" t="s">
        <v>230</v>
      </c>
      <c r="C86" s="93">
        <f>SUM(C80:C85)</f>
        <v>1273617</v>
      </c>
      <c r="D86" s="93">
        <f>SUM(D80:D85)</f>
        <v>0</v>
      </c>
      <c r="E86" s="93">
        <f>SUM(E80:E85)</f>
        <v>1273617</v>
      </c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:24" ht="15.75">
      <c r="A87" s="82" t="s">
        <v>231</v>
      </c>
      <c r="B87" s="81" t="s">
        <v>232</v>
      </c>
      <c r="C87" s="92">
        <f>+'7 Önk'!D66+'8 PH'!D66+'9 VGIG'!D66+'10 Járób'!D66+'11 Szoci'!D66+'12 Ovi'!D66+'13 Művház'!D66+'14 Könyvt'!D66</f>
        <v>0</v>
      </c>
      <c r="D87" s="92">
        <f>+'7 Önk'!E66+'8 PH'!E66+'9 VGIG'!E66+'10 Járób'!E66+'11 Szoci'!E66+'12 Ovi'!E66+'13 Művház'!E66+'14 Könyvt'!E66</f>
        <v>0</v>
      </c>
      <c r="E87" s="93">
        <f>+D87+C87</f>
        <v>0</v>
      </c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ht="15.75">
      <c r="A88" s="82" t="s">
        <v>768</v>
      </c>
      <c r="B88" s="81" t="s">
        <v>233</v>
      </c>
      <c r="C88" s="92">
        <f>+'7 Önk'!D67+'8 PH'!D67+'9 VGIG'!D67+'10 Járób'!D67+'11 Szoci'!D67+'12 Ovi'!D67+'13 Művház'!D67+'14 Könyvt'!D67</f>
        <v>0</v>
      </c>
      <c r="D88" s="92">
        <f>+'7 Önk'!E67+'8 PH'!E67+'9 VGIG'!E67+'10 Járób'!E67+'11 Szoci'!E67+'12 Ovi'!E67+'13 Művház'!E67+'14 Könyvt'!E67</f>
        <v>0</v>
      </c>
      <c r="E88" s="93">
        <f>+D88+C88</f>
        <v>0</v>
      </c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:24" ht="15.75">
      <c r="A89" s="82" t="s">
        <v>766</v>
      </c>
      <c r="B89" s="81" t="s">
        <v>234</v>
      </c>
      <c r="C89" s="92">
        <f>+'7 Önk'!D68+'8 PH'!D68+'9 VGIG'!D68+'10 Járób'!D68+'11 Szoci'!D68+'12 Ovi'!D68+'13 Művház'!D68+'14 Könyvt'!D68</f>
        <v>0</v>
      </c>
      <c r="D89" s="92">
        <f>+'7 Önk'!E68+'8 PH'!E68+'9 VGIG'!E68+'10 Járób'!E68+'11 Szoci'!E68+'12 Ovi'!E68+'13 Művház'!E68+'14 Könyvt'!E68</f>
        <v>0</v>
      </c>
      <c r="E89" s="93">
        <f>+D89+C89</f>
        <v>0</v>
      </c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:24" ht="15.75">
      <c r="A90" s="82" t="s">
        <v>767</v>
      </c>
      <c r="B90" s="81" t="s">
        <v>235</v>
      </c>
      <c r="C90" s="92">
        <f>+'7 Önk'!D69+'8 PH'!D69+'9 VGIG'!D69+'10 Járób'!D69+'11 Szoci'!D69+'12 Ovi'!D69+'13 Művház'!D69+'14 Könyvt'!D69</f>
        <v>0</v>
      </c>
      <c r="D90" s="92">
        <f>+'7 Önk'!E69+'8 PH'!E69+'9 VGIG'!E69+'10 Járób'!E69+'11 Szoci'!E69+'12 Ovi'!E69+'13 Művház'!E69+'14 Könyvt'!E69</f>
        <v>0</v>
      </c>
      <c r="E90" s="93">
        <f>+D90+C90</f>
        <v>0</v>
      </c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:24" ht="15.75">
      <c r="A91" s="82" t="s">
        <v>572</v>
      </c>
      <c r="B91" s="81" t="s">
        <v>236</v>
      </c>
      <c r="C91" s="92">
        <f>+'7 Önk'!D70+'8 PH'!D70+'9 VGIG'!D70+'10 Járób'!D70+'11 Szoci'!D70+'12 Ovi'!D70+'13 Művház'!D70+'14 Könyvt'!D70+'4 Átvett és Felh bev'!D25</f>
        <v>275377</v>
      </c>
      <c r="D91" s="92">
        <f>+'7 Önk'!E70+'8 PH'!E70+'9 VGIG'!E70+'10 Járób'!E70+'11 Szoci'!E70+'12 Ovi'!E70+'13 Művház'!E70+'14 Könyvt'!E70+'4 Átvett és Felh bev'!E25</f>
        <v>388856</v>
      </c>
      <c r="E91" s="93">
        <f>+D91+C91</f>
        <v>664233</v>
      </c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:24" ht="15.75">
      <c r="A92" s="90" t="s">
        <v>527</v>
      </c>
      <c r="B92" s="83" t="s">
        <v>237</v>
      </c>
      <c r="C92" s="93">
        <f>+C91+C90+C89+C88+C87+C86</f>
        <v>1548994</v>
      </c>
      <c r="D92" s="93">
        <f>+D91+D90+D89+D88+D87+D86</f>
        <v>388856</v>
      </c>
      <c r="E92" s="93">
        <f>+E91+E90+E89+E88+E87+E86</f>
        <v>1937850</v>
      </c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:24" ht="15.75">
      <c r="A93" s="90" t="s">
        <v>622</v>
      </c>
      <c r="B93" s="83" t="s">
        <v>242</v>
      </c>
      <c r="C93" s="93">
        <f>+'7 Önk'!D72+'8 PH'!D72+'9 VGIG'!D72+'10 Járób'!D72+'11 Szoci'!D72+'12 Ovi'!D72+'13 Művház'!D72+'14 Könyvt'!D72+'4 Átvett és Felh bev'!D47+'4 Átvett és Felh bev'!D34+'4 Átvett és Felh bev'!D31+'4 Átvett és Felh bev'!D28</f>
        <v>526269</v>
      </c>
      <c r="D93" s="93">
        <f>+'7 Önk'!E72+'8 PH'!E72+'9 VGIG'!E72+'10 Járób'!E72+'11 Szoci'!E72+'12 Ovi'!E72+'13 Művház'!E72+'14 Könyvt'!E72+'4 Átvett és Felh bev'!E47+'4 Átvett és Felh bev'!E34+'4 Átvett és Felh bev'!E31+'4 Átvett és Felh bev'!E28</f>
        <v>4995</v>
      </c>
      <c r="E93" s="93">
        <f aca="true" t="shared" si="6" ref="E93:E99">+D93+C93</f>
        <v>531264</v>
      </c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:24" ht="15.75">
      <c r="A94" s="82" t="s">
        <v>623</v>
      </c>
      <c r="B94" s="81" t="s">
        <v>243</v>
      </c>
      <c r="C94" s="92">
        <f>+'7 Önk'!D73+'8 PH'!D73+'9 VGIG'!D73+'10 Járób'!D73+'11 Szoci'!D73+'12 Ovi'!D73+'13 Művház'!D73+'14 Könyvt'!D73</f>
        <v>0</v>
      </c>
      <c r="D94" s="92">
        <f>+'7 Önk'!E73+'8 PH'!E73+'9 VGIG'!E73+'10 Járób'!E73+'11 Szoci'!E73+'12 Ovi'!E73+'13 Művház'!E73+'14 Könyvt'!E73</f>
        <v>0</v>
      </c>
      <c r="E94" s="93">
        <f t="shared" si="6"/>
        <v>0</v>
      </c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:24" ht="15.75">
      <c r="A95" s="82" t="s">
        <v>573</v>
      </c>
      <c r="B95" s="81" t="s">
        <v>244</v>
      </c>
      <c r="C95" s="92">
        <f>+'7 Önk'!D74+'8 PH'!D74+'9 VGIG'!D74+'10 Járób'!D74+'11 Szoci'!D74+'12 Ovi'!D74+'13 Művház'!D74+'14 Könyvt'!D74</f>
        <v>0</v>
      </c>
      <c r="D95" s="92">
        <f>+'7 Önk'!E74+'8 PH'!E74+'9 VGIG'!E74+'10 Járób'!E74+'11 Szoci'!E74+'12 Ovi'!E74+'13 Művház'!E74+'14 Könyvt'!E74</f>
        <v>0</v>
      </c>
      <c r="E95" s="93">
        <f t="shared" si="6"/>
        <v>0</v>
      </c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:24" ht="15.75">
      <c r="A96" s="82" t="s">
        <v>574</v>
      </c>
      <c r="B96" s="81" t="s">
        <v>245</v>
      </c>
      <c r="C96" s="92">
        <f>+'7 Önk'!D75+'8 PH'!D75+'9 VGIG'!D75+'10 Járób'!D75+'11 Szoci'!D75+'12 Ovi'!D75+'13 Művház'!D75+'14 Könyvt'!D75</f>
        <v>0</v>
      </c>
      <c r="D96" s="92">
        <f>+'7 Önk'!E75+'8 PH'!E75+'9 VGIG'!E75+'10 Járób'!E75+'11 Szoci'!E75+'12 Ovi'!E75+'13 Művház'!E75+'14 Könyvt'!E75</f>
        <v>0</v>
      </c>
      <c r="E96" s="93">
        <f t="shared" si="6"/>
        <v>0</v>
      </c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:24" ht="15.75">
      <c r="A97" s="82" t="s">
        <v>575</v>
      </c>
      <c r="B97" s="81" t="s">
        <v>246</v>
      </c>
      <c r="C97" s="92">
        <f>+'3 Adók és tám'!D13</f>
        <v>96750</v>
      </c>
      <c r="D97" s="92"/>
      <c r="E97" s="93">
        <f t="shared" si="6"/>
        <v>96750</v>
      </c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</row>
    <row r="98" spans="1:24" ht="15.75">
      <c r="A98" s="82" t="s">
        <v>624</v>
      </c>
      <c r="B98" s="81" t="s">
        <v>258</v>
      </c>
      <c r="C98" s="92">
        <f>+'3 Adók és tám'!D25-D98</f>
        <v>153275</v>
      </c>
      <c r="D98" s="92">
        <f>117500-13485+160</f>
        <v>104175</v>
      </c>
      <c r="E98" s="93">
        <f t="shared" si="6"/>
        <v>257450</v>
      </c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:24" ht="15.75">
      <c r="A99" s="82" t="s">
        <v>578</v>
      </c>
      <c r="B99" s="81" t="s">
        <v>259</v>
      </c>
      <c r="C99" s="92">
        <f>+'3 Adók és tám'!D36</f>
        <v>3000</v>
      </c>
      <c r="D99" s="92"/>
      <c r="E99" s="93">
        <f t="shared" si="6"/>
        <v>3000</v>
      </c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:24" ht="15.75">
      <c r="A100" s="90" t="s">
        <v>434</v>
      </c>
      <c r="B100" s="83" t="s">
        <v>260</v>
      </c>
      <c r="C100" s="93">
        <f>SUM(C94:C99)</f>
        <v>253025</v>
      </c>
      <c r="D100" s="93">
        <f>SUM(D94:D99)</f>
        <v>104175</v>
      </c>
      <c r="E100" s="93">
        <f>SUM(E94:E99)</f>
        <v>357200</v>
      </c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:24" ht="15.75">
      <c r="A101" s="80" t="s">
        <v>261</v>
      </c>
      <c r="B101" s="81" t="s">
        <v>262</v>
      </c>
      <c r="C101" s="92">
        <f>+'7 Önk'!D80+'8 PH'!D80+'9 VGIG'!D80+'10 Járób'!D80+'11 Szoci'!D80+'12 Ovi'!D80+'13 Művház'!D80+'14 Könyvt'!D80</f>
        <v>19100</v>
      </c>
      <c r="D101" s="92">
        <f>+'7 Önk'!E80+'8 PH'!E80+'9 VGIG'!E80+'10 Járób'!E80+'11 Szoci'!E80+'12 Ovi'!E80+'13 Művház'!E80+'14 Könyvt'!E80</f>
        <v>200</v>
      </c>
      <c r="E101" s="93">
        <f aca="true" t="shared" si="7" ref="E101:E110">+D101+C101</f>
        <v>19300</v>
      </c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:24" ht="15.75">
      <c r="A102" s="80" t="s">
        <v>579</v>
      </c>
      <c r="B102" s="81" t="s">
        <v>263</v>
      </c>
      <c r="C102" s="92">
        <f>+'7 Önk'!D81+'8 PH'!D81+'9 VGIG'!D81+'10 Járób'!D81+'11 Szoci'!D81+'12 Ovi'!D81+'13 Művház'!D81+'14 Könyvt'!D81</f>
        <v>77231</v>
      </c>
      <c r="D102" s="92">
        <f>+'7 Önk'!E81+'8 PH'!E81+'9 VGIG'!E81+'10 Járób'!E81+'11 Szoci'!E81+'12 Ovi'!E81+'13 Művház'!E81+'14 Könyvt'!E81</f>
        <v>158362</v>
      </c>
      <c r="E102" s="93">
        <f t="shared" si="7"/>
        <v>235593</v>
      </c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:24" ht="15.75">
      <c r="A103" s="80" t="s">
        <v>580</v>
      </c>
      <c r="B103" s="81" t="s">
        <v>264</v>
      </c>
      <c r="C103" s="92">
        <f>+'7 Önk'!D82+'8 PH'!D82+'9 VGIG'!D82+'10 Járób'!D82+'11 Szoci'!D82+'12 Ovi'!D82+'13 Művház'!D82+'14 Könyvt'!D82</f>
        <v>144</v>
      </c>
      <c r="D103" s="92">
        <f>+'7 Önk'!E82+'8 PH'!E82+'9 VGIG'!E82+'10 Járób'!E82+'11 Szoci'!E82+'12 Ovi'!E82+'13 Művház'!E82+'14 Könyvt'!E82</f>
        <v>400</v>
      </c>
      <c r="E103" s="93">
        <f t="shared" si="7"/>
        <v>544</v>
      </c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:24" ht="15.75">
      <c r="A104" s="80" t="s">
        <v>581</v>
      </c>
      <c r="B104" s="81" t="s">
        <v>265</v>
      </c>
      <c r="C104" s="92">
        <f>+'7 Önk'!D83+'8 PH'!D83+'9 VGIG'!D83+'10 Járób'!D83+'11 Szoci'!D83+'12 Ovi'!D83+'13 Művház'!D83+'14 Könyvt'!D83</f>
        <v>2131</v>
      </c>
      <c r="D104" s="92">
        <f>+'7 Önk'!E83+'8 PH'!E83+'9 VGIG'!E83+'10 Járób'!E83+'11 Szoci'!E83+'12 Ovi'!E83+'13 Művház'!E83+'14 Könyvt'!E83</f>
        <v>1000</v>
      </c>
      <c r="E104" s="93">
        <f t="shared" si="7"/>
        <v>3131</v>
      </c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:24" ht="15.75">
      <c r="A105" s="80" t="s">
        <v>266</v>
      </c>
      <c r="B105" s="81" t="s">
        <v>267</v>
      </c>
      <c r="C105" s="92">
        <f>+'7 Önk'!D84+'8 PH'!D84+'9 VGIG'!D84+'10 Járób'!D84+'11 Szoci'!D84+'12 Ovi'!D84+'13 Művház'!D84+'14 Könyvt'!D84</f>
        <v>162835</v>
      </c>
      <c r="D105" s="92">
        <f>+'7 Önk'!E84+'8 PH'!E84+'9 VGIG'!E84+'10 Járób'!E84+'11 Szoci'!E84+'12 Ovi'!E84+'13 Művház'!E84+'14 Könyvt'!E84</f>
        <v>0</v>
      </c>
      <c r="E105" s="93">
        <f t="shared" si="7"/>
        <v>162835</v>
      </c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:24" ht="15.75">
      <c r="A106" s="80" t="s">
        <v>268</v>
      </c>
      <c r="B106" s="81" t="s">
        <v>269</v>
      </c>
      <c r="C106" s="92">
        <f>+'7 Önk'!D85+'8 PH'!D85+'9 VGIG'!D85+'10 Járób'!D85+'11 Szoci'!D85+'12 Ovi'!D85+'13 Művház'!D85+'14 Könyvt'!D85</f>
        <v>26934</v>
      </c>
      <c r="D106" s="92">
        <f>+'7 Önk'!E85+'8 PH'!E85+'9 VGIG'!E85+'10 Járób'!E85+'11 Szoci'!E85+'12 Ovi'!E85+'13 Művház'!E85+'14 Könyvt'!E85</f>
        <v>425</v>
      </c>
      <c r="E106" s="93">
        <f t="shared" si="7"/>
        <v>27359</v>
      </c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:24" ht="15.75">
      <c r="A107" s="80" t="s">
        <v>270</v>
      </c>
      <c r="B107" s="81" t="s">
        <v>271</v>
      </c>
      <c r="C107" s="92">
        <f>+'7 Önk'!D86+'8 PH'!D86+'9 VGIG'!D86+'10 Járób'!D86+'11 Szoci'!D86+'12 Ovi'!D86+'13 Művház'!D86+'14 Könyvt'!D86</f>
        <v>0</v>
      </c>
      <c r="D107" s="92">
        <f>+'7 Önk'!E86+'8 PH'!E86+'9 VGIG'!E86+'10 Járób'!E86+'11 Szoci'!E86+'12 Ovi'!E86+'13 Művház'!E86+'14 Könyvt'!E86</f>
        <v>0</v>
      </c>
      <c r="E107" s="93">
        <f t="shared" si="7"/>
        <v>0</v>
      </c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:24" ht="15.75">
      <c r="A108" s="80" t="s">
        <v>582</v>
      </c>
      <c r="B108" s="81" t="s">
        <v>272</v>
      </c>
      <c r="C108" s="92">
        <f>+'7 Önk'!D87+'8 PH'!D87+'9 VGIG'!D87+'10 Járób'!D87+'11 Szoci'!D87+'12 Ovi'!D87+'13 Művház'!D87+'14 Könyvt'!D87</f>
        <v>2035</v>
      </c>
      <c r="D108" s="92">
        <f>+'7 Önk'!E87+'8 PH'!E87+'9 VGIG'!E87+'10 Járób'!E87+'11 Szoci'!E87+'12 Ovi'!E87+'13 Művház'!E87+'14 Könyvt'!E87</f>
        <v>75</v>
      </c>
      <c r="E108" s="93">
        <f t="shared" si="7"/>
        <v>2110</v>
      </c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:24" ht="15.75">
      <c r="A109" s="80" t="s">
        <v>583</v>
      </c>
      <c r="B109" s="81" t="s">
        <v>273</v>
      </c>
      <c r="C109" s="92">
        <f>+'7 Önk'!D88+'8 PH'!D88+'9 VGIG'!D88+'10 Járób'!D88+'11 Szoci'!D88+'12 Ovi'!D88+'13 Művház'!D88+'14 Könyvt'!D88</f>
        <v>0</v>
      </c>
      <c r="D109" s="92">
        <f>+'7 Önk'!E88+'8 PH'!E88+'9 VGIG'!E88+'10 Járób'!E88+'11 Szoci'!E88+'12 Ovi'!E88+'13 Művház'!E88+'14 Könyvt'!E88</f>
        <v>0</v>
      </c>
      <c r="E109" s="93">
        <f t="shared" si="7"/>
        <v>0</v>
      </c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</row>
    <row r="110" spans="1:24" ht="15.75">
      <c r="A110" s="80" t="s">
        <v>584</v>
      </c>
      <c r="B110" s="81" t="s">
        <v>274</v>
      </c>
      <c r="C110" s="92">
        <f>+'7 Önk'!D89+'8 PH'!D89+'9 VGIG'!D89+'10 Járób'!D89+'11 Szoci'!D89+'12 Ovi'!D89+'13 Művház'!D89+'14 Könyvt'!D89</f>
        <v>3558</v>
      </c>
      <c r="D110" s="92">
        <f>+'7 Önk'!E89+'8 PH'!E89+'9 VGIG'!E89+'10 Járób'!E89+'11 Szoci'!E89+'12 Ovi'!E89+'13 Művház'!E89+'14 Könyvt'!E89</f>
        <v>0</v>
      </c>
      <c r="E110" s="93">
        <f t="shared" si="7"/>
        <v>3558</v>
      </c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1:24" ht="15.75">
      <c r="A111" s="78" t="s">
        <v>435</v>
      </c>
      <c r="B111" s="83" t="s">
        <v>275</v>
      </c>
      <c r="C111" s="93">
        <f>SUM(C101:C110)</f>
        <v>293968</v>
      </c>
      <c r="D111" s="93">
        <f>SUM(D101:D110)</f>
        <v>160462</v>
      </c>
      <c r="E111" s="93">
        <f>SUM(E101:E110)</f>
        <v>454430</v>
      </c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1:24" ht="15.75">
      <c r="A112" s="80" t="s">
        <v>585</v>
      </c>
      <c r="B112" s="81" t="s">
        <v>276</v>
      </c>
      <c r="C112" s="92">
        <f>+'7 Önk'!D91+'8 PH'!D91+'9 VGIG'!D91+'10 Járób'!D91+'11 Szoci'!D91+'12 Ovi'!D91+'13 Művház'!D91+'14 Könyvt'!D91+'4 Átvett és Felh bev'!D69</f>
        <v>0</v>
      </c>
      <c r="D112" s="92">
        <f>+'7 Önk'!E91+'8 PH'!E91+'9 VGIG'!E91+'10 Járób'!E91+'11 Szoci'!E91+'12 Ovi'!E91+'13 Művház'!E91+'14 Könyvt'!E91+'4 Átvett és Felh bev'!E69</f>
        <v>0</v>
      </c>
      <c r="E112" s="93">
        <f>+D112+C112</f>
        <v>0</v>
      </c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</row>
    <row r="113" spans="1:24" ht="15.75">
      <c r="A113" s="80" t="s">
        <v>586</v>
      </c>
      <c r="B113" s="81" t="s">
        <v>277</v>
      </c>
      <c r="C113" s="92">
        <f>+'7 Önk'!D92+'8 PH'!D92+'9 VGIG'!D92+'10 Járób'!D92+'11 Szoci'!D92+'12 Ovi'!D92+'13 Művház'!D92+'14 Könyvt'!D92+'4 Átvett és Felh bev'!D75</f>
        <v>62632</v>
      </c>
      <c r="D113" s="92">
        <f>+'7 Önk'!E92+'8 PH'!E92+'9 VGIG'!E92+'10 Járób'!E92+'11 Szoci'!E92+'12 Ovi'!E92+'13 Művház'!E92+'14 Könyvt'!E92+'4 Átvett és Felh bev'!E75</f>
        <v>33234</v>
      </c>
      <c r="E113" s="93">
        <f>+D113+C113</f>
        <v>95866</v>
      </c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</row>
    <row r="114" spans="1:24" ht="15.75">
      <c r="A114" s="80" t="s">
        <v>278</v>
      </c>
      <c r="B114" s="81" t="s">
        <v>279</v>
      </c>
      <c r="C114" s="92">
        <f>+'7 Önk'!D93+'8 PH'!D93+'9 VGIG'!D93+'10 Járób'!D93+'11 Szoci'!D93+'12 Ovi'!D93+'13 Művház'!D93+'14 Könyvt'!D93+'4 Átvett és Felh bev'!D78</f>
        <v>0</v>
      </c>
      <c r="D114" s="92">
        <f>+'7 Önk'!E93+'8 PH'!E93+'9 VGIG'!E93+'10 Járób'!E93+'11 Szoci'!E93+'12 Ovi'!E93+'13 Művház'!E93+'14 Könyvt'!E93+'4 Átvett és Felh bev'!E78</f>
        <v>0</v>
      </c>
      <c r="E114" s="93">
        <f>+D114+C114</f>
        <v>0</v>
      </c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1:24" ht="15.75">
      <c r="A115" s="80" t="s">
        <v>587</v>
      </c>
      <c r="B115" s="81" t="s">
        <v>280</v>
      </c>
      <c r="C115" s="92">
        <f>+'7 Önk'!D94+'8 PH'!D94+'9 VGIG'!D94+'10 Járób'!D94+'11 Szoci'!D94+'12 Ovi'!D94+'13 Művház'!D94+'14 Könyvt'!D94+'4 Átvett és Felh bev'!D81</f>
        <v>0</v>
      </c>
      <c r="D115" s="92">
        <f>+'7 Önk'!E94+'8 PH'!E94+'9 VGIG'!E94+'10 Járób'!E94+'11 Szoci'!E94+'12 Ovi'!E94+'13 Művház'!E94+'14 Könyvt'!E94+'4 Átvett és Felh bev'!E81</f>
        <v>0</v>
      </c>
      <c r="E115" s="93">
        <f>+D115+C115</f>
        <v>0</v>
      </c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1:24" ht="15.75">
      <c r="A116" s="80" t="s">
        <v>281</v>
      </c>
      <c r="B116" s="81" t="s">
        <v>282</v>
      </c>
      <c r="C116" s="92">
        <f>+'7 Önk'!D95+'8 PH'!D95+'9 VGIG'!D95+'10 Járób'!D95+'11 Szoci'!D95+'12 Ovi'!D95+'13 Művház'!D95+'14 Könyvt'!D95+'4 Átvett és Felh bev'!D84</f>
        <v>0</v>
      </c>
      <c r="D116" s="92">
        <f>+'7 Önk'!E95+'8 PH'!E95+'9 VGIG'!E95+'10 Járób'!E95+'11 Szoci'!E95+'12 Ovi'!E95+'13 Művház'!E95+'14 Könyvt'!E95+'4 Átvett és Felh bev'!E84</f>
        <v>0</v>
      </c>
      <c r="E116" s="93">
        <f>+D116+C116</f>
        <v>0</v>
      </c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1:24" ht="15.75">
      <c r="A117" s="90" t="s">
        <v>693</v>
      </c>
      <c r="B117" s="83" t="s">
        <v>283</v>
      </c>
      <c r="C117" s="93">
        <f>SUM(C112:C116)</f>
        <v>62632</v>
      </c>
      <c r="D117" s="93">
        <f>SUM(D112:D116)</f>
        <v>33234</v>
      </c>
      <c r="E117" s="93">
        <f>SUM(E112:E116)</f>
        <v>95866</v>
      </c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1:24" ht="15.75">
      <c r="A118" s="90" t="s">
        <v>628</v>
      </c>
      <c r="B118" s="83" t="s">
        <v>286</v>
      </c>
      <c r="C118" s="92">
        <f>+'7 Önk'!D97+'8 PH'!D97+'9 VGIG'!D97+'10 Járób'!D97+'11 Szoci'!D97+'12 Ovi'!D97+'13 Művház'!D97+'14 Könyvt'!D97</f>
        <v>0</v>
      </c>
      <c r="D118" s="92">
        <f>+'7 Önk'!E97+'8 PH'!E97+'9 VGIG'!E97+'10 Járób'!E97+'11 Szoci'!E97+'12 Ovi'!E97+'13 Művház'!E97+'14 Könyvt'!E97</f>
        <v>0</v>
      </c>
      <c r="E118" s="93">
        <f>+D118+C118</f>
        <v>0</v>
      </c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:24" ht="15.75">
      <c r="A119" s="80" t="s">
        <v>808</v>
      </c>
      <c r="B119" s="81" t="s">
        <v>287</v>
      </c>
      <c r="C119" s="92">
        <f>+'7 Önk'!D98+'8 PH'!D98+'9 VGIG'!D98+'10 Járób'!D98+'11 Szoci'!D98+'12 Ovi'!D98+'13 Művház'!D98+'14 Könyvt'!D98</f>
        <v>0</v>
      </c>
      <c r="D119" s="92">
        <f>+'7 Önk'!E98+'8 PH'!E98+'9 VGIG'!E98+'10 Járób'!E98+'11 Szoci'!E98+'12 Ovi'!E98+'13 Művház'!E98+'14 Könyvt'!E98</f>
        <v>0</v>
      </c>
      <c r="E119" s="93">
        <f>+D119+C119</f>
        <v>0</v>
      </c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:24" ht="15.75">
      <c r="A120" s="82" t="s">
        <v>807</v>
      </c>
      <c r="B120" s="81" t="s">
        <v>288</v>
      </c>
      <c r="C120" s="92">
        <f>+'7 Önk'!D99+'8 PH'!D99+'9 VGIG'!D99+'10 Járób'!D99+'11 Szoci'!D99+'12 Ovi'!D99+'13 Művház'!D99+'14 Könyvt'!D99</f>
        <v>0</v>
      </c>
      <c r="D120" s="92">
        <f>+'7 Önk'!E99+'8 PH'!E99+'9 VGIG'!E99+'10 Járób'!E99+'11 Szoci'!E99+'12 Ovi'!E99+'13 Művház'!E99+'14 Könyvt'!E99</f>
        <v>0</v>
      </c>
      <c r="E120" s="93">
        <f>+D120+C120</f>
        <v>0</v>
      </c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:24" ht="15.75">
      <c r="A121" s="80" t="s">
        <v>612</v>
      </c>
      <c r="B121" s="81" t="s">
        <v>289</v>
      </c>
      <c r="C121" s="92">
        <f>+'7 Önk'!D100+'8 PH'!D100+'9 VGIG'!D100+'10 Járób'!D100+'11 Szoci'!D100+'12 Ovi'!D100+'13 Művház'!D100+'14 Könyvt'!D100+'4 Átvett és Felh bev'!D59</f>
        <v>25400</v>
      </c>
      <c r="D121" s="92">
        <f>+'7 Önk'!E100+'8 PH'!E100+'9 VGIG'!E100+'10 Járób'!E100+'11 Szoci'!E100+'12 Ovi'!E100+'13 Művház'!E100+'14 Könyvt'!E100+'4 Átvett és Felh bev'!E59</f>
        <v>0</v>
      </c>
      <c r="E121" s="93">
        <f>+D121+C121</f>
        <v>25400</v>
      </c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:24" ht="15.75">
      <c r="A122" s="90" t="s">
        <v>512</v>
      </c>
      <c r="B122" s="83" t="s">
        <v>290</v>
      </c>
      <c r="C122" s="93">
        <f>SUM(C119:C121)</f>
        <v>25400</v>
      </c>
      <c r="D122" s="93">
        <f>SUM(D119:D121)</f>
        <v>0</v>
      </c>
      <c r="E122" s="93">
        <f>SUM(E119:E121)</f>
        <v>25400</v>
      </c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:24" ht="15.75">
      <c r="A123" s="137" t="s">
        <v>516</v>
      </c>
      <c r="B123" s="116" t="s">
        <v>672</v>
      </c>
      <c r="C123" s="118">
        <f>+C122+C118+C117+C111+C100+C93+C92</f>
        <v>2710288</v>
      </c>
      <c r="D123" s="118">
        <f>+D122+D118+D117+D111+D100+D93+D92</f>
        <v>691722</v>
      </c>
      <c r="E123" s="118">
        <f>+E122+E118+E117+E111+E100+E93+E92</f>
        <v>3402010</v>
      </c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:24" ht="15.75">
      <c r="A124" s="138" t="s">
        <v>668</v>
      </c>
      <c r="B124" s="139"/>
      <c r="C124" s="140">
        <f>+C118+C111+C100+C92-C32</f>
        <v>-45744</v>
      </c>
      <c r="D124" s="140">
        <f>+D118+D111+D100+D92-D32</f>
        <v>-13485</v>
      </c>
      <c r="E124" s="140">
        <f>+D124+C124</f>
        <v>-59229</v>
      </c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:24" ht="15.75">
      <c r="A125" s="138" t="s">
        <v>669</v>
      </c>
      <c r="B125" s="139"/>
      <c r="C125" s="140">
        <f>+C122+C117+C93-C55</f>
        <v>-52090</v>
      </c>
      <c r="D125" s="140">
        <f>+D122+D117+D93-D55</f>
        <v>0</v>
      </c>
      <c r="E125" s="140">
        <f>+D125+C125</f>
        <v>-52090</v>
      </c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:24" ht="15.75">
      <c r="A126" s="123" t="s">
        <v>102</v>
      </c>
      <c r="B126" s="82" t="s">
        <v>291</v>
      </c>
      <c r="C126" s="92">
        <f>+'17 hitelek'!C56</f>
        <v>33038</v>
      </c>
      <c r="D126" s="92">
        <f>+'17 hitelek'!D56</f>
        <v>0</v>
      </c>
      <c r="E126" s="93">
        <f>+D126+C126</f>
        <v>33038</v>
      </c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:24" ht="15.75">
      <c r="A127" s="80" t="s">
        <v>407</v>
      </c>
      <c r="B127" s="82" t="s">
        <v>293</v>
      </c>
      <c r="C127" s="92">
        <f>+'17 hitelek'!C59</f>
        <v>0</v>
      </c>
      <c r="D127" s="92">
        <f>+'17 hitelek'!D59</f>
        <v>0</v>
      </c>
      <c r="E127" s="93">
        <f>+D127+C127</f>
        <v>0</v>
      </c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:24" ht="15.75">
      <c r="A128" s="123" t="s">
        <v>103</v>
      </c>
      <c r="B128" s="82" t="s">
        <v>294</v>
      </c>
      <c r="C128" s="92">
        <f>+'17 hitelek'!C61</f>
        <v>88500</v>
      </c>
      <c r="D128" s="92">
        <f>+'17 hitelek'!D61</f>
        <v>0</v>
      </c>
      <c r="E128" s="93">
        <f>+D128+C128</f>
        <v>88500</v>
      </c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:5" ht="15.75">
      <c r="A129" s="78" t="s">
        <v>425</v>
      </c>
      <c r="B129" s="90" t="s">
        <v>295</v>
      </c>
      <c r="C129" s="93">
        <f>SUM(C126:C128)</f>
        <v>121538</v>
      </c>
      <c r="D129" s="93">
        <f>SUM(D126:D128)</f>
        <v>0</v>
      </c>
      <c r="E129" s="93">
        <f>SUM(E126:E128)</f>
        <v>121538</v>
      </c>
    </row>
    <row r="130" spans="1:5" ht="15.75">
      <c r="A130" s="80" t="s">
        <v>613</v>
      </c>
      <c r="B130" s="82" t="s">
        <v>296</v>
      </c>
      <c r="C130" s="92"/>
      <c r="D130" s="92"/>
      <c r="E130" s="93">
        <f>+D130+C130</f>
        <v>0</v>
      </c>
    </row>
    <row r="131" spans="1:5" ht="15.75">
      <c r="A131" s="123" t="s">
        <v>297</v>
      </c>
      <c r="B131" s="82" t="s">
        <v>298</v>
      </c>
      <c r="C131" s="92"/>
      <c r="D131" s="92"/>
      <c r="E131" s="93">
        <f>+D131+C131</f>
        <v>0</v>
      </c>
    </row>
    <row r="132" spans="1:5" ht="15.75">
      <c r="A132" s="80" t="s">
        <v>614</v>
      </c>
      <c r="B132" s="82" t="s">
        <v>299</v>
      </c>
      <c r="C132" s="92"/>
      <c r="D132" s="92"/>
      <c r="E132" s="93">
        <f>+D132+C132</f>
        <v>0</v>
      </c>
    </row>
    <row r="133" spans="1:5" ht="15.75">
      <c r="A133" s="123" t="s">
        <v>300</v>
      </c>
      <c r="B133" s="82" t="s">
        <v>301</v>
      </c>
      <c r="C133" s="92"/>
      <c r="D133" s="92"/>
      <c r="E133" s="93">
        <f>+D133+C133</f>
        <v>0</v>
      </c>
    </row>
    <row r="134" spans="1:5" ht="15.75">
      <c r="A134" s="125" t="s">
        <v>513</v>
      </c>
      <c r="B134" s="90" t="s">
        <v>302</v>
      </c>
      <c r="C134" s="93">
        <f>SUM(C130:C133)</f>
        <v>0</v>
      </c>
      <c r="D134" s="93">
        <f>SUM(D130:D133)</f>
        <v>0</v>
      </c>
      <c r="E134" s="93">
        <f>SUM(E130:E133)</f>
        <v>0</v>
      </c>
    </row>
    <row r="135" spans="1:5" ht="15.75">
      <c r="A135" s="82" t="s">
        <v>788</v>
      </c>
      <c r="B135" s="82" t="s">
        <v>303</v>
      </c>
      <c r="C135" s="92">
        <f>+'7 Önk'!D107+'8 PH'!D107+'9 VGIG'!D107+'10 Járób'!D107+'11 Szoci'!D107+'12 Ovi'!D107+'13 Művház'!D107+'14 Könyvt'!D107</f>
        <v>45744</v>
      </c>
      <c r="D135" s="92">
        <f>+'7 Önk'!E107+'8 PH'!E107+'9 VGIG'!E107+'10 Járób'!E107+'11 Szoci'!E107+'12 Ovi'!E107+'13 Művház'!E107+'14 Könyvt'!E107</f>
        <v>13485</v>
      </c>
      <c r="E135" s="93">
        <f>+D135+C135</f>
        <v>59229</v>
      </c>
    </row>
    <row r="136" spans="1:5" ht="15.75">
      <c r="A136" s="82" t="s">
        <v>789</v>
      </c>
      <c r="B136" s="82" t="s">
        <v>303</v>
      </c>
      <c r="C136" s="92">
        <f>+'7 Önk'!D108+'8 PH'!D108+'9 VGIG'!D108+'10 Járób'!D108+'11 Szoci'!D108+'12 Ovi'!D108+'13 Művház'!D108+'14 Könyvt'!D108+'4 Átvett és Felh bev'!D62</f>
        <v>25000</v>
      </c>
      <c r="D136" s="92">
        <f>+'7 Önk'!E108+'8 PH'!E108+'9 VGIG'!E108+'10 Járób'!E108+'11 Szoci'!E108+'12 Ovi'!E108+'13 Művház'!E108+'14 Könyvt'!E108+'4 Átvett és Felh bev'!E62</f>
        <v>0</v>
      </c>
      <c r="E136" s="93">
        <f>+D136+C136</f>
        <v>25000</v>
      </c>
    </row>
    <row r="137" spans="1:5" ht="15.75">
      <c r="A137" s="82" t="s">
        <v>786</v>
      </c>
      <c r="B137" s="82" t="s">
        <v>304</v>
      </c>
      <c r="C137" s="92">
        <f>+'7 Önk'!D109+'8 PH'!D109+'9 VGIG'!D109+'10 Járób'!D109+'11 Szoci'!D109+'12 Ovi'!D109+'13 Művház'!D109+'14 Könyvt'!D109</f>
        <v>0</v>
      </c>
      <c r="D137" s="92">
        <f>+'7 Önk'!E109+'8 PH'!E109+'9 VGIG'!E109+'10 Járób'!E109+'11 Szoci'!E109+'12 Ovi'!E109+'13 Művház'!E109+'14 Könyvt'!E109</f>
        <v>0</v>
      </c>
      <c r="E137" s="93">
        <f>+D137+C137</f>
        <v>0</v>
      </c>
    </row>
    <row r="138" spans="1:5" ht="15.75">
      <c r="A138" s="82" t="s">
        <v>787</v>
      </c>
      <c r="B138" s="82" t="s">
        <v>304</v>
      </c>
      <c r="C138" s="92">
        <f>+'7 Önk'!D110+'8 PH'!D110+'9 VGIG'!D110+'10 Járób'!D110+'11 Szoci'!D110+'12 Ovi'!D110+'13 Művház'!D110+'14 Könyvt'!D110</f>
        <v>0</v>
      </c>
      <c r="D138" s="92">
        <f>+'7 Önk'!E110+'8 PH'!E110+'9 VGIG'!E110+'10 Járób'!E110+'11 Szoci'!E110+'12 Ovi'!E110+'13 Művház'!E110+'14 Könyvt'!E110</f>
        <v>0</v>
      </c>
      <c r="E138" s="93">
        <f>+D138+C138</f>
        <v>0</v>
      </c>
    </row>
    <row r="139" spans="1:5" ht="15.75">
      <c r="A139" s="90" t="s">
        <v>514</v>
      </c>
      <c r="B139" s="90" t="s">
        <v>305</v>
      </c>
      <c r="C139" s="93">
        <f>SUM(C135:C138)</f>
        <v>70744</v>
      </c>
      <c r="D139" s="93">
        <f>SUM(D135:D138)</f>
        <v>13485</v>
      </c>
      <c r="E139" s="93">
        <f>SUM(E135:E138)</f>
        <v>84229</v>
      </c>
    </row>
    <row r="140" spans="1:5" ht="15.75">
      <c r="A140" s="123" t="s">
        <v>306</v>
      </c>
      <c r="B140" s="82" t="s">
        <v>307</v>
      </c>
      <c r="C140" s="92">
        <f>+'7 Önk'!D112+'8 PH'!D112+'9 VGIG'!D112+'10 Járób'!D112+'11 Szoci'!D112+'12 Ovi'!D112+'13 Művház'!D112+'14 Könyvt'!D112</f>
        <v>0</v>
      </c>
      <c r="D140" s="92">
        <f>+'7 Önk'!E112+'8 PH'!E112+'9 VGIG'!E112+'10 Járób'!E112+'11 Szoci'!E112+'12 Ovi'!E112+'13 Művház'!E112+'14 Könyvt'!E112</f>
        <v>0</v>
      </c>
      <c r="E140" s="93">
        <f>+D140+C140</f>
        <v>0</v>
      </c>
    </row>
    <row r="141" spans="1:5" ht="15.75">
      <c r="A141" s="123" t="s">
        <v>308</v>
      </c>
      <c r="B141" s="82" t="s">
        <v>309</v>
      </c>
      <c r="C141" s="92">
        <f>+'7 Önk'!D113+'8 PH'!D113+'9 VGIG'!D113+'10 Járób'!D113+'11 Szoci'!D113+'12 Ovi'!D113+'13 Művház'!D113+'14 Könyvt'!D113</f>
        <v>0</v>
      </c>
      <c r="D141" s="92">
        <f>+'7 Önk'!E113+'8 PH'!E113+'9 VGIG'!E113+'10 Járób'!E113+'11 Szoci'!E113+'12 Ovi'!E113+'13 Művház'!E113+'14 Könyvt'!E113</f>
        <v>0</v>
      </c>
      <c r="E141" s="93">
        <f>+D141+C141</f>
        <v>0</v>
      </c>
    </row>
    <row r="142" spans="1:5" ht="15.75">
      <c r="A142" s="123" t="s">
        <v>310</v>
      </c>
      <c r="B142" s="82" t="s">
        <v>311</v>
      </c>
      <c r="C142" s="92"/>
      <c r="D142" s="92"/>
      <c r="E142" s="93">
        <f>+D142+C142</f>
        <v>0</v>
      </c>
    </row>
    <row r="143" spans="1:5" ht="15.75">
      <c r="A143" s="123" t="s">
        <v>312</v>
      </c>
      <c r="B143" s="82" t="s">
        <v>313</v>
      </c>
      <c r="C143" s="92">
        <f>+'7 Önk'!D117+'8 PH'!D117+'9 VGIG'!D117+'10 Járób'!D117+'11 Szoci'!D117+'12 Ovi'!D117+'13 Művház'!D117+'14 Könyvt'!D117</f>
        <v>0</v>
      </c>
      <c r="D143" s="92">
        <f>+'7 Önk'!E117+'8 PH'!E117+'9 VGIG'!E117+'10 Járób'!E117+'11 Szoci'!E117+'12 Ovi'!E117+'13 Művház'!E117+'14 Könyvt'!E117</f>
        <v>0</v>
      </c>
      <c r="E143" s="93">
        <f>+D143+C143</f>
        <v>0</v>
      </c>
    </row>
    <row r="144" spans="1:5" ht="15.75">
      <c r="A144" s="80" t="s">
        <v>615</v>
      </c>
      <c r="B144" s="82" t="s">
        <v>314</v>
      </c>
      <c r="C144" s="92">
        <f>+'7 Önk'!D118+'8 PH'!D118+'9 VGIG'!D118+'10 Járób'!D118+'11 Szoci'!D118+'12 Ovi'!D118+'13 Művház'!D118+'14 Könyvt'!D118</f>
        <v>0</v>
      </c>
      <c r="D144" s="92">
        <f>+'7 Önk'!E118+'8 PH'!E118+'9 VGIG'!E118+'10 Járób'!E118+'11 Szoci'!E118+'12 Ovi'!E118+'13 Művház'!E118+'14 Könyvt'!E118</f>
        <v>0</v>
      </c>
      <c r="E144" s="93">
        <f>+D144+C144</f>
        <v>0</v>
      </c>
    </row>
    <row r="145" spans="1:5" ht="15.75">
      <c r="A145" s="78" t="s">
        <v>428</v>
      </c>
      <c r="B145" s="90" t="s">
        <v>316</v>
      </c>
      <c r="C145" s="93">
        <f>SUM(C140:C144)+C139+C134+C129</f>
        <v>192282</v>
      </c>
      <c r="D145" s="93">
        <f>SUM(D140:D144)+D139+D134+D129</f>
        <v>13485</v>
      </c>
      <c r="E145" s="93">
        <f>SUM(E140:E144)+E139+E134+E129</f>
        <v>205767</v>
      </c>
    </row>
    <row r="146" spans="1:5" ht="15.75">
      <c r="A146" s="123" t="s">
        <v>635</v>
      </c>
      <c r="B146" s="82" t="s">
        <v>324</v>
      </c>
      <c r="C146" s="92">
        <f>+'7 Önk'!D120+'8 PH'!D120+'9 VGIG'!D120+'10 Járób'!D120+'11 Szoci'!D120+'12 Ovi'!D120+'13 Művház'!D120+'14 Könyvt'!D120</f>
        <v>0</v>
      </c>
      <c r="D146" s="92">
        <f>+'7 Önk'!E120+'8 PH'!E120+'9 VGIG'!E120+'10 Járób'!E120+'11 Szoci'!E120+'12 Ovi'!E120+'13 Művház'!E120+'14 Könyvt'!E120</f>
        <v>0</v>
      </c>
      <c r="E146" s="93">
        <f>+D146+C146</f>
        <v>0</v>
      </c>
    </row>
    <row r="147" spans="1:5" ht="15.75">
      <c r="A147" s="80" t="s">
        <v>325</v>
      </c>
      <c r="B147" s="82" t="s">
        <v>326</v>
      </c>
      <c r="C147" s="92">
        <f>+'7 Önk'!D121+'8 PH'!D121+'9 VGIG'!D121+'10 Járób'!D121+'11 Szoci'!D121+'12 Ovi'!D121+'13 Művház'!D121+'14 Könyvt'!D121</f>
        <v>0</v>
      </c>
      <c r="D147" s="92">
        <f>+'7 Önk'!E121+'8 PH'!E121+'9 VGIG'!E121+'10 Járób'!E121+'11 Szoci'!E121+'12 Ovi'!E121+'13 Művház'!E121+'14 Könyvt'!E121</f>
        <v>0</v>
      </c>
      <c r="E147" s="93">
        <f>+D147+C147</f>
        <v>0</v>
      </c>
    </row>
    <row r="148" spans="1:5" ht="15.75">
      <c r="A148" s="128" t="s">
        <v>515</v>
      </c>
      <c r="B148" s="129" t="s">
        <v>327</v>
      </c>
      <c r="C148" s="118">
        <f>+C147+C146+C145</f>
        <v>192282</v>
      </c>
      <c r="D148" s="118">
        <f>+D147+D146+D145</f>
        <v>13485</v>
      </c>
      <c r="E148" s="118">
        <f>+E147+E146+E145</f>
        <v>205767</v>
      </c>
    </row>
    <row r="149" spans="1:5" ht="15.75">
      <c r="A149" s="75" t="s">
        <v>654</v>
      </c>
      <c r="B149" s="75" t="s">
        <v>670</v>
      </c>
      <c r="C149" s="131">
        <f>+C123+C148</f>
        <v>2902570</v>
      </c>
      <c r="D149" s="131">
        <f>+D123+D148</f>
        <v>705207</v>
      </c>
      <c r="E149" s="131">
        <f>+E123+E148</f>
        <v>3607777</v>
      </c>
    </row>
    <row r="150" spans="1:5" ht="15.75">
      <c r="A150" s="4"/>
      <c r="B150" s="4"/>
      <c r="C150" s="141"/>
      <c r="D150" s="141"/>
      <c r="E150" s="142"/>
    </row>
    <row r="151" spans="1:5" ht="15.75">
      <c r="A151" s="74" t="s">
        <v>676</v>
      </c>
      <c r="B151" s="74"/>
      <c r="C151" s="93">
        <f>+C123-C56</f>
        <v>-97834</v>
      </c>
      <c r="D151" s="93">
        <f>+D123-D56</f>
        <v>-13485</v>
      </c>
      <c r="E151" s="93">
        <f>+E123-E56</f>
        <v>-111319</v>
      </c>
    </row>
    <row r="152" spans="1:5" ht="15.75">
      <c r="A152" s="74" t="s">
        <v>746</v>
      </c>
      <c r="B152" s="74"/>
      <c r="C152" s="93">
        <f>+C148-C75</f>
        <v>97834</v>
      </c>
      <c r="D152" s="93">
        <f>+D148-D75</f>
        <v>13485</v>
      </c>
      <c r="E152" s="93">
        <f>+E148-E75</f>
        <v>111319</v>
      </c>
    </row>
    <row r="153" spans="1:5" ht="15.75">
      <c r="A153" s="212"/>
      <c r="B153" s="212"/>
      <c r="C153" s="134"/>
      <c r="D153" s="134"/>
      <c r="E153" s="134"/>
    </row>
    <row r="154" spans="1:5" ht="15.75">
      <c r="A154" s="74" t="s">
        <v>359</v>
      </c>
      <c r="B154" s="74"/>
      <c r="C154" s="93">
        <f>+C124+C128+C135-C59</f>
        <v>0</v>
      </c>
      <c r="D154" s="93">
        <f>+D124+D129+D135-D59</f>
        <v>0</v>
      </c>
      <c r="E154" s="93">
        <f>+C154+D154</f>
        <v>0</v>
      </c>
    </row>
    <row r="155" spans="1:5" ht="15.75">
      <c r="A155" s="74" t="s">
        <v>360</v>
      </c>
      <c r="B155" s="74"/>
      <c r="C155" s="93">
        <f>+C125+C136-C57+C126-C64+C127</f>
        <v>0</v>
      </c>
      <c r="D155" s="93">
        <f>+D125+D136-D57+D126-D64+D127</f>
        <v>0</v>
      </c>
      <c r="E155" s="93">
        <f>+C155+D155</f>
        <v>0</v>
      </c>
    </row>
    <row r="156" spans="1:5" ht="15.75">
      <c r="A156" s="4"/>
      <c r="B156" s="4"/>
      <c r="C156" s="141"/>
      <c r="D156" s="141"/>
      <c r="E156" s="142"/>
    </row>
    <row r="157" spans="1:5" ht="15.75">
      <c r="A157" s="143" t="s">
        <v>756</v>
      </c>
      <c r="B157" s="4"/>
      <c r="C157" s="141">
        <f>+C149-C76</f>
        <v>0</v>
      </c>
      <c r="D157" s="141">
        <f>+D149-D76</f>
        <v>0</v>
      </c>
      <c r="E157" s="141">
        <f>+E149-E76</f>
        <v>0</v>
      </c>
    </row>
    <row r="158" spans="1:5" ht="15.75">
      <c r="A158" s="4"/>
      <c r="B158" s="4"/>
      <c r="C158" s="141"/>
      <c r="D158" s="141"/>
      <c r="E158" s="142"/>
    </row>
    <row r="159" spans="1:5" ht="15.75">
      <c r="A159" s="4"/>
      <c r="B159" s="4"/>
      <c r="C159" s="141"/>
      <c r="D159" s="141"/>
      <c r="E159" s="142"/>
    </row>
    <row r="160" spans="1:5" ht="15.75">
      <c r="A160" s="74"/>
      <c r="B160" s="4"/>
      <c r="C160" s="141"/>
      <c r="D160" s="141"/>
      <c r="E160" s="142"/>
    </row>
    <row r="161" spans="1:5" ht="15.75">
      <c r="A161" s="74"/>
      <c r="B161" s="4"/>
      <c r="C161" s="141"/>
      <c r="D161" s="141"/>
      <c r="E161" s="142"/>
    </row>
    <row r="162" spans="1:5" ht="15.75">
      <c r="A162" s="4"/>
      <c r="B162" s="4"/>
      <c r="C162" s="141"/>
      <c r="D162" s="141"/>
      <c r="E162" s="142"/>
    </row>
    <row r="163" spans="1:5" ht="15.75">
      <c r="A163" s="4"/>
      <c r="B163" s="4"/>
      <c r="C163" s="141"/>
      <c r="D163" s="141"/>
      <c r="E163" s="142"/>
    </row>
    <row r="164" spans="1:5" ht="15.75">
      <c r="A164" s="4"/>
      <c r="B164" s="4"/>
      <c r="C164" s="141"/>
      <c r="D164" s="141"/>
      <c r="E164" s="142"/>
    </row>
    <row r="165" spans="1:5" ht="15.75">
      <c r="A165" s="4"/>
      <c r="B165" s="4"/>
      <c r="C165" s="141"/>
      <c r="D165" s="141"/>
      <c r="E165" s="142"/>
    </row>
    <row r="166" spans="1:5" ht="15.75">
      <c r="A166" s="4"/>
      <c r="B166" s="4"/>
      <c r="C166" s="141"/>
      <c r="D166" s="141"/>
      <c r="E166" s="142"/>
    </row>
    <row r="167" spans="1:5" ht="15.75">
      <c r="A167" s="4"/>
      <c r="B167" s="4"/>
      <c r="C167" s="141"/>
      <c r="D167" s="141"/>
      <c r="E167" s="142"/>
    </row>
    <row r="168" spans="1:5" ht="15.75">
      <c r="A168" s="4"/>
      <c r="B168" s="4"/>
      <c r="C168" s="141"/>
      <c r="D168" s="141"/>
      <c r="E168" s="142"/>
    </row>
    <row r="169" spans="1:5" ht="15.75">
      <c r="A169" s="4"/>
      <c r="B169" s="4"/>
      <c r="C169" s="141"/>
      <c r="D169" s="141"/>
      <c r="E169" s="142"/>
    </row>
    <row r="170" spans="1:5" ht="15.75">
      <c r="A170" s="4"/>
      <c r="B170" s="4"/>
      <c r="C170" s="141"/>
      <c r="D170" s="141"/>
      <c r="E170" s="142"/>
    </row>
    <row r="171" spans="1:5" ht="15.75">
      <c r="A171" s="4"/>
      <c r="B171" s="4"/>
      <c r="C171" s="141"/>
      <c r="D171" s="141"/>
      <c r="E171" s="142"/>
    </row>
    <row r="172" spans="1:5" ht="15.75">
      <c r="A172" s="4"/>
      <c r="B172" s="4"/>
      <c r="C172" s="141"/>
      <c r="D172" s="141"/>
      <c r="E172" s="142"/>
    </row>
    <row r="173" spans="1:5" ht="15.75">
      <c r="A173" s="4"/>
      <c r="B173" s="4"/>
      <c r="C173" s="141"/>
      <c r="D173" s="141"/>
      <c r="E173" s="142"/>
    </row>
    <row r="174" spans="1:5" ht="15.75">
      <c r="A174" s="4"/>
      <c r="B174" s="4"/>
      <c r="C174" s="141"/>
      <c r="D174" s="141"/>
      <c r="E174" s="142"/>
    </row>
    <row r="175" spans="1:5" ht="15.75">
      <c r="A175" s="4"/>
      <c r="B175" s="4"/>
      <c r="C175" s="141"/>
      <c r="D175" s="141"/>
      <c r="E175" s="142"/>
    </row>
    <row r="176" spans="1:5" ht="15.75">
      <c r="A176" s="4"/>
      <c r="B176" s="4"/>
      <c r="C176" s="141"/>
      <c r="D176" s="141"/>
      <c r="E176" s="142"/>
    </row>
    <row r="177" spans="1:5" ht="15.75">
      <c r="A177" s="4"/>
      <c r="B177" s="4"/>
      <c r="C177" s="141"/>
      <c r="D177" s="141"/>
      <c r="E177" s="142"/>
    </row>
    <row r="178" spans="1:5" ht="15.75">
      <c r="A178" s="4"/>
      <c r="B178" s="4"/>
      <c r="C178" s="141"/>
      <c r="D178" s="141"/>
      <c r="E178" s="142"/>
    </row>
    <row r="179" spans="1:5" ht="15.75">
      <c r="A179" s="4"/>
      <c r="B179" s="4"/>
      <c r="C179" s="141"/>
      <c r="D179" s="141"/>
      <c r="E179" s="142"/>
    </row>
    <row r="180" spans="1:5" ht="15.75">
      <c r="A180" s="4"/>
      <c r="B180" s="4"/>
      <c r="C180" s="141"/>
      <c r="D180" s="141"/>
      <c r="E180" s="142"/>
    </row>
    <row r="181" spans="1:5" ht="15.75">
      <c r="A181" s="4"/>
      <c r="B181" s="4"/>
      <c r="C181" s="141"/>
      <c r="D181" s="141"/>
      <c r="E181" s="142"/>
    </row>
    <row r="182" spans="1:5" ht="15.75">
      <c r="A182" s="4"/>
      <c r="B182" s="4"/>
      <c r="C182" s="141"/>
      <c r="D182" s="141"/>
      <c r="E182" s="142"/>
    </row>
    <row r="183" spans="1:5" ht="15.75">
      <c r="A183" s="4"/>
      <c r="B183" s="4"/>
      <c r="C183" s="141"/>
      <c r="D183" s="141"/>
      <c r="E183" s="142"/>
    </row>
    <row r="184" spans="1:5" ht="15.75">
      <c r="A184" s="4"/>
      <c r="B184" s="4"/>
      <c r="C184" s="141"/>
      <c r="D184" s="141"/>
      <c r="E184" s="142"/>
    </row>
    <row r="185" spans="1:5" ht="15.75">
      <c r="A185" s="4"/>
      <c r="B185" s="4"/>
      <c r="C185" s="141"/>
      <c r="D185" s="141"/>
      <c r="E185" s="142"/>
    </row>
    <row r="186" spans="1:5" ht="15.75">
      <c r="A186" s="4"/>
      <c r="B186" s="4"/>
      <c r="C186" s="141"/>
      <c r="D186" s="141"/>
      <c r="E186" s="142"/>
    </row>
    <row r="187" spans="1:5" ht="15.75">
      <c r="A187" s="4"/>
      <c r="B187" s="4"/>
      <c r="C187" s="141"/>
      <c r="D187" s="141"/>
      <c r="E187" s="142"/>
    </row>
    <row r="188" spans="1:5" ht="15.75">
      <c r="A188" s="4"/>
      <c r="B188" s="4"/>
      <c r="C188" s="141"/>
      <c r="D188" s="141"/>
      <c r="E188" s="142"/>
    </row>
    <row r="189" spans="1:5" ht="15.75">
      <c r="A189" s="4"/>
      <c r="B189" s="4"/>
      <c r="C189" s="141"/>
      <c r="D189" s="141"/>
      <c r="E189" s="142"/>
    </row>
    <row r="190" spans="1:5" ht="15.75">
      <c r="A190" s="4"/>
      <c r="B190" s="4"/>
      <c r="C190" s="141"/>
      <c r="D190" s="141"/>
      <c r="E190" s="142"/>
    </row>
    <row r="191" spans="1:5" ht="15.75">
      <c r="A191" s="4"/>
      <c r="B191" s="4"/>
      <c r="C191" s="141"/>
      <c r="D191" s="141"/>
      <c r="E191" s="142"/>
    </row>
    <row r="192" spans="1:5" ht="15.75">
      <c r="A192" s="4"/>
      <c r="B192" s="4"/>
      <c r="C192" s="141"/>
      <c r="D192" s="141"/>
      <c r="E192" s="142"/>
    </row>
    <row r="193" spans="1:5" ht="15.75">
      <c r="A193" s="4"/>
      <c r="B193" s="4"/>
      <c r="C193" s="141"/>
      <c r="D193" s="141"/>
      <c r="E193" s="142"/>
    </row>
    <row r="194" spans="1:5" ht="15.75">
      <c r="A194" s="4"/>
      <c r="B194" s="4"/>
      <c r="C194" s="141"/>
      <c r="D194" s="141"/>
      <c r="E194" s="142"/>
    </row>
    <row r="195" spans="1:5" ht="15.75">
      <c r="A195" s="4"/>
      <c r="B195" s="4"/>
      <c r="C195" s="141"/>
      <c r="D195" s="141"/>
      <c r="E195" s="142"/>
    </row>
    <row r="196" spans="1:5" ht="15.75">
      <c r="A196" s="4"/>
      <c r="B196" s="4"/>
      <c r="C196" s="141"/>
      <c r="D196" s="141"/>
      <c r="E196" s="142"/>
    </row>
    <row r="197" spans="1:5" ht="15.75">
      <c r="A197" s="4"/>
      <c r="B197" s="4"/>
      <c r="C197" s="141"/>
      <c r="D197" s="141"/>
      <c r="E197" s="142"/>
    </row>
    <row r="198" spans="1:5" ht="15.75">
      <c r="A198" s="4"/>
      <c r="B198" s="4"/>
      <c r="C198" s="141"/>
      <c r="D198" s="141"/>
      <c r="E198" s="142"/>
    </row>
    <row r="199" spans="1:5" ht="15.75">
      <c r="A199" s="4"/>
      <c r="B199" s="4"/>
      <c r="C199" s="141"/>
      <c r="D199" s="141"/>
      <c r="E199" s="142"/>
    </row>
    <row r="200" spans="1:5" ht="15.75">
      <c r="A200" s="4"/>
      <c r="B200" s="4"/>
      <c r="C200" s="141"/>
      <c r="D200" s="141"/>
      <c r="E200" s="142"/>
    </row>
    <row r="201" spans="1:5" ht="15.75">
      <c r="A201" s="4"/>
      <c r="B201" s="4"/>
      <c r="C201" s="141"/>
      <c r="D201" s="141"/>
      <c r="E201" s="142"/>
    </row>
    <row r="202" spans="1:5" ht="15.75">
      <c r="A202" s="4"/>
      <c r="B202" s="4"/>
      <c r="C202" s="141"/>
      <c r="D202" s="141"/>
      <c r="E202" s="142"/>
    </row>
    <row r="203" spans="1:5" ht="15.75">
      <c r="A203" s="4"/>
      <c r="B203" s="4"/>
      <c r="C203" s="141"/>
      <c r="D203" s="141"/>
      <c r="E203" s="142"/>
    </row>
    <row r="204" spans="1:5" ht="15.75">
      <c r="A204" s="4"/>
      <c r="B204" s="4"/>
      <c r="C204" s="141"/>
      <c r="D204" s="141"/>
      <c r="E204" s="142"/>
    </row>
    <row r="205" spans="1:5" ht="15.75">
      <c r="A205" s="4"/>
      <c r="B205" s="4"/>
      <c r="C205" s="141"/>
      <c r="D205" s="141"/>
      <c r="E205" s="142"/>
    </row>
    <row r="206" spans="1:5" ht="15.75">
      <c r="A206" s="4"/>
      <c r="B206" s="4"/>
      <c r="C206" s="141"/>
      <c r="D206" s="141"/>
      <c r="E206" s="142"/>
    </row>
    <row r="207" spans="1:5" ht="15.75">
      <c r="A207" s="4"/>
      <c r="B207" s="4"/>
      <c r="C207" s="141"/>
      <c r="D207" s="141"/>
      <c r="E207" s="142"/>
    </row>
    <row r="208" spans="1:5" ht="15.75">
      <c r="A208" s="4"/>
      <c r="B208" s="4"/>
      <c r="C208" s="141"/>
      <c r="D208" s="141"/>
      <c r="E208" s="142"/>
    </row>
    <row r="209" spans="1:5" ht="15.75">
      <c r="A209" s="4"/>
      <c r="B209" s="4"/>
      <c r="C209" s="141"/>
      <c r="D209" s="141"/>
      <c r="E209" s="142"/>
    </row>
    <row r="210" spans="1:5" ht="15.75">
      <c r="A210" s="4"/>
      <c r="B210" s="4"/>
      <c r="C210" s="141"/>
      <c r="D210" s="141"/>
      <c r="E210" s="142"/>
    </row>
    <row r="211" spans="1:5" ht="15.75">
      <c r="A211" s="4"/>
      <c r="B211" s="4"/>
      <c r="C211" s="141"/>
      <c r="D211" s="141"/>
      <c r="E211" s="142"/>
    </row>
    <row r="212" spans="1:5" ht="15.75">
      <c r="A212" s="4"/>
      <c r="B212" s="4"/>
      <c r="C212" s="141"/>
      <c r="D212" s="141"/>
      <c r="E212" s="142"/>
    </row>
    <row r="213" spans="1:5" ht="15.75">
      <c r="A213" s="4"/>
      <c r="B213" s="4"/>
      <c r="C213" s="141"/>
      <c r="D213" s="141"/>
      <c r="E213" s="142"/>
    </row>
    <row r="214" spans="1:5" ht="15.75">
      <c r="A214" s="4"/>
      <c r="B214" s="4"/>
      <c r="C214" s="141"/>
      <c r="D214" s="141"/>
      <c r="E214" s="142"/>
    </row>
    <row r="215" spans="1:5" ht="15.75">
      <c r="A215" s="4"/>
      <c r="B215" s="4"/>
      <c r="C215" s="141"/>
      <c r="D215" s="141"/>
      <c r="E215" s="142"/>
    </row>
    <row r="216" spans="1:5" ht="15.75">
      <c r="A216" s="4"/>
      <c r="B216" s="4"/>
      <c r="C216" s="4"/>
      <c r="D216" s="4"/>
      <c r="E216" s="3"/>
    </row>
    <row r="217" spans="1:5" ht="15.75">
      <c r="A217" s="4"/>
      <c r="B217" s="4"/>
      <c r="C217" s="4"/>
      <c r="D217" s="4"/>
      <c r="E217" s="3"/>
    </row>
    <row r="218" spans="1:5" ht="15.75">
      <c r="A218" s="4"/>
      <c r="B218" s="4"/>
      <c r="C218" s="4"/>
      <c r="D218" s="4"/>
      <c r="E218" s="3"/>
    </row>
    <row r="219" spans="1:5" ht="15.75">
      <c r="A219" s="4"/>
      <c r="B219" s="4"/>
      <c r="C219" s="4"/>
      <c r="D219" s="4"/>
      <c r="E219" s="3"/>
    </row>
    <row r="220" spans="1:5" ht="15.75">
      <c r="A220" s="4"/>
      <c r="B220" s="4"/>
      <c r="C220" s="4"/>
      <c r="D220" s="4"/>
      <c r="E220" s="3"/>
    </row>
    <row r="221" spans="1:5" ht="15.75">
      <c r="A221" s="4"/>
      <c r="B221" s="4"/>
      <c r="C221" s="4"/>
      <c r="D221" s="4"/>
      <c r="E221" s="3"/>
    </row>
    <row r="222" spans="1:5" ht="15.75">
      <c r="A222" s="4"/>
      <c r="B222" s="4"/>
      <c r="C222" s="4"/>
      <c r="D222" s="4"/>
      <c r="E222" s="3"/>
    </row>
    <row r="223" spans="1:5" ht="15.75">
      <c r="A223" s="4"/>
      <c r="B223" s="4"/>
      <c r="C223" s="4"/>
      <c r="D223" s="4"/>
      <c r="E223" s="3"/>
    </row>
    <row r="224" spans="1:5" ht="15.75">
      <c r="A224" s="4"/>
      <c r="B224" s="4"/>
      <c r="C224" s="4"/>
      <c r="D224" s="4"/>
      <c r="E224" s="3"/>
    </row>
    <row r="225" spans="1:5" ht="15.75">
      <c r="A225" s="4"/>
      <c r="B225" s="4"/>
      <c r="C225" s="4"/>
      <c r="D225" s="4"/>
      <c r="E225" s="3"/>
    </row>
    <row r="226" spans="1:5" ht="15.75">
      <c r="A226" s="4"/>
      <c r="B226" s="4"/>
      <c r="C226" s="4"/>
      <c r="D226" s="4"/>
      <c r="E226" s="3"/>
    </row>
    <row r="227" spans="1:5" ht="15.75">
      <c r="A227" s="4"/>
      <c r="B227" s="4"/>
      <c r="C227" s="4"/>
      <c r="D227" s="4"/>
      <c r="E227" s="3"/>
    </row>
    <row r="228" spans="1:5" ht="15.75">
      <c r="A228" s="4"/>
      <c r="B228" s="4"/>
      <c r="C228" s="4"/>
      <c r="D228" s="4"/>
      <c r="E228" s="3"/>
    </row>
    <row r="229" spans="1:5" ht="15.75">
      <c r="A229" s="4"/>
      <c r="B229" s="4"/>
      <c r="C229" s="4"/>
      <c r="D229" s="4"/>
      <c r="E229" s="3"/>
    </row>
    <row r="230" spans="1:5" ht="15.75">
      <c r="A230" s="4"/>
      <c r="B230" s="4"/>
      <c r="C230" s="4"/>
      <c r="D230" s="4"/>
      <c r="E230" s="3"/>
    </row>
    <row r="231" spans="1:5" ht="15.75">
      <c r="A231" s="4"/>
      <c r="B231" s="4"/>
      <c r="C231" s="4"/>
      <c r="D231" s="4"/>
      <c r="E231" s="3"/>
    </row>
    <row r="232" spans="1:5" ht="15.75">
      <c r="A232" s="4"/>
      <c r="B232" s="4"/>
      <c r="C232" s="4"/>
      <c r="D232" s="4"/>
      <c r="E232" s="3"/>
    </row>
    <row r="233" spans="1:5" ht="15.75">
      <c r="A233" s="4"/>
      <c r="B233" s="4"/>
      <c r="C233" s="4"/>
      <c r="D233" s="4"/>
      <c r="E233" s="3"/>
    </row>
    <row r="234" spans="1:5" ht="15.75">
      <c r="A234" s="4"/>
      <c r="B234" s="4"/>
      <c r="C234" s="4"/>
      <c r="D234" s="4"/>
      <c r="E234" s="3"/>
    </row>
    <row r="235" spans="1:5" ht="15.75">
      <c r="A235" s="4"/>
      <c r="B235" s="4"/>
      <c r="C235" s="4"/>
      <c r="D235" s="4"/>
      <c r="E235" s="3"/>
    </row>
    <row r="236" spans="1:5" ht="15.75">
      <c r="A236" s="4"/>
      <c r="B236" s="4"/>
      <c r="C236" s="4"/>
      <c r="D236" s="4"/>
      <c r="E236" s="3"/>
    </row>
    <row r="237" spans="1:5" ht="15.75">
      <c r="A237" s="4"/>
      <c r="B237" s="4"/>
      <c r="C237" s="4"/>
      <c r="D237" s="4"/>
      <c r="E237" s="3"/>
    </row>
    <row r="238" spans="1:5" ht="15.75">
      <c r="A238" s="4"/>
      <c r="B238" s="4"/>
      <c r="C238" s="4"/>
      <c r="D238" s="4"/>
      <c r="E238" s="3"/>
    </row>
    <row r="239" spans="1:5" ht="15.75">
      <c r="A239" s="4"/>
      <c r="B239" s="4"/>
      <c r="C239" s="4"/>
      <c r="D239" s="4"/>
      <c r="E239" s="3"/>
    </row>
    <row r="240" spans="1:5" ht="15.75">
      <c r="A240" s="4"/>
      <c r="B240" s="4"/>
      <c r="C240" s="4"/>
      <c r="D240" s="4"/>
      <c r="E240" s="3"/>
    </row>
    <row r="241" spans="1:5" ht="15.75">
      <c r="A241" s="4"/>
      <c r="B241" s="4"/>
      <c r="C241" s="4"/>
      <c r="D241" s="4"/>
      <c r="E241" s="3"/>
    </row>
    <row r="242" spans="1:5" ht="15.75">
      <c r="A242" s="4"/>
      <c r="B242" s="4"/>
      <c r="C242" s="4"/>
      <c r="D242" s="4"/>
      <c r="E242" s="3"/>
    </row>
    <row r="243" spans="1:5" ht="15.75">
      <c r="A243" s="4"/>
      <c r="B243" s="4"/>
      <c r="C243" s="4"/>
      <c r="D243" s="4"/>
      <c r="E243" s="3"/>
    </row>
    <row r="244" spans="1:5" ht="15.75">
      <c r="A244" s="4"/>
      <c r="B244" s="4"/>
      <c r="C244" s="4"/>
      <c r="D244" s="4"/>
      <c r="E244" s="3"/>
    </row>
    <row r="245" spans="1:5" ht="15.75">
      <c r="A245" s="4"/>
      <c r="B245" s="4"/>
      <c r="C245" s="4"/>
      <c r="D245" s="4"/>
      <c r="E245" s="3"/>
    </row>
    <row r="246" spans="1:5" ht="15.75">
      <c r="A246" s="4"/>
      <c r="B246" s="4"/>
      <c r="C246" s="4"/>
      <c r="D246" s="4"/>
      <c r="E246" s="3"/>
    </row>
    <row r="247" spans="1:5" ht="15.75">
      <c r="A247" s="4"/>
      <c r="B247" s="4"/>
      <c r="C247" s="4"/>
      <c r="D247" s="4"/>
      <c r="E247" s="3"/>
    </row>
    <row r="248" spans="1:5" ht="15.75">
      <c r="A248" s="4"/>
      <c r="B248" s="4"/>
      <c r="C248" s="4"/>
      <c r="D248" s="4"/>
      <c r="E248" s="3"/>
    </row>
    <row r="249" spans="1:5" ht="15.75">
      <c r="A249" s="4"/>
      <c r="B249" s="4"/>
      <c r="C249" s="4"/>
      <c r="D249" s="4"/>
      <c r="E249" s="3"/>
    </row>
    <row r="250" spans="1:5" ht="15.75">
      <c r="A250" s="4"/>
      <c r="B250" s="4"/>
      <c r="C250" s="4"/>
      <c r="D250" s="4"/>
      <c r="E250" s="3"/>
    </row>
    <row r="251" spans="1:5" ht="15.75">
      <c r="A251" s="4"/>
      <c r="B251" s="4"/>
      <c r="C251" s="4"/>
      <c r="D251" s="4"/>
      <c r="E251" s="3"/>
    </row>
    <row r="252" spans="1:5" ht="15.75">
      <c r="A252" s="4"/>
      <c r="B252" s="4"/>
      <c r="C252" s="4"/>
      <c r="D252" s="4"/>
      <c r="E252" s="3"/>
    </row>
    <row r="253" spans="1:5" ht="15.75">
      <c r="A253" s="4"/>
      <c r="B253" s="4"/>
      <c r="C253" s="4"/>
      <c r="D253" s="4"/>
      <c r="E253" s="3"/>
    </row>
    <row r="254" spans="1:5" ht="15.75">
      <c r="A254" s="4"/>
      <c r="B254" s="4"/>
      <c r="C254" s="4"/>
      <c r="D254" s="4"/>
      <c r="E254" s="3"/>
    </row>
    <row r="255" spans="1:5" ht="15.75">
      <c r="A255" s="4"/>
      <c r="B255" s="4"/>
      <c r="C255" s="4"/>
      <c r="D255" s="4"/>
      <c r="E255" s="3"/>
    </row>
    <row r="256" spans="1:5" ht="15.75">
      <c r="A256" s="4"/>
      <c r="B256" s="4"/>
      <c r="C256" s="4"/>
      <c r="D256" s="4"/>
      <c r="E256" s="3"/>
    </row>
    <row r="257" spans="1:5" ht="15.75">
      <c r="A257" s="4"/>
      <c r="B257" s="4"/>
      <c r="C257" s="4"/>
      <c r="D257" s="4"/>
      <c r="E257" s="3"/>
    </row>
    <row r="258" spans="1:5" ht="15.75">
      <c r="A258" s="4"/>
      <c r="B258" s="4"/>
      <c r="C258" s="4"/>
      <c r="D258" s="4"/>
      <c r="E258" s="3"/>
    </row>
    <row r="259" spans="1:5" ht="15.75">
      <c r="A259" s="4"/>
      <c r="B259" s="4"/>
      <c r="C259" s="4"/>
      <c r="D259" s="4"/>
      <c r="E259" s="3"/>
    </row>
    <row r="260" spans="1:5" ht="15.75">
      <c r="A260" s="4"/>
      <c r="B260" s="4"/>
      <c r="C260" s="4"/>
      <c r="D260" s="4"/>
      <c r="E260" s="3"/>
    </row>
    <row r="261" spans="1:5" ht="15.75">
      <c r="A261" s="4"/>
      <c r="B261" s="4"/>
      <c r="C261" s="4"/>
      <c r="D261" s="4"/>
      <c r="E261" s="3"/>
    </row>
    <row r="262" spans="1:5" ht="15.75">
      <c r="A262" s="4"/>
      <c r="B262" s="4"/>
      <c r="C262" s="4"/>
      <c r="D262" s="4"/>
      <c r="E262" s="3"/>
    </row>
    <row r="263" spans="1:5" ht="15.75">
      <c r="A263" s="4"/>
      <c r="B263" s="4"/>
      <c r="C263" s="4"/>
      <c r="D263" s="4"/>
      <c r="E263" s="3"/>
    </row>
    <row r="264" spans="1:5" ht="15.75">
      <c r="A264" s="4"/>
      <c r="B264" s="4"/>
      <c r="C264" s="4"/>
      <c r="D264" s="4"/>
      <c r="E264" s="3"/>
    </row>
    <row r="265" spans="1:5" ht="15.75">
      <c r="A265" s="4"/>
      <c r="B265" s="4"/>
      <c r="C265" s="4"/>
      <c r="D265" s="4"/>
      <c r="E265" s="3"/>
    </row>
    <row r="266" spans="1:5" ht="15.75">
      <c r="A266" s="4"/>
      <c r="B266" s="4"/>
      <c r="C266" s="4"/>
      <c r="D266" s="4"/>
      <c r="E266" s="3"/>
    </row>
    <row r="267" spans="1:5" ht="15.75">
      <c r="A267" s="4"/>
      <c r="B267" s="4"/>
      <c r="C267" s="4"/>
      <c r="D267" s="4"/>
      <c r="E267" s="3"/>
    </row>
    <row r="268" spans="1:5" ht="15.75">
      <c r="A268" s="4"/>
      <c r="B268" s="4"/>
      <c r="C268" s="4"/>
      <c r="D268" s="4"/>
      <c r="E268" s="3"/>
    </row>
    <row r="269" spans="1:5" ht="15.75">
      <c r="A269" s="4"/>
      <c r="B269" s="4"/>
      <c r="C269" s="4"/>
      <c r="D269" s="4"/>
      <c r="E269" s="3"/>
    </row>
    <row r="270" spans="1:5" ht="15.75">
      <c r="A270" s="4"/>
      <c r="B270" s="4"/>
      <c r="C270" s="4"/>
      <c r="D270" s="4"/>
      <c r="E270" s="3"/>
    </row>
    <row r="271" spans="1:5" ht="15.75">
      <c r="A271" s="4"/>
      <c r="B271" s="4"/>
      <c r="C271" s="4"/>
      <c r="D271" s="4"/>
      <c r="E271" s="3"/>
    </row>
    <row r="272" spans="1:5" ht="15.75">
      <c r="A272" s="4"/>
      <c r="B272" s="4"/>
      <c r="C272" s="4"/>
      <c r="D272" s="4"/>
      <c r="E272" s="3"/>
    </row>
    <row r="273" spans="1:5" ht="15.75">
      <c r="A273" s="4"/>
      <c r="B273" s="4"/>
      <c r="C273" s="4"/>
      <c r="D273" s="4"/>
      <c r="E273" s="3"/>
    </row>
    <row r="274" spans="1:5" ht="15.75">
      <c r="A274" s="4"/>
      <c r="B274" s="4"/>
      <c r="C274" s="4"/>
      <c r="D274" s="4"/>
      <c r="E274" s="3"/>
    </row>
    <row r="275" spans="1:5" ht="15.75">
      <c r="A275" s="4"/>
      <c r="B275" s="4"/>
      <c r="C275" s="4"/>
      <c r="D275" s="4"/>
      <c r="E275" s="3"/>
    </row>
    <row r="276" spans="1:5" ht="15.75">
      <c r="A276" s="4"/>
      <c r="B276" s="4"/>
      <c r="C276" s="4"/>
      <c r="D276" s="4"/>
      <c r="E276" s="3"/>
    </row>
    <row r="277" spans="1:5" ht="15.75">
      <c r="A277" s="4"/>
      <c r="B277" s="4"/>
      <c r="C277" s="4"/>
      <c r="D277" s="4"/>
      <c r="E277" s="3"/>
    </row>
    <row r="278" spans="1:5" ht="15.75">
      <c r="A278" s="4"/>
      <c r="B278" s="4"/>
      <c r="C278" s="4"/>
      <c r="D278" s="4"/>
      <c r="E278" s="3"/>
    </row>
    <row r="279" spans="1:5" ht="15.75">
      <c r="A279" s="4"/>
      <c r="B279" s="4"/>
      <c r="C279" s="4"/>
      <c r="D279" s="4"/>
      <c r="E279" s="3"/>
    </row>
    <row r="280" spans="1:5" ht="15.75">
      <c r="A280" s="4"/>
      <c r="B280" s="4"/>
      <c r="C280" s="4"/>
      <c r="D280" s="4"/>
      <c r="E280" s="3"/>
    </row>
    <row r="281" spans="1:5" ht="15.75">
      <c r="A281" s="4"/>
      <c r="B281" s="4"/>
      <c r="C281" s="4"/>
      <c r="D281" s="4"/>
      <c r="E281" s="3"/>
    </row>
  </sheetData>
  <sheetProtection/>
  <printOptions horizontalCentered="1"/>
  <pageMargins left="0.6692913385826772" right="0.3937007874015748" top="0.5" bottom="0.5118110236220472" header="0.31496062992125984" footer="0.31496062992125984"/>
  <pageSetup horizontalDpi="300" verticalDpi="300" orientation="portrait" paperSize="9" scale="60" r:id="rId1"/>
  <headerFooter alignWithMargins="0">
    <oddFooter>&amp;R&amp;P</oddFooter>
  </headerFooter>
  <rowBreaks count="1" manualBreakCount="1">
    <brk id="7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E85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9.140625" style="4" customWidth="1"/>
    <col min="2" max="2" width="66.00390625" style="4" customWidth="1"/>
    <col min="3" max="3" width="7.8515625" style="4" customWidth="1"/>
    <col min="4" max="4" width="15.140625" style="4" customWidth="1"/>
    <col min="5" max="5" width="13.140625" style="4" customWidth="1"/>
    <col min="6" max="16384" width="9.140625" style="4" customWidth="1"/>
  </cols>
  <sheetData>
    <row r="1" ht="15.75">
      <c r="D1" s="71" t="s">
        <v>8</v>
      </c>
    </row>
    <row r="2" ht="15.75">
      <c r="D2" s="144" t="s">
        <v>68</v>
      </c>
    </row>
    <row r="3" ht="15.75">
      <c r="D3" s="71"/>
    </row>
    <row r="4" spans="2:4" ht="24" customHeight="1">
      <c r="B4" s="32" t="s">
        <v>757</v>
      </c>
      <c r="C4" s="184"/>
      <c r="D4" s="184"/>
    </row>
    <row r="5" spans="2:4" ht="18.75">
      <c r="B5" s="32"/>
      <c r="C5" s="96"/>
      <c r="D5" s="96"/>
    </row>
    <row r="6" spans="2:4" ht="31.5">
      <c r="B6" s="84" t="s">
        <v>570</v>
      </c>
      <c r="C6" s="185"/>
      <c r="D6" s="185"/>
    </row>
    <row r="8" spans="2:4" ht="31.5">
      <c r="B8" s="72" t="s">
        <v>76</v>
      </c>
      <c r="C8" s="79" t="s">
        <v>77</v>
      </c>
      <c r="D8" s="147" t="s">
        <v>29</v>
      </c>
    </row>
    <row r="9" spans="2:4" ht="15.75">
      <c r="B9" s="148" t="s">
        <v>637</v>
      </c>
      <c r="C9" s="82" t="s">
        <v>246</v>
      </c>
      <c r="D9" s="92">
        <v>45400</v>
      </c>
    </row>
    <row r="10" spans="2:4" ht="15.75">
      <c r="B10" s="148" t="s">
        <v>638</v>
      </c>
      <c r="C10" s="82" t="s">
        <v>246</v>
      </c>
      <c r="D10" s="92"/>
    </row>
    <row r="11" spans="2:4" ht="15.75">
      <c r="B11" s="148" t="s">
        <v>639</v>
      </c>
      <c r="C11" s="82" t="s">
        <v>246</v>
      </c>
      <c r="D11" s="92">
        <v>49400</v>
      </c>
    </row>
    <row r="12" spans="2:4" ht="15.75">
      <c r="B12" s="148" t="s">
        <v>640</v>
      </c>
      <c r="C12" s="82" t="s">
        <v>246</v>
      </c>
      <c r="D12" s="92">
        <v>1950</v>
      </c>
    </row>
    <row r="13" spans="2:4" s="260" customFormat="1" ht="15.75">
      <c r="B13" s="255" t="s">
        <v>692</v>
      </c>
      <c r="C13" s="256" t="s">
        <v>246</v>
      </c>
      <c r="D13" s="262">
        <f>SUM(D9:D12)</f>
        <v>96750</v>
      </c>
    </row>
    <row r="14" spans="2:4" ht="15.75">
      <c r="B14" s="148" t="s">
        <v>576</v>
      </c>
      <c r="C14" s="81" t="s">
        <v>247</v>
      </c>
      <c r="D14" s="92">
        <f>SUM(D15:D16)</f>
        <v>231400</v>
      </c>
    </row>
    <row r="15" spans="2:4" ht="31.5">
      <c r="B15" s="149" t="s">
        <v>248</v>
      </c>
      <c r="C15" s="150" t="s">
        <v>247</v>
      </c>
      <c r="D15" s="151">
        <v>231400</v>
      </c>
    </row>
    <row r="16" spans="2:4" ht="31.5">
      <c r="B16" s="149" t="s">
        <v>249</v>
      </c>
      <c r="C16" s="150" t="s">
        <v>247</v>
      </c>
      <c r="D16" s="151"/>
    </row>
    <row r="17" spans="2:4" ht="15.75">
      <c r="B17" s="152" t="s">
        <v>577</v>
      </c>
      <c r="C17" s="123" t="s">
        <v>250</v>
      </c>
      <c r="D17" s="92">
        <f>SUM(D18:D21)</f>
        <v>25600</v>
      </c>
    </row>
    <row r="18" spans="2:4" ht="31.5">
      <c r="B18" s="149" t="s">
        <v>251</v>
      </c>
      <c r="C18" s="150" t="s">
        <v>250</v>
      </c>
      <c r="D18" s="151"/>
    </row>
    <row r="19" spans="2:4" ht="31.5">
      <c r="B19" s="149" t="s">
        <v>252</v>
      </c>
      <c r="C19" s="150" t="s">
        <v>250</v>
      </c>
      <c r="D19" s="151">
        <f>64000*0.4</f>
        <v>25600</v>
      </c>
    </row>
    <row r="20" spans="2:4" ht="15.75">
      <c r="B20" s="149" t="s">
        <v>253</v>
      </c>
      <c r="C20" s="150" t="s">
        <v>250</v>
      </c>
      <c r="D20" s="92"/>
    </row>
    <row r="21" spans="2:4" ht="15.75">
      <c r="B21" s="149" t="s">
        <v>254</v>
      </c>
      <c r="C21" s="150" t="s">
        <v>250</v>
      </c>
      <c r="D21" s="92"/>
    </row>
    <row r="22" spans="2:4" ht="15.75">
      <c r="B22" s="152" t="s">
        <v>641</v>
      </c>
      <c r="C22" s="123" t="s">
        <v>255</v>
      </c>
      <c r="D22" s="92">
        <f>SUM(D23:D24)</f>
        <v>450</v>
      </c>
    </row>
    <row r="23" spans="2:4" ht="15.75">
      <c r="B23" s="149" t="s">
        <v>256</v>
      </c>
      <c r="C23" s="150" t="s">
        <v>255</v>
      </c>
      <c r="D23" s="151">
        <v>450</v>
      </c>
    </row>
    <row r="24" spans="2:4" ht="15.75">
      <c r="B24" s="149" t="s">
        <v>257</v>
      </c>
      <c r="C24" s="150" t="s">
        <v>255</v>
      </c>
      <c r="D24" s="151"/>
    </row>
    <row r="25" spans="2:4" s="260" customFormat="1" ht="15.75">
      <c r="B25" s="255" t="s">
        <v>691</v>
      </c>
      <c r="C25" s="256" t="s">
        <v>258</v>
      </c>
      <c r="D25" s="262">
        <f>+D22+D17+D14</f>
        <v>257450</v>
      </c>
    </row>
    <row r="26" spans="2:4" ht="15.75">
      <c r="B26" s="148" t="s">
        <v>642</v>
      </c>
      <c r="C26" s="82" t="s">
        <v>259</v>
      </c>
      <c r="D26" s="92"/>
    </row>
    <row r="27" spans="2:4" ht="15.75">
      <c r="B27" s="148" t="s">
        <v>643</v>
      </c>
      <c r="C27" s="82" t="s">
        <v>259</v>
      </c>
      <c r="D27" s="92"/>
    </row>
    <row r="28" spans="2:4" ht="15.75">
      <c r="B28" s="148" t="s">
        <v>644</v>
      </c>
      <c r="C28" s="82" t="s">
        <v>259</v>
      </c>
      <c r="D28" s="92"/>
    </row>
    <row r="29" spans="2:4" ht="15.75">
      <c r="B29" s="148" t="s">
        <v>645</v>
      </c>
      <c r="C29" s="82" t="s">
        <v>259</v>
      </c>
      <c r="D29" s="92"/>
    </row>
    <row r="30" spans="2:4" ht="15.75">
      <c r="B30" s="148" t="s">
        <v>646</v>
      </c>
      <c r="C30" s="82" t="s">
        <v>259</v>
      </c>
      <c r="D30" s="92"/>
    </row>
    <row r="31" spans="2:4" ht="15.75">
      <c r="B31" s="148" t="s">
        <v>647</v>
      </c>
      <c r="C31" s="82" t="s">
        <v>259</v>
      </c>
      <c r="D31" s="92"/>
    </row>
    <row r="32" spans="2:4" ht="15.75">
      <c r="B32" s="148" t="s">
        <v>648</v>
      </c>
      <c r="C32" s="82" t="s">
        <v>259</v>
      </c>
      <c r="D32" s="92"/>
    </row>
    <row r="33" spans="2:4" ht="15.75">
      <c r="B33" s="148" t="s">
        <v>649</v>
      </c>
      <c r="C33" s="82" t="s">
        <v>259</v>
      </c>
      <c r="D33" s="92"/>
    </row>
    <row r="34" spans="2:4" ht="39" customHeight="1">
      <c r="B34" s="148" t="s">
        <v>571</v>
      </c>
      <c r="C34" s="82" t="s">
        <v>259</v>
      </c>
      <c r="D34" s="92"/>
    </row>
    <row r="35" spans="2:4" ht="15.75">
      <c r="B35" s="148" t="s">
        <v>650</v>
      </c>
      <c r="C35" s="82" t="s">
        <v>259</v>
      </c>
      <c r="D35" s="92">
        <v>3000</v>
      </c>
    </row>
    <row r="36" spans="2:5" s="260" customFormat="1" ht="15.75">
      <c r="B36" s="255" t="s">
        <v>690</v>
      </c>
      <c r="C36" s="256" t="s">
        <v>259</v>
      </c>
      <c r="D36" s="262">
        <f>SUM(D26:D35)</f>
        <v>3000</v>
      </c>
      <c r="E36" s="285">
        <f>+D36+D25+D13</f>
        <v>357200</v>
      </c>
    </row>
    <row r="38" ht="15.75">
      <c r="D38" s="141"/>
    </row>
    <row r="39" spans="2:4" ht="31.5">
      <c r="B39" s="72" t="s">
        <v>76</v>
      </c>
      <c r="C39" s="79" t="s">
        <v>31</v>
      </c>
      <c r="D39" s="147" t="s">
        <v>29</v>
      </c>
    </row>
    <row r="40" spans="2:5" ht="15.75">
      <c r="B40" s="153" t="s">
        <v>367</v>
      </c>
      <c r="C40" s="81" t="s">
        <v>219</v>
      </c>
      <c r="D40" s="154">
        <v>137766</v>
      </c>
      <c r="E40" s="4" t="s">
        <v>824</v>
      </c>
    </row>
    <row r="41" spans="2:4" ht="15.75">
      <c r="B41" s="153" t="s">
        <v>552</v>
      </c>
      <c r="C41" s="81" t="s">
        <v>219</v>
      </c>
      <c r="D41" s="154">
        <f>SUM(D42:D45)</f>
        <v>62957</v>
      </c>
    </row>
    <row r="42" spans="2:5" ht="31.5">
      <c r="B42" s="155" t="s">
        <v>368</v>
      </c>
      <c r="C42" s="81" t="s">
        <v>219</v>
      </c>
      <c r="D42" s="154">
        <v>19749</v>
      </c>
      <c r="E42" s="4" t="s">
        <v>549</v>
      </c>
    </row>
    <row r="43" spans="2:5" ht="15.75">
      <c r="B43" s="155" t="s">
        <v>369</v>
      </c>
      <c r="C43" s="81" t="s">
        <v>219</v>
      </c>
      <c r="D43" s="154">
        <v>25594</v>
      </c>
      <c r="E43" s="4" t="s">
        <v>550</v>
      </c>
    </row>
    <row r="44" spans="2:5" ht="15.75">
      <c r="B44" s="156" t="s">
        <v>370</v>
      </c>
      <c r="C44" s="81" t="s">
        <v>219</v>
      </c>
      <c r="D44" s="154">
        <v>100</v>
      </c>
      <c r="E44" s="4" t="s">
        <v>551</v>
      </c>
    </row>
    <row r="45" spans="2:4" ht="15.75">
      <c r="B45" s="157" t="s">
        <v>371</v>
      </c>
      <c r="C45" s="81" t="s">
        <v>219</v>
      </c>
      <c r="D45" s="154">
        <v>17514</v>
      </c>
    </row>
    <row r="46" spans="2:4" ht="15.75">
      <c r="B46" s="158" t="s">
        <v>373</v>
      </c>
      <c r="C46" s="81" t="s">
        <v>219</v>
      </c>
      <c r="D46" s="154">
        <v>27698</v>
      </c>
    </row>
    <row r="47" spans="2:4" ht="15.75">
      <c r="B47" s="159" t="s">
        <v>372</v>
      </c>
      <c r="C47" s="160"/>
      <c r="D47" s="161"/>
    </row>
    <row r="48" spans="2:4" s="258" customFormat="1" ht="31.5">
      <c r="B48" s="261" t="s">
        <v>689</v>
      </c>
      <c r="C48" s="256" t="s">
        <v>219</v>
      </c>
      <c r="D48" s="257">
        <f>SUM(D40:D46)-D41</f>
        <v>228421</v>
      </c>
    </row>
    <row r="49" spans="2:4" s="3" customFormat="1" ht="15.75">
      <c r="B49" s="163" t="s">
        <v>374</v>
      </c>
      <c r="C49" s="81" t="s">
        <v>221</v>
      </c>
      <c r="D49" s="154">
        <f>79973+37579+967</f>
        <v>118519</v>
      </c>
    </row>
    <row r="50" spans="2:4" s="3" customFormat="1" ht="15.75">
      <c r="B50" s="163" t="s">
        <v>375</v>
      </c>
      <c r="C50" s="81" t="s">
        <v>221</v>
      </c>
      <c r="D50" s="154">
        <f>22800+11400</f>
        <v>34200</v>
      </c>
    </row>
    <row r="51" spans="2:4" s="3" customFormat="1" ht="15.75">
      <c r="B51" s="163" t="s">
        <v>376</v>
      </c>
      <c r="C51" s="81" t="s">
        <v>221</v>
      </c>
      <c r="D51" s="154">
        <f>12768+5973</f>
        <v>18741</v>
      </c>
    </row>
    <row r="52" spans="2:4" s="258" customFormat="1" ht="31.5">
      <c r="B52" s="255" t="s">
        <v>688</v>
      </c>
      <c r="C52" s="256" t="s">
        <v>221</v>
      </c>
      <c r="D52" s="257">
        <f>SUM(D49:D51)</f>
        <v>171460</v>
      </c>
    </row>
    <row r="53" spans="2:5" s="3" customFormat="1" ht="15.75">
      <c r="B53" s="153" t="s">
        <v>377</v>
      </c>
      <c r="C53" s="81" t="s">
        <v>223</v>
      </c>
      <c r="D53" s="154">
        <v>41204</v>
      </c>
      <c r="E53" s="3" t="s">
        <v>608</v>
      </c>
    </row>
    <row r="54" spans="2:5" s="3" customFormat="1" ht="15.75">
      <c r="B54" s="153" t="s">
        <v>378</v>
      </c>
      <c r="C54" s="81" t="s">
        <v>223</v>
      </c>
      <c r="D54" s="154">
        <v>4537</v>
      </c>
      <c r="E54" s="3" t="s">
        <v>825</v>
      </c>
    </row>
    <row r="55" spans="2:4" s="3" customFormat="1" ht="15.75">
      <c r="B55" s="153" t="s">
        <v>379</v>
      </c>
      <c r="C55" s="81" t="s">
        <v>223</v>
      </c>
      <c r="D55" s="154">
        <v>4537</v>
      </c>
    </row>
    <row r="56" spans="2:5" s="3" customFormat="1" ht="15.75">
      <c r="B56" s="153" t="s">
        <v>380</v>
      </c>
      <c r="C56" s="81" t="s">
        <v>223</v>
      </c>
      <c r="D56" s="154">
        <v>12179</v>
      </c>
      <c r="E56" s="3" t="s">
        <v>825</v>
      </c>
    </row>
    <row r="57" spans="2:5" s="3" customFormat="1" ht="15.75">
      <c r="B57" s="153" t="s">
        <v>381</v>
      </c>
      <c r="C57" s="81" t="s">
        <v>223</v>
      </c>
      <c r="D57" s="154">
        <v>7250</v>
      </c>
      <c r="E57" s="3" t="s">
        <v>825</v>
      </c>
    </row>
    <row r="58" spans="2:5" s="3" customFormat="1" ht="15.75">
      <c r="B58" s="153" t="s">
        <v>382</v>
      </c>
      <c r="C58" s="81" t="s">
        <v>223</v>
      </c>
      <c r="D58" s="154">
        <v>3815</v>
      </c>
      <c r="E58" s="3" t="s">
        <v>825</v>
      </c>
    </row>
    <row r="59" spans="2:4" s="3" customFormat="1" ht="15.75">
      <c r="B59" s="153" t="s">
        <v>383</v>
      </c>
      <c r="C59" s="81" t="s">
        <v>223</v>
      </c>
      <c r="D59" s="154">
        <f>13340+2075+2223</f>
        <v>17638</v>
      </c>
    </row>
    <row r="60" spans="2:5" s="3" customFormat="1" ht="15.75">
      <c r="B60" s="164" t="s">
        <v>384</v>
      </c>
      <c r="C60" s="81" t="s">
        <v>223</v>
      </c>
      <c r="D60" s="154">
        <v>104242</v>
      </c>
      <c r="E60" s="3" t="s">
        <v>825</v>
      </c>
    </row>
    <row r="61" spans="2:5" s="3" customFormat="1" ht="15.75">
      <c r="B61" s="164" t="s">
        <v>385</v>
      </c>
      <c r="C61" s="81" t="s">
        <v>223</v>
      </c>
      <c r="D61" s="154">
        <v>65398</v>
      </c>
      <c r="E61" s="3" t="s">
        <v>825</v>
      </c>
    </row>
    <row r="62" spans="2:4" s="3" customFormat="1" ht="15.75">
      <c r="B62" s="164" t="s">
        <v>386</v>
      </c>
      <c r="C62" s="81" t="s">
        <v>223</v>
      </c>
      <c r="D62" s="154">
        <v>73668</v>
      </c>
    </row>
    <row r="63" spans="2:4" s="3" customFormat="1" ht="15.75">
      <c r="B63" s="164" t="s">
        <v>609</v>
      </c>
      <c r="C63" s="81" t="s">
        <v>223</v>
      </c>
      <c r="D63" s="154">
        <v>83744</v>
      </c>
    </row>
    <row r="64" spans="2:4" s="3" customFormat="1" ht="15.75">
      <c r="B64" s="209" t="s">
        <v>365</v>
      </c>
      <c r="C64" s="81" t="s">
        <v>223</v>
      </c>
      <c r="D64" s="154">
        <v>194464</v>
      </c>
    </row>
    <row r="65" spans="2:4" s="260" customFormat="1" ht="31.5">
      <c r="B65" s="255" t="s">
        <v>687</v>
      </c>
      <c r="C65" s="256" t="s">
        <v>223</v>
      </c>
      <c r="D65" s="257">
        <f>SUM(D53:D64)</f>
        <v>612676</v>
      </c>
    </row>
    <row r="66" spans="2:5" ht="15.75">
      <c r="B66" s="164" t="s">
        <v>387</v>
      </c>
      <c r="C66" s="81" t="s">
        <v>225</v>
      </c>
      <c r="D66" s="154">
        <v>13093</v>
      </c>
      <c r="E66" s="4" t="s">
        <v>548</v>
      </c>
    </row>
    <row r="67" spans="2:4" s="260" customFormat="1" ht="31.5">
      <c r="B67" s="255" t="s">
        <v>530</v>
      </c>
      <c r="C67" s="256" t="s">
        <v>225</v>
      </c>
      <c r="D67" s="257">
        <f>SUM(D66:D66)</f>
        <v>13093</v>
      </c>
    </row>
    <row r="68" spans="2:4" ht="15.75">
      <c r="B68" s="164"/>
      <c r="C68" s="81" t="s">
        <v>227</v>
      </c>
      <c r="D68" s="154">
        <v>0</v>
      </c>
    </row>
    <row r="69" spans="2:4" s="258" customFormat="1" ht="15.75">
      <c r="B69" s="255" t="s">
        <v>528</v>
      </c>
      <c r="C69" s="256" t="s">
        <v>227</v>
      </c>
      <c r="D69" s="257">
        <f>+D68</f>
        <v>0</v>
      </c>
    </row>
    <row r="70" spans="2:4" s="246" customFormat="1" ht="15.75">
      <c r="B70" s="319"/>
      <c r="C70" s="81" t="s">
        <v>229</v>
      </c>
      <c r="D70" s="320"/>
    </row>
    <row r="71" spans="2:5" ht="15.75">
      <c r="B71" s="164" t="s">
        <v>415</v>
      </c>
      <c r="C71" s="81" t="s">
        <v>229</v>
      </c>
      <c r="D71" s="154">
        <f>249684-5122+4838+684-4594+2477</f>
        <v>247967</v>
      </c>
      <c r="E71" s="154">
        <f>249684-5122+4838+684</f>
        <v>250084</v>
      </c>
    </row>
    <row r="72" spans="2:4" s="258" customFormat="1" ht="15.75">
      <c r="B72" s="255" t="s">
        <v>529</v>
      </c>
      <c r="C72" s="256" t="s">
        <v>229</v>
      </c>
      <c r="D72" s="257">
        <f>SUM(D70:D71)</f>
        <v>247967</v>
      </c>
    </row>
    <row r="73" spans="2:4" s="260" customFormat="1" ht="15.75">
      <c r="B73" s="259" t="s">
        <v>809</v>
      </c>
      <c r="C73" s="259" t="s">
        <v>230</v>
      </c>
      <c r="D73" s="262">
        <f>+D72+D69+D67+D65+D52+D48</f>
        <v>1273617</v>
      </c>
    </row>
    <row r="74" ht="15.75">
      <c r="D74" s="165"/>
    </row>
    <row r="75" ht="15.75">
      <c r="D75" s="141"/>
    </row>
    <row r="76" ht="15.75">
      <c r="D76" s="141"/>
    </row>
    <row r="77" ht="15.75">
      <c r="D77" s="141"/>
    </row>
    <row r="78" ht="15.75">
      <c r="D78" s="141"/>
    </row>
    <row r="79" ht="15.75">
      <c r="D79" s="141"/>
    </row>
    <row r="80" ht="15.75">
      <c r="D80" s="141"/>
    </row>
    <row r="81" ht="15.75">
      <c r="D81" s="141"/>
    </row>
    <row r="82" ht="15.75">
      <c r="D82" s="141"/>
    </row>
    <row r="83" ht="15.75">
      <c r="D83" s="141"/>
    </row>
    <row r="84" ht="15.75">
      <c r="D84" s="141"/>
    </row>
    <row r="85" ht="15.75">
      <c r="D85" s="141"/>
    </row>
  </sheetData>
  <sheetProtection/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93" r:id="rId1"/>
  <headerFooter alignWithMargins="0">
    <oddFooter>&amp;R&amp;P</oddFooter>
  </headerFooter>
  <rowBreaks count="1" manualBreakCount="1">
    <brk id="37" min="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H85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9.140625" style="4" customWidth="1"/>
    <col min="2" max="2" width="85.7109375" style="4" customWidth="1"/>
    <col min="3" max="3" width="9.140625" style="4" customWidth="1"/>
    <col min="4" max="4" width="12.28125" style="141" customWidth="1"/>
    <col min="5" max="5" width="13.57421875" style="141" customWidth="1"/>
    <col min="6" max="16384" width="9.140625" style="4" customWidth="1"/>
  </cols>
  <sheetData>
    <row r="1" ht="15.75">
      <c r="E1" s="71" t="s">
        <v>9</v>
      </c>
    </row>
    <row r="2" ht="15.75">
      <c r="E2" s="144" t="s">
        <v>68</v>
      </c>
    </row>
    <row r="3" ht="15.75">
      <c r="E3" s="71"/>
    </row>
    <row r="4" spans="2:4" ht="27" customHeight="1">
      <c r="B4" s="32" t="s">
        <v>757</v>
      </c>
      <c r="C4" s="101"/>
      <c r="D4" s="101"/>
    </row>
    <row r="5" spans="2:4" ht="15.75">
      <c r="B5" s="85"/>
      <c r="C5" s="97"/>
      <c r="D5" s="97"/>
    </row>
    <row r="6" spans="2:4" ht="15.75">
      <c r="B6" s="394" t="s">
        <v>569</v>
      </c>
      <c r="C6" s="395"/>
      <c r="D6" s="395"/>
    </row>
    <row r="7" spans="2:4" ht="15.75" customHeight="1">
      <c r="B7" s="84"/>
      <c r="C7" s="97"/>
      <c r="D7" s="166"/>
    </row>
    <row r="8" ht="21" customHeight="1"/>
    <row r="9" spans="2:5" ht="31.5">
      <c r="B9" s="72" t="s">
        <v>76</v>
      </c>
      <c r="C9" s="79" t="s">
        <v>77</v>
      </c>
      <c r="D9" s="135" t="s">
        <v>388</v>
      </c>
      <c r="E9" s="135" t="s">
        <v>389</v>
      </c>
    </row>
    <row r="10" spans="2:5" ht="15.75">
      <c r="B10" s="80"/>
      <c r="C10" s="81"/>
      <c r="D10" s="92"/>
      <c r="E10" s="92"/>
    </row>
    <row r="11" spans="2:5" ht="15.75">
      <c r="B11" s="80"/>
      <c r="C11" s="81"/>
      <c r="D11" s="92"/>
      <c r="E11" s="92"/>
    </row>
    <row r="12" spans="2:5" s="260" customFormat="1" ht="31.5">
      <c r="B12" s="255" t="s">
        <v>709</v>
      </c>
      <c r="C12" s="256" t="s">
        <v>234</v>
      </c>
      <c r="D12" s="262">
        <f>SUM(D10:D11)</f>
        <v>0</v>
      </c>
      <c r="E12" s="262">
        <f>SUM(E10:E11)</f>
        <v>0</v>
      </c>
    </row>
    <row r="13" spans="2:5" ht="15.75">
      <c r="B13" s="80"/>
      <c r="C13" s="81"/>
      <c r="D13" s="92"/>
      <c r="E13" s="92"/>
    </row>
    <row r="14" spans="2:5" ht="15.75">
      <c r="B14" s="80"/>
      <c r="C14" s="81"/>
      <c r="D14" s="92"/>
      <c r="E14" s="92"/>
    </row>
    <row r="15" spans="2:5" s="260" customFormat="1" ht="31.5">
      <c r="B15" s="255" t="s">
        <v>708</v>
      </c>
      <c r="C15" s="256" t="s">
        <v>235</v>
      </c>
      <c r="D15" s="262">
        <f>SUM(D13:D14)</f>
        <v>0</v>
      </c>
      <c r="E15" s="262">
        <f>SUM(E13:E14)</f>
        <v>0</v>
      </c>
    </row>
    <row r="16" spans="2:5" ht="15.75">
      <c r="B16" s="90"/>
      <c r="C16" s="83"/>
      <c r="D16" s="93"/>
      <c r="E16" s="92"/>
    </row>
    <row r="17" spans="2:6" ht="15.75">
      <c r="B17" s="167" t="s">
        <v>745</v>
      </c>
      <c r="C17" s="160" t="s">
        <v>713</v>
      </c>
      <c r="D17" s="92"/>
      <c r="E17" s="92">
        <v>21914</v>
      </c>
      <c r="F17" s="168"/>
    </row>
    <row r="18" spans="2:6" s="260" customFormat="1" ht="15.75">
      <c r="B18" s="263" t="s">
        <v>704</v>
      </c>
      <c r="C18" s="266" t="s">
        <v>713</v>
      </c>
      <c r="D18" s="264">
        <f>SUM(D16:D17)</f>
        <v>0</v>
      </c>
      <c r="E18" s="264">
        <f>SUM(E16:E17)</f>
        <v>21914</v>
      </c>
      <c r="F18" s="265"/>
    </row>
    <row r="19" spans="2:6" ht="15.75">
      <c r="B19" s="190"/>
      <c r="C19" s="83"/>
      <c r="D19" s="173"/>
      <c r="E19" s="173"/>
      <c r="F19" s="168"/>
    </row>
    <row r="20" spans="2:6" ht="15.75">
      <c r="B20" s="169" t="s">
        <v>740</v>
      </c>
      <c r="C20" s="160" t="s">
        <v>714</v>
      </c>
      <c r="D20" s="92">
        <f>1467+3508</f>
        <v>4975</v>
      </c>
      <c r="E20" s="92"/>
      <c r="F20" s="4" t="s">
        <v>824</v>
      </c>
    </row>
    <row r="21" spans="2:6" ht="15.75">
      <c r="B21" s="170" t="s">
        <v>2</v>
      </c>
      <c r="C21" s="160" t="s">
        <v>714</v>
      </c>
      <c r="D21" s="92">
        <v>2903</v>
      </c>
      <c r="E21" s="92"/>
      <c r="F21" s="3" t="s">
        <v>825</v>
      </c>
    </row>
    <row r="22" spans="2:6" ht="15.75">
      <c r="B22" s="169" t="s">
        <v>0</v>
      </c>
      <c r="C22" s="160" t="s">
        <v>714</v>
      </c>
      <c r="D22" s="92">
        <v>3000</v>
      </c>
      <c r="E22" s="92"/>
      <c r="F22" s="3" t="s">
        <v>825</v>
      </c>
    </row>
    <row r="23" spans="2:6" ht="15.75">
      <c r="B23" s="169" t="s">
        <v>1</v>
      </c>
      <c r="C23" s="160" t="s">
        <v>714</v>
      </c>
      <c r="D23" s="92"/>
      <c r="E23" s="92">
        <v>8000</v>
      </c>
      <c r="F23" s="3" t="s">
        <v>825</v>
      </c>
    </row>
    <row r="24" spans="2:6" s="260" customFormat="1" ht="15.75">
      <c r="B24" s="263" t="s">
        <v>531</v>
      </c>
      <c r="C24" s="266" t="s">
        <v>714</v>
      </c>
      <c r="D24" s="264">
        <f>SUM(D20:D23)</f>
        <v>10878</v>
      </c>
      <c r="E24" s="264">
        <f>SUM(E20:E23)</f>
        <v>8000</v>
      </c>
      <c r="F24" s="258"/>
    </row>
    <row r="25" spans="2:5" s="260" customFormat="1" ht="15.75">
      <c r="B25" s="255" t="s">
        <v>707</v>
      </c>
      <c r="C25" s="256" t="s">
        <v>236</v>
      </c>
      <c r="D25" s="262">
        <f>+D24+D18</f>
        <v>10878</v>
      </c>
      <c r="E25" s="262">
        <f>+E24+E18</f>
        <v>29914</v>
      </c>
    </row>
    <row r="26" spans="2:5" ht="13.5" customHeight="1">
      <c r="B26" s="80"/>
      <c r="C26" s="81"/>
      <c r="D26" s="92"/>
      <c r="E26" s="92"/>
    </row>
    <row r="27" spans="2:5" ht="13.5" customHeight="1">
      <c r="B27" s="167"/>
      <c r="C27" s="81" t="s">
        <v>420</v>
      </c>
      <c r="D27" s="92"/>
      <c r="E27" s="320"/>
    </row>
    <row r="28" spans="2:5" s="260" customFormat="1" ht="15.75">
      <c r="B28" s="255" t="s">
        <v>421</v>
      </c>
      <c r="C28" s="256" t="s">
        <v>420</v>
      </c>
      <c r="D28" s="262">
        <f>SUM(D26:D27)</f>
        <v>0</v>
      </c>
      <c r="E28" s="262">
        <f>SUM(E26:E27)</f>
        <v>0</v>
      </c>
    </row>
    <row r="29" spans="2:5" ht="13.5" customHeight="1">
      <c r="B29" s="80"/>
      <c r="C29" s="81"/>
      <c r="D29" s="92"/>
      <c r="E29" s="92"/>
    </row>
    <row r="30" spans="2:5" ht="15.75">
      <c r="B30" s="80"/>
      <c r="C30" s="81"/>
      <c r="D30" s="92"/>
      <c r="E30" s="92"/>
    </row>
    <row r="31" spans="2:5" s="260" customFormat="1" ht="31.5">
      <c r="B31" s="255" t="s">
        <v>706</v>
      </c>
      <c r="C31" s="256" t="s">
        <v>239</v>
      </c>
      <c r="D31" s="262">
        <f>SUM(D29:D30)</f>
        <v>0</v>
      </c>
      <c r="E31" s="262">
        <f>SUM(E29:E30)</f>
        <v>0</v>
      </c>
    </row>
    <row r="32" spans="2:5" ht="15.75">
      <c r="B32" s="80"/>
      <c r="C32" s="81"/>
      <c r="D32" s="92"/>
      <c r="E32" s="92"/>
    </row>
    <row r="33" spans="2:5" ht="15.75">
      <c r="B33" s="80"/>
      <c r="C33" s="81"/>
      <c r="D33" s="92"/>
      <c r="E33" s="92"/>
    </row>
    <row r="34" spans="2:5" s="260" customFormat="1" ht="31.5">
      <c r="B34" s="255" t="s">
        <v>705</v>
      </c>
      <c r="C34" s="256" t="s">
        <v>240</v>
      </c>
      <c r="D34" s="262">
        <f>SUM(D32:D33)</f>
        <v>0</v>
      </c>
      <c r="E34" s="262">
        <f>SUM(E32:E33)</f>
        <v>0</v>
      </c>
    </row>
    <row r="35" spans="2:5" ht="15.75">
      <c r="B35" s="90"/>
      <c r="C35" s="83"/>
      <c r="D35" s="92"/>
      <c r="E35" s="92"/>
    </row>
    <row r="36" spans="2:5" ht="15.75">
      <c r="B36" s="170" t="s">
        <v>419</v>
      </c>
      <c r="C36" s="160" t="s">
        <v>712</v>
      </c>
      <c r="D36" s="92">
        <v>7000</v>
      </c>
      <c r="E36" s="92"/>
    </row>
    <row r="37" spans="2:5" ht="15.75">
      <c r="B37" s="170" t="s">
        <v>418</v>
      </c>
      <c r="C37" s="160" t="s">
        <v>712</v>
      </c>
      <c r="D37" s="151">
        <v>30000</v>
      </c>
      <c r="E37" s="92"/>
    </row>
    <row r="38" spans="2:5" ht="15.75">
      <c r="B38" s="170" t="s">
        <v>107</v>
      </c>
      <c r="C38" s="160" t="s">
        <v>712</v>
      </c>
      <c r="D38" s="151">
        <v>25400</v>
      </c>
      <c r="E38" s="92"/>
    </row>
    <row r="39" spans="2:5" ht="15.75">
      <c r="B39" s="172" t="s">
        <v>106</v>
      </c>
      <c r="C39" s="160" t="s">
        <v>712</v>
      </c>
      <c r="D39" s="151"/>
      <c r="E39" s="151">
        <v>4995</v>
      </c>
    </row>
    <row r="40" spans="2:5" s="260" customFormat="1" ht="15.75">
      <c r="B40" s="263" t="s">
        <v>417</v>
      </c>
      <c r="C40" s="266" t="s">
        <v>712</v>
      </c>
      <c r="D40" s="264">
        <f>SUM(D35:D39)</f>
        <v>62400</v>
      </c>
      <c r="E40" s="264">
        <f>SUM(E35:E39)</f>
        <v>4995</v>
      </c>
    </row>
    <row r="41" spans="2:5" ht="15.75">
      <c r="B41" s="90"/>
      <c r="C41" s="83"/>
      <c r="D41" s="92"/>
      <c r="E41" s="92"/>
    </row>
    <row r="42" spans="2:5" s="86" customFormat="1" ht="15.75">
      <c r="B42" s="174" t="s">
        <v>111</v>
      </c>
      <c r="C42" s="355" t="s">
        <v>711</v>
      </c>
      <c r="D42" s="175">
        <v>37680</v>
      </c>
      <c r="E42" s="151"/>
    </row>
    <row r="43" spans="2:5" s="86" customFormat="1" ht="15.75">
      <c r="B43" s="167" t="s">
        <v>110</v>
      </c>
      <c r="C43" s="355" t="s">
        <v>711</v>
      </c>
      <c r="D43" s="151">
        <v>139995</v>
      </c>
      <c r="E43" s="151"/>
    </row>
    <row r="44" spans="2:5" s="86" customFormat="1" ht="15.75">
      <c r="B44" s="170" t="s">
        <v>355</v>
      </c>
      <c r="C44" s="355" t="s">
        <v>711</v>
      </c>
      <c r="D44" s="151">
        <v>136194</v>
      </c>
      <c r="E44" s="151"/>
    </row>
    <row r="45" spans="2:5" s="86" customFormat="1" ht="15.75">
      <c r="B45" s="170" t="s">
        <v>108</v>
      </c>
      <c r="C45" s="355" t="s">
        <v>711</v>
      </c>
      <c r="D45" s="151">
        <v>150000</v>
      </c>
      <c r="E45" s="151"/>
    </row>
    <row r="46" spans="2:5" s="260" customFormat="1" ht="15.75">
      <c r="B46" s="263" t="s">
        <v>704</v>
      </c>
      <c r="C46" s="266" t="s">
        <v>711</v>
      </c>
      <c r="D46" s="264">
        <f>SUM(D41:D45)</f>
        <v>463869</v>
      </c>
      <c r="E46" s="264">
        <f>SUM(E41:E45)</f>
        <v>0</v>
      </c>
    </row>
    <row r="47" spans="2:5" s="260" customFormat="1" ht="15.75">
      <c r="B47" s="255" t="s">
        <v>703</v>
      </c>
      <c r="C47" s="256" t="s">
        <v>241</v>
      </c>
      <c r="D47" s="262">
        <f>+D46+D40</f>
        <v>526269</v>
      </c>
      <c r="E47" s="262">
        <f>+E46+E40</f>
        <v>4995</v>
      </c>
    </row>
    <row r="48" spans="2:5" ht="15.75">
      <c r="B48" s="80"/>
      <c r="C48" s="82"/>
      <c r="D48" s="92"/>
      <c r="E48" s="92"/>
    </row>
    <row r="49" spans="2:5" ht="15.75">
      <c r="B49" s="80"/>
      <c r="C49" s="82"/>
      <c r="D49" s="92"/>
      <c r="E49" s="92"/>
    </row>
    <row r="50" spans="2:5" s="260" customFormat="1" ht="31.5">
      <c r="B50" s="255" t="s">
        <v>702</v>
      </c>
      <c r="C50" s="256" t="s">
        <v>284</v>
      </c>
      <c r="D50" s="262">
        <f>SUM(D48:D49)</f>
        <v>0</v>
      </c>
      <c r="E50" s="262">
        <f>SUM(E48:E49)</f>
        <v>0</v>
      </c>
    </row>
    <row r="51" spans="2:5" ht="15.75">
      <c r="B51" s="80"/>
      <c r="C51" s="82"/>
      <c r="D51" s="92"/>
      <c r="E51" s="92"/>
    </row>
    <row r="52" spans="2:5" ht="15.75">
      <c r="B52" s="80"/>
      <c r="C52" s="82"/>
      <c r="D52" s="92"/>
      <c r="E52" s="92"/>
    </row>
    <row r="53" spans="2:5" s="260" customFormat="1" ht="15.75">
      <c r="B53" s="267" t="s">
        <v>701</v>
      </c>
      <c r="C53" s="256" t="s">
        <v>285</v>
      </c>
      <c r="D53" s="262">
        <f>SUM(D51:D52)</f>
        <v>0</v>
      </c>
      <c r="E53" s="262">
        <f>SUM(E51:E52)</f>
        <v>0</v>
      </c>
    </row>
    <row r="54" spans="2:5" ht="15.75">
      <c r="B54" s="80"/>
      <c r="C54" s="82"/>
      <c r="D54" s="92"/>
      <c r="E54" s="92"/>
    </row>
    <row r="55" spans="2:5" ht="15.75">
      <c r="B55" s="80"/>
      <c r="C55" s="82"/>
      <c r="D55" s="92"/>
      <c r="E55" s="92"/>
    </row>
    <row r="56" spans="2:5" s="260" customFormat="1" ht="31.5">
      <c r="B56" s="255" t="s">
        <v>700</v>
      </c>
      <c r="C56" s="256" t="s">
        <v>288</v>
      </c>
      <c r="D56" s="262">
        <f>SUM(D54:D55)</f>
        <v>0</v>
      </c>
      <c r="E56" s="262">
        <f>SUM(E54:E55)</f>
        <v>0</v>
      </c>
    </row>
    <row r="57" spans="2:5" ht="15.75">
      <c r="B57" s="80"/>
      <c r="C57" s="82"/>
      <c r="D57" s="92"/>
      <c r="E57" s="92"/>
    </row>
    <row r="58" spans="2:5" ht="15.75">
      <c r="B58" s="80"/>
      <c r="C58" s="82"/>
      <c r="D58" s="92"/>
      <c r="E58" s="92"/>
    </row>
    <row r="59" spans="2:5" s="260" customFormat="1" ht="15.75">
      <c r="B59" s="267" t="s">
        <v>699</v>
      </c>
      <c r="C59" s="256" t="s">
        <v>289</v>
      </c>
      <c r="D59" s="262">
        <f>SUM(D57:D58)</f>
        <v>0</v>
      </c>
      <c r="E59" s="262">
        <f>SUM(E57:E58)</f>
        <v>0</v>
      </c>
    </row>
    <row r="60" spans="2:5" ht="15.75">
      <c r="B60" s="78"/>
      <c r="C60" s="83"/>
      <c r="D60" s="93"/>
      <c r="E60" s="93"/>
    </row>
    <row r="61" spans="2:5" ht="15.75">
      <c r="B61" s="170" t="s">
        <v>109</v>
      </c>
      <c r="C61" s="171" t="s">
        <v>303</v>
      </c>
      <c r="D61" s="151">
        <v>25000</v>
      </c>
      <c r="E61" s="93"/>
    </row>
    <row r="62" spans="2:5" s="260" customFormat="1" ht="15.75">
      <c r="B62" s="255" t="s">
        <v>710</v>
      </c>
      <c r="C62" s="255" t="s">
        <v>303</v>
      </c>
      <c r="D62" s="262">
        <f>SUM(D60:D61)</f>
        <v>25000</v>
      </c>
      <c r="E62" s="262">
        <f>SUM(E60:E61)</f>
        <v>0</v>
      </c>
    </row>
    <row r="64" spans="2:4" ht="15.75">
      <c r="B64" s="84"/>
      <c r="C64" s="97"/>
      <c r="D64" s="97"/>
    </row>
    <row r="65" spans="2:4" ht="15.75">
      <c r="B65" s="4" t="s">
        <v>812</v>
      </c>
      <c r="C65" s="97"/>
      <c r="D65" s="97"/>
    </row>
    <row r="66" spans="2:5" ht="31.5">
      <c r="B66" s="72" t="s">
        <v>76</v>
      </c>
      <c r="C66" s="79" t="s">
        <v>77</v>
      </c>
      <c r="D66" s="135" t="s">
        <v>388</v>
      </c>
      <c r="E66" s="135" t="s">
        <v>389</v>
      </c>
    </row>
    <row r="67" spans="2:5" ht="15.75">
      <c r="B67" s="74"/>
      <c r="C67" s="79"/>
      <c r="D67" s="135"/>
      <c r="E67" s="135"/>
    </row>
    <row r="68" spans="2:5" ht="15.75">
      <c r="B68" s="74"/>
      <c r="C68" s="79"/>
      <c r="D68" s="135"/>
      <c r="E68" s="135"/>
    </row>
    <row r="69" spans="2:5" s="258" customFormat="1" ht="15.75">
      <c r="B69" s="267" t="s">
        <v>698</v>
      </c>
      <c r="C69" s="256" t="s">
        <v>276</v>
      </c>
      <c r="D69" s="262">
        <f>SUM(D67:D68)</f>
        <v>0</v>
      </c>
      <c r="E69" s="262">
        <f>SUM(E67:E68)</f>
        <v>0</v>
      </c>
    </row>
    <row r="70" spans="2:5" ht="15.75">
      <c r="B70" s="169"/>
      <c r="C70" s="81"/>
      <c r="D70" s="92"/>
      <c r="E70" s="92"/>
    </row>
    <row r="71" spans="2:5" ht="15.75">
      <c r="B71" s="169" t="s">
        <v>566</v>
      </c>
      <c r="C71" s="160" t="s">
        <v>277</v>
      </c>
      <c r="D71" s="92">
        <f>60166-12-4838-684</f>
        <v>54632</v>
      </c>
      <c r="E71" s="200"/>
    </row>
    <row r="72" spans="2:5" ht="15.75">
      <c r="B72" s="169" t="s">
        <v>741</v>
      </c>
      <c r="C72" s="160" t="s">
        <v>277</v>
      </c>
      <c r="D72" s="200">
        <v>8000</v>
      </c>
      <c r="E72" s="200"/>
    </row>
    <row r="73" spans="2:8" ht="15.75">
      <c r="B73" s="169" t="s">
        <v>743</v>
      </c>
      <c r="C73" s="160" t="s">
        <v>277</v>
      </c>
      <c r="D73" s="176"/>
      <c r="E73" s="176">
        <f>27300-66-4838</f>
        <v>22396</v>
      </c>
      <c r="H73" s="177"/>
    </row>
    <row r="74" spans="2:5" ht="15.75">
      <c r="B74" s="169" t="s">
        <v>742</v>
      </c>
      <c r="C74" s="160" t="s">
        <v>277</v>
      </c>
      <c r="D74" s="176"/>
      <c r="E74" s="176">
        <f>6000+4838</f>
        <v>10838</v>
      </c>
    </row>
    <row r="75" spans="2:5" s="258" customFormat="1" ht="15.75">
      <c r="B75" s="267" t="s">
        <v>697</v>
      </c>
      <c r="C75" s="256" t="s">
        <v>277</v>
      </c>
      <c r="D75" s="262">
        <f>SUM(D70:D74)</f>
        <v>62632</v>
      </c>
      <c r="E75" s="262">
        <f>SUM(E70:E74)</f>
        <v>33234</v>
      </c>
    </row>
    <row r="76" spans="2:5" ht="15.75">
      <c r="B76" s="80"/>
      <c r="C76" s="81"/>
      <c r="D76" s="92"/>
      <c r="E76" s="92"/>
    </row>
    <row r="77" spans="2:5" ht="15.75">
      <c r="B77" s="80"/>
      <c r="C77" s="81"/>
      <c r="D77" s="92"/>
      <c r="E77" s="92"/>
    </row>
    <row r="78" spans="2:5" s="258" customFormat="1" ht="15.75">
      <c r="B78" s="267" t="s">
        <v>696</v>
      </c>
      <c r="C78" s="256" t="s">
        <v>279</v>
      </c>
      <c r="D78" s="262">
        <f>SUM(D76:D77)</f>
        <v>0</v>
      </c>
      <c r="E78" s="262">
        <f>SUM(E76:E77)</f>
        <v>0</v>
      </c>
    </row>
    <row r="79" spans="2:5" ht="15.75">
      <c r="B79" s="80"/>
      <c r="C79" s="81"/>
      <c r="D79" s="92"/>
      <c r="E79" s="92"/>
    </row>
    <row r="80" spans="2:5" ht="15.75">
      <c r="B80" s="80"/>
      <c r="C80" s="81"/>
      <c r="D80" s="92"/>
      <c r="E80" s="92"/>
    </row>
    <row r="81" spans="2:5" s="258" customFormat="1" ht="15.75">
      <c r="B81" s="267" t="s">
        <v>695</v>
      </c>
      <c r="C81" s="256" t="s">
        <v>280</v>
      </c>
      <c r="D81" s="262">
        <f>SUM(D79:D80)</f>
        <v>0</v>
      </c>
      <c r="E81" s="262">
        <f>SUM(E79:E80)</f>
        <v>0</v>
      </c>
    </row>
    <row r="82" spans="2:5" ht="15.75">
      <c r="B82" s="80"/>
      <c r="C82" s="81"/>
      <c r="D82" s="92"/>
      <c r="E82" s="92"/>
    </row>
    <row r="83" spans="2:5" ht="15.75">
      <c r="B83" s="80"/>
      <c r="C83" s="81"/>
      <c r="D83" s="92"/>
      <c r="E83" s="92"/>
    </row>
    <row r="84" spans="2:5" s="258" customFormat="1" ht="15.75">
      <c r="B84" s="267" t="s">
        <v>694</v>
      </c>
      <c r="C84" s="256" t="s">
        <v>282</v>
      </c>
      <c r="D84" s="262">
        <f>SUM(D82:D83)</f>
        <v>0</v>
      </c>
      <c r="E84" s="262">
        <f>SUM(E82:E83)</f>
        <v>0</v>
      </c>
    </row>
    <row r="85" spans="2:5" s="260" customFormat="1" ht="15.75">
      <c r="B85" s="255" t="s">
        <v>438</v>
      </c>
      <c r="C85" s="256" t="s">
        <v>283</v>
      </c>
      <c r="D85" s="262">
        <f>+D84+D81+D78+D75+D69</f>
        <v>62632</v>
      </c>
      <c r="E85" s="262">
        <f>+E84+E81+E78+E75+E69</f>
        <v>33234</v>
      </c>
    </row>
  </sheetData>
  <sheetProtection/>
  <mergeCells count="1">
    <mergeCell ref="B6:D6"/>
  </mergeCells>
  <printOptions horizontalCentered="1"/>
  <pageMargins left="0.7086614173228347" right="0.7086614173228347" top="0.5905511811023623" bottom="0.5511811023622047" header="0.31496062992125984" footer="0.31496062992125984"/>
  <pageSetup horizontalDpi="300" verticalDpi="300" orientation="portrait" paperSize="9" scale="67" r:id="rId1"/>
  <headerFooter alignWithMargins="0">
    <oddFooter>&amp;R&amp;P</oddFooter>
  </headerFooter>
  <rowBreaks count="1" manualBreakCount="1">
    <brk id="62" min="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K64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9.140625" style="4" customWidth="1"/>
    <col min="2" max="2" width="71.00390625" style="4" customWidth="1"/>
    <col min="3" max="3" width="9.421875" style="4" customWidth="1"/>
    <col min="4" max="4" width="12.7109375" style="141" customWidth="1"/>
    <col min="5" max="5" width="15.57421875" style="141" customWidth="1"/>
    <col min="6" max="7" width="9.140625" style="4" customWidth="1"/>
    <col min="8" max="8" width="11.28125" style="201" bestFit="1" customWidth="1"/>
    <col min="9" max="9" width="9.28125" style="201" bestFit="1" customWidth="1"/>
    <col min="10" max="10" width="11.28125" style="201" bestFit="1" customWidth="1"/>
    <col min="11" max="11" width="9.28125" style="201" bestFit="1" customWidth="1"/>
    <col min="12" max="16384" width="9.140625" style="4" customWidth="1"/>
  </cols>
  <sheetData>
    <row r="1" ht="15.75">
      <c r="E1" s="144" t="s">
        <v>10</v>
      </c>
    </row>
    <row r="2" ht="15.75">
      <c r="E2" s="144" t="s">
        <v>68</v>
      </c>
    </row>
    <row r="3" ht="15.75">
      <c r="E3" s="144"/>
    </row>
    <row r="4" spans="2:5" ht="21.75" customHeight="1">
      <c r="B4" s="32" t="s">
        <v>757</v>
      </c>
      <c r="C4" s="101"/>
      <c r="D4" s="101"/>
      <c r="E4" s="101"/>
    </row>
    <row r="5" spans="2:5" ht="18.75">
      <c r="B5" s="32"/>
      <c r="C5" s="101"/>
      <c r="D5" s="101"/>
      <c r="E5" s="101"/>
    </row>
    <row r="6" spans="2:5" ht="15.75">
      <c r="B6" s="186" t="s">
        <v>3</v>
      </c>
      <c r="C6" s="187"/>
      <c r="D6" s="187"/>
      <c r="E6" s="187"/>
    </row>
    <row r="7" spans="2:5" ht="15.75">
      <c r="B7" s="132"/>
      <c r="C7" s="132"/>
      <c r="D7" s="133"/>
      <c r="E7" s="133"/>
    </row>
    <row r="8" spans="2:10" ht="31.5">
      <c r="B8" s="72" t="s">
        <v>76</v>
      </c>
      <c r="C8" s="79" t="s">
        <v>77</v>
      </c>
      <c r="D8" s="135" t="s">
        <v>388</v>
      </c>
      <c r="E8" s="135" t="s">
        <v>389</v>
      </c>
      <c r="H8" s="201" t="s">
        <v>606</v>
      </c>
      <c r="J8" s="201" t="s">
        <v>607</v>
      </c>
    </row>
    <row r="9" spans="2:5" ht="15.75">
      <c r="B9" s="73"/>
      <c r="C9" s="73"/>
      <c r="D9" s="92"/>
      <c r="E9" s="92"/>
    </row>
    <row r="10" spans="2:11" ht="15.75">
      <c r="B10" s="167" t="s">
        <v>745</v>
      </c>
      <c r="C10" s="73"/>
      <c r="D10" s="92"/>
      <c r="E10" s="151">
        <v>1500</v>
      </c>
      <c r="H10" s="202">
        <v>0</v>
      </c>
      <c r="I10" s="202">
        <v>1500</v>
      </c>
      <c r="J10" s="201">
        <v>0</v>
      </c>
      <c r="K10" s="201">
        <v>405</v>
      </c>
    </row>
    <row r="11" spans="2:11" s="258" customFormat="1" ht="15.75">
      <c r="B11" s="267" t="s">
        <v>686</v>
      </c>
      <c r="C11" s="256" t="s">
        <v>146</v>
      </c>
      <c r="D11" s="262">
        <f>SUM(D9:D10)</f>
        <v>0</v>
      </c>
      <c r="E11" s="262">
        <f>SUM(E9:E10)</f>
        <v>1500</v>
      </c>
      <c r="H11" s="286"/>
      <c r="I11" s="286"/>
      <c r="J11" s="286"/>
      <c r="K11" s="286"/>
    </row>
    <row r="12" spans="2:5" ht="15.75">
      <c r="B12" s="80"/>
      <c r="C12" s="81"/>
      <c r="D12" s="92"/>
      <c r="E12" s="92"/>
    </row>
    <row r="13" spans="2:11" ht="15.75">
      <c r="B13" s="99" t="s">
        <v>800</v>
      </c>
      <c r="C13" s="81" t="s">
        <v>147</v>
      </c>
      <c r="D13" s="151">
        <v>10866</v>
      </c>
      <c r="E13" s="92"/>
      <c r="H13" s="202">
        <v>10866.141732283464</v>
      </c>
      <c r="I13" s="202">
        <v>0</v>
      </c>
      <c r="J13" s="201">
        <v>2933.858267716536</v>
      </c>
      <c r="K13" s="201">
        <v>0</v>
      </c>
    </row>
    <row r="14" spans="2:11" s="258" customFormat="1" ht="15.75">
      <c r="B14" s="267" t="s">
        <v>685</v>
      </c>
      <c r="C14" s="256" t="s">
        <v>147</v>
      </c>
      <c r="D14" s="262">
        <f>SUM(D12:D13)</f>
        <v>10866</v>
      </c>
      <c r="E14" s="262">
        <f>SUM(E12:E13)</f>
        <v>0</v>
      </c>
      <c r="H14" s="286"/>
      <c r="I14" s="286"/>
      <c r="J14" s="286"/>
      <c r="K14" s="286"/>
    </row>
    <row r="15" spans="2:5" ht="15.75">
      <c r="B15" s="80"/>
      <c r="C15" s="81"/>
      <c r="D15" s="92"/>
      <c r="E15" s="92"/>
    </row>
    <row r="16" spans="2:5" ht="15.75">
      <c r="B16" s="80"/>
      <c r="C16" s="81"/>
      <c r="D16" s="92"/>
      <c r="E16" s="92"/>
    </row>
    <row r="17" spans="2:11" s="258" customFormat="1" ht="15.75">
      <c r="B17" s="255" t="s">
        <v>684</v>
      </c>
      <c r="C17" s="256" t="s">
        <v>149</v>
      </c>
      <c r="D17" s="262">
        <f>SUM(D15:D16)</f>
        <v>0</v>
      </c>
      <c r="E17" s="262">
        <f>SUM(E15:E16)</f>
        <v>0</v>
      </c>
      <c r="H17" s="286"/>
      <c r="I17" s="286"/>
      <c r="J17" s="286"/>
      <c r="K17" s="286"/>
    </row>
    <row r="18" spans="2:5" ht="15.75">
      <c r="B18" s="82"/>
      <c r="C18" s="81"/>
      <c r="D18" s="92"/>
      <c r="E18" s="92"/>
    </row>
    <row r="19" spans="2:11" ht="15.75">
      <c r="B19" s="167" t="s">
        <v>588</v>
      </c>
      <c r="C19" s="81" t="s">
        <v>151</v>
      </c>
      <c r="D19" s="92"/>
      <c r="E19" s="151">
        <v>3937</v>
      </c>
      <c r="H19" s="202">
        <v>0</v>
      </c>
      <c r="I19" s="202">
        <v>3937.007874015748</v>
      </c>
      <c r="J19" s="201">
        <v>0</v>
      </c>
      <c r="K19" s="201">
        <v>1062.9921259842522</v>
      </c>
    </row>
    <row r="20" spans="2:11" s="258" customFormat="1" ht="15.75">
      <c r="B20" s="267" t="s">
        <v>683</v>
      </c>
      <c r="C20" s="256" t="s">
        <v>151</v>
      </c>
      <c r="D20" s="262">
        <f>SUM(D18:D19)</f>
        <v>0</v>
      </c>
      <c r="E20" s="262">
        <f>SUM(E18:E19)</f>
        <v>3937</v>
      </c>
      <c r="H20" s="286"/>
      <c r="I20" s="286"/>
      <c r="J20" s="286"/>
      <c r="K20" s="286"/>
    </row>
    <row r="21" spans="2:5" ht="15.75">
      <c r="B21" s="80"/>
      <c r="C21" s="81"/>
      <c r="D21" s="92"/>
      <c r="E21" s="92"/>
    </row>
    <row r="22" spans="2:5" ht="15.75">
      <c r="B22" s="80"/>
      <c r="C22" s="81"/>
      <c r="D22" s="92"/>
      <c r="E22" s="92"/>
    </row>
    <row r="23" spans="2:11" s="258" customFormat="1" ht="15.75">
      <c r="B23" s="267" t="s">
        <v>682</v>
      </c>
      <c r="C23" s="256" t="s">
        <v>153</v>
      </c>
      <c r="D23" s="262">
        <f>SUM(D21:D22)</f>
        <v>0</v>
      </c>
      <c r="E23" s="262">
        <f>SUM(E21:E22)</f>
        <v>0</v>
      </c>
      <c r="H23" s="286"/>
      <c r="I23" s="286"/>
      <c r="J23" s="286"/>
      <c r="K23" s="286"/>
    </row>
    <row r="24" spans="2:5" ht="15.75">
      <c r="B24" s="80"/>
      <c r="C24" s="81"/>
      <c r="D24" s="92"/>
      <c r="E24" s="92"/>
    </row>
    <row r="25" spans="2:5" ht="15.75">
      <c r="B25" s="80"/>
      <c r="C25" s="81"/>
      <c r="D25" s="92"/>
      <c r="E25" s="92"/>
    </row>
    <row r="26" spans="2:11" s="258" customFormat="1" ht="15.75">
      <c r="B26" s="255" t="s">
        <v>681</v>
      </c>
      <c r="C26" s="256" t="s">
        <v>155</v>
      </c>
      <c r="D26" s="262">
        <f>SUM(D24:D25)</f>
        <v>0</v>
      </c>
      <c r="E26" s="262">
        <f>SUM(E24:E25)</f>
        <v>0</v>
      </c>
      <c r="H26" s="286"/>
      <c r="I26" s="286"/>
      <c r="J26" s="286"/>
      <c r="K26" s="286"/>
    </row>
    <row r="27" spans="2:5" ht="15.75">
      <c r="B27" s="82"/>
      <c r="C27" s="81"/>
      <c r="D27" s="92"/>
      <c r="E27" s="92"/>
    </row>
    <row r="28" spans="2:5" ht="15.75">
      <c r="B28" s="167" t="s">
        <v>745</v>
      </c>
      <c r="C28" s="81" t="s">
        <v>157</v>
      </c>
      <c r="D28" s="151"/>
      <c r="E28" s="151">
        <v>405</v>
      </c>
    </row>
    <row r="29" spans="2:5" ht="15.75">
      <c r="B29" s="99" t="s">
        <v>800</v>
      </c>
      <c r="C29" s="81" t="s">
        <v>157</v>
      </c>
      <c r="D29" s="151">
        <v>2934</v>
      </c>
      <c r="E29" s="151"/>
    </row>
    <row r="30" spans="2:5" ht="15.75">
      <c r="B30" s="167" t="s">
        <v>588</v>
      </c>
      <c r="C30" s="81" t="s">
        <v>157</v>
      </c>
      <c r="D30" s="151"/>
      <c r="E30" s="151">
        <v>1063</v>
      </c>
    </row>
    <row r="31" spans="2:11" s="258" customFormat="1" ht="15.75">
      <c r="B31" s="255" t="s">
        <v>680</v>
      </c>
      <c r="C31" s="256" t="s">
        <v>157</v>
      </c>
      <c r="D31" s="262">
        <f>SUM(D27:D30)</f>
        <v>2934</v>
      </c>
      <c r="E31" s="262">
        <f>SUM(E27:E30)</f>
        <v>1468</v>
      </c>
      <c r="H31" s="286"/>
      <c r="I31" s="286"/>
      <c r="J31" s="286"/>
      <c r="K31" s="286"/>
    </row>
    <row r="32" spans="2:11" s="260" customFormat="1" ht="15.75">
      <c r="B32" s="269" t="s">
        <v>715</v>
      </c>
      <c r="C32" s="270" t="s">
        <v>158</v>
      </c>
      <c r="D32" s="262">
        <f>+D31+D26+D23+D20+D17+D14+D11</f>
        <v>13800</v>
      </c>
      <c r="E32" s="262">
        <f>+E31+E26+E23+E20+E17+E14+E11</f>
        <v>6905</v>
      </c>
      <c r="H32" s="268"/>
      <c r="I32" s="268"/>
      <c r="J32" s="268"/>
      <c r="K32" s="268"/>
    </row>
    <row r="33" spans="2:11" s="180" customFormat="1" ht="15.75">
      <c r="B33" s="170"/>
      <c r="C33" s="178"/>
      <c r="D33" s="179"/>
      <c r="E33" s="179"/>
      <c r="H33" s="202"/>
      <c r="I33" s="202"/>
      <c r="J33" s="202"/>
      <c r="K33" s="202"/>
    </row>
    <row r="34" spans="2:11" s="180" customFormat="1" ht="15.75">
      <c r="B34" s="170" t="s">
        <v>419</v>
      </c>
      <c r="C34" s="356" t="s">
        <v>160</v>
      </c>
      <c r="D34" s="179">
        <v>7874</v>
      </c>
      <c r="E34" s="179"/>
      <c r="H34" s="202"/>
      <c r="I34" s="202"/>
      <c r="J34" s="202"/>
      <c r="K34" s="202"/>
    </row>
    <row r="35" spans="2:11" s="180" customFormat="1" ht="15.75">
      <c r="B35" s="170" t="s">
        <v>418</v>
      </c>
      <c r="C35" s="356" t="s">
        <v>160</v>
      </c>
      <c r="D35" s="151">
        <v>26246</v>
      </c>
      <c r="E35" s="179"/>
      <c r="H35" s="202"/>
      <c r="I35" s="202"/>
      <c r="J35" s="202"/>
      <c r="K35" s="202"/>
    </row>
    <row r="36" spans="2:11" s="180" customFormat="1" ht="15.75">
      <c r="B36" s="174" t="s">
        <v>111</v>
      </c>
      <c r="C36" s="356" t="s">
        <v>160</v>
      </c>
      <c r="D36" s="175">
        <v>29670</v>
      </c>
      <c r="E36" s="179"/>
      <c r="H36" s="202">
        <v>29669.291338582676</v>
      </c>
      <c r="I36" s="202">
        <v>0</v>
      </c>
      <c r="J36" s="201">
        <v>8010.708661417324</v>
      </c>
      <c r="K36" s="201">
        <v>0</v>
      </c>
    </row>
    <row r="37" spans="2:11" ht="15.75">
      <c r="B37" s="170" t="s">
        <v>109</v>
      </c>
      <c r="C37" s="356" t="s">
        <v>160</v>
      </c>
      <c r="D37" s="151">
        <v>26246</v>
      </c>
      <c r="E37" s="92"/>
      <c r="H37" s="202">
        <v>26246.456692913387</v>
      </c>
      <c r="I37" s="202">
        <v>0</v>
      </c>
      <c r="J37" s="201">
        <v>7086.543307086613</v>
      </c>
      <c r="K37" s="201">
        <v>0</v>
      </c>
    </row>
    <row r="38" spans="2:9" ht="15.75">
      <c r="B38" s="170" t="s">
        <v>464</v>
      </c>
      <c r="C38" s="356" t="s">
        <v>160</v>
      </c>
      <c r="D38" s="151">
        <v>20000</v>
      </c>
      <c r="E38" s="92"/>
      <c r="H38" s="202"/>
      <c r="I38" s="202"/>
    </row>
    <row r="39" spans="2:11" ht="15.75">
      <c r="B39" s="170" t="s">
        <v>108</v>
      </c>
      <c r="C39" s="356" t="s">
        <v>160</v>
      </c>
      <c r="D39" s="151">
        <f>118110</f>
        <v>118110</v>
      </c>
      <c r="E39" s="92"/>
      <c r="H39" s="202">
        <v>118110.23622047243</v>
      </c>
      <c r="I39" s="202">
        <v>0</v>
      </c>
      <c r="J39" s="201">
        <v>31889.763779527566</v>
      </c>
      <c r="K39" s="201">
        <v>0</v>
      </c>
    </row>
    <row r="40" spans="2:11" ht="15.75">
      <c r="B40" s="170" t="s">
        <v>107</v>
      </c>
      <c r="C40" s="356" t="s">
        <v>160</v>
      </c>
      <c r="D40" s="151">
        <v>20000</v>
      </c>
      <c r="E40" s="92"/>
      <c r="H40" s="202">
        <v>20000</v>
      </c>
      <c r="I40" s="202">
        <v>0</v>
      </c>
      <c r="J40" s="201">
        <v>5400</v>
      </c>
      <c r="K40" s="201">
        <v>0</v>
      </c>
    </row>
    <row r="41" spans="2:11" s="258" customFormat="1" ht="15.75">
      <c r="B41" s="267" t="s">
        <v>679</v>
      </c>
      <c r="C41" s="256" t="s">
        <v>160</v>
      </c>
      <c r="D41" s="262">
        <f>SUM(D33:D40)</f>
        <v>248146</v>
      </c>
      <c r="E41" s="262">
        <f>SUM(E37:E40)</f>
        <v>0</v>
      </c>
      <c r="H41" s="286"/>
      <c r="I41" s="286"/>
      <c r="J41" s="286"/>
      <c r="K41" s="286"/>
    </row>
    <row r="42" spans="2:5" ht="15.75">
      <c r="B42" s="80"/>
      <c r="C42" s="81"/>
      <c r="D42" s="92"/>
      <c r="E42" s="92"/>
    </row>
    <row r="43" spans="2:5" ht="15.75">
      <c r="B43" s="80"/>
      <c r="C43" s="81"/>
      <c r="D43" s="92"/>
      <c r="E43" s="92"/>
    </row>
    <row r="44" spans="2:11" s="258" customFormat="1" ht="15.75">
      <c r="B44" s="267" t="s">
        <v>678</v>
      </c>
      <c r="C44" s="256" t="s">
        <v>162</v>
      </c>
      <c r="D44" s="262">
        <f>SUM(D42:D43)</f>
        <v>0</v>
      </c>
      <c r="E44" s="262">
        <f>SUM(E42:E43)</f>
        <v>0</v>
      </c>
      <c r="H44" s="286"/>
      <c r="I44" s="286"/>
      <c r="J44" s="286"/>
      <c r="K44" s="286"/>
    </row>
    <row r="45" spans="2:5" ht="15.75">
      <c r="B45" s="80"/>
      <c r="C45" s="81"/>
      <c r="D45" s="92"/>
      <c r="E45" s="92"/>
    </row>
    <row r="46" spans="2:5" ht="15.75">
      <c r="B46" s="80"/>
      <c r="C46" s="81"/>
      <c r="D46" s="92"/>
      <c r="E46" s="92"/>
    </row>
    <row r="47" spans="2:11" ht="15.75">
      <c r="B47" s="167" t="s">
        <v>110</v>
      </c>
      <c r="C47" s="81" t="s">
        <v>164</v>
      </c>
      <c r="D47" s="151">
        <v>129685</v>
      </c>
      <c r="E47" s="151"/>
      <c r="H47" s="202">
        <v>129685.03937007874</v>
      </c>
      <c r="I47" s="202">
        <v>0</v>
      </c>
      <c r="J47" s="201">
        <v>35014.96062992126</v>
      </c>
      <c r="K47" s="201">
        <v>0</v>
      </c>
    </row>
    <row r="48" spans="2:11" ht="15.75">
      <c r="B48" s="172" t="s">
        <v>106</v>
      </c>
      <c r="C48" s="81" t="s">
        <v>164</v>
      </c>
      <c r="D48" s="151"/>
      <c r="E48" s="151">
        <v>4370</v>
      </c>
      <c r="H48" s="202">
        <v>0</v>
      </c>
      <c r="I48" s="202">
        <v>3937.007874015748</v>
      </c>
      <c r="J48" s="201">
        <v>0</v>
      </c>
      <c r="K48" s="201">
        <v>1062.9921259842522</v>
      </c>
    </row>
    <row r="49" spans="2:11" s="258" customFormat="1" ht="15.75">
      <c r="B49" s="267" t="s">
        <v>677</v>
      </c>
      <c r="C49" s="256" t="s">
        <v>164</v>
      </c>
      <c r="D49" s="262">
        <f>SUM(D45:D48)</f>
        <v>129685</v>
      </c>
      <c r="E49" s="262">
        <f>SUM(E45:E48)</f>
        <v>4370</v>
      </c>
      <c r="H49" s="286"/>
      <c r="I49" s="286"/>
      <c r="J49" s="286"/>
      <c r="K49" s="286"/>
    </row>
    <row r="50" spans="2:5" ht="15.75">
      <c r="B50" s="80"/>
      <c r="C50" s="81"/>
      <c r="D50" s="92"/>
      <c r="E50" s="92"/>
    </row>
    <row r="51" spans="2:5" ht="15.75">
      <c r="B51" s="170" t="s">
        <v>456</v>
      </c>
      <c r="C51" s="81" t="s">
        <v>166</v>
      </c>
      <c r="D51" s="92">
        <v>2126</v>
      </c>
      <c r="E51" s="92"/>
    </row>
    <row r="52" spans="2:5" ht="15.75">
      <c r="B52" s="170" t="s">
        <v>455</v>
      </c>
      <c r="C52" s="81" t="s">
        <v>166</v>
      </c>
      <c r="D52" s="151">
        <v>7087</v>
      </c>
      <c r="E52" s="92"/>
    </row>
    <row r="53" spans="2:5" ht="15.75">
      <c r="B53" s="174" t="s">
        <v>454</v>
      </c>
      <c r="C53" s="81" t="s">
        <v>166</v>
      </c>
      <c r="D53" s="151">
        <v>8010</v>
      </c>
      <c r="E53" s="151"/>
    </row>
    <row r="54" spans="2:5" ht="15.75">
      <c r="B54" s="170" t="s">
        <v>453</v>
      </c>
      <c r="C54" s="81" t="s">
        <v>166</v>
      </c>
      <c r="D54" s="151">
        <v>7087</v>
      </c>
      <c r="E54" s="151"/>
    </row>
    <row r="55" spans="2:5" ht="15.75">
      <c r="B55" s="170" t="s">
        <v>465</v>
      </c>
      <c r="C55" s="81" t="s">
        <v>166</v>
      </c>
      <c r="D55" s="151">
        <v>5400</v>
      </c>
      <c r="E55" s="151"/>
    </row>
    <row r="56" spans="2:5" ht="15.75">
      <c r="B56" s="170" t="s">
        <v>452</v>
      </c>
      <c r="C56" s="81" t="s">
        <v>166</v>
      </c>
      <c r="D56" s="151">
        <f>31890</f>
        <v>31890</v>
      </c>
      <c r="E56" s="151"/>
    </row>
    <row r="57" spans="2:5" ht="15.75">
      <c r="B57" s="170" t="s">
        <v>451</v>
      </c>
      <c r="C57" s="81" t="s">
        <v>166</v>
      </c>
      <c r="D57" s="151">
        <v>5400</v>
      </c>
      <c r="E57" s="151"/>
    </row>
    <row r="58" spans="2:5" ht="15.75">
      <c r="B58" s="167" t="s">
        <v>450</v>
      </c>
      <c r="C58" s="81" t="s">
        <v>166</v>
      </c>
      <c r="D58" s="151">
        <v>35015</v>
      </c>
      <c r="E58" s="151"/>
    </row>
    <row r="59" spans="2:5" ht="15.75">
      <c r="B59" s="172" t="s">
        <v>449</v>
      </c>
      <c r="C59" s="81" t="s">
        <v>166</v>
      </c>
      <c r="D59" s="151"/>
      <c r="E59" s="151">
        <f>5550-4370</f>
        <v>1180</v>
      </c>
    </row>
    <row r="60" spans="2:11" s="258" customFormat="1" ht="15.75">
      <c r="B60" s="267" t="s">
        <v>457</v>
      </c>
      <c r="C60" s="256" t="s">
        <v>166</v>
      </c>
      <c r="D60" s="264">
        <f>SUM(D50:D59)</f>
        <v>102015</v>
      </c>
      <c r="E60" s="264">
        <f>SUM(E50:E59)</f>
        <v>1180</v>
      </c>
      <c r="H60" s="286"/>
      <c r="I60" s="286"/>
      <c r="J60" s="286"/>
      <c r="K60" s="286"/>
    </row>
    <row r="61" spans="2:11" s="260" customFormat="1" ht="15.75">
      <c r="B61" s="269" t="s">
        <v>716</v>
      </c>
      <c r="C61" s="270" t="s">
        <v>167</v>
      </c>
      <c r="D61" s="262">
        <f>+D60+D49+D44+D41</f>
        <v>479846</v>
      </c>
      <c r="E61" s="262">
        <f>+E60+E49+E44+E41</f>
        <v>5550</v>
      </c>
      <c r="H61" s="268"/>
      <c r="I61" s="268"/>
      <c r="J61" s="268"/>
      <c r="K61" s="268"/>
    </row>
    <row r="62" spans="2:11" s="260" customFormat="1" ht="15.75">
      <c r="B62" s="271" t="s">
        <v>717</v>
      </c>
      <c r="C62" s="271" t="s">
        <v>744</v>
      </c>
      <c r="D62" s="264">
        <f>+D61+D32</f>
        <v>493646</v>
      </c>
      <c r="E62" s="264">
        <f>+E61+E32</f>
        <v>12455</v>
      </c>
      <c r="H62" s="268"/>
      <c r="I62" s="268"/>
      <c r="J62" s="268"/>
      <c r="K62" s="268"/>
    </row>
    <row r="63" spans="2:5" ht="15.75">
      <c r="B63" s="182"/>
      <c r="C63" s="182"/>
      <c r="D63" s="173"/>
      <c r="E63" s="173"/>
    </row>
    <row r="64" spans="2:5" ht="15.75">
      <c r="B64" s="182"/>
      <c r="C64" s="182"/>
      <c r="D64" s="173"/>
      <c r="E64" s="173"/>
    </row>
  </sheetData>
  <sheetProtection/>
  <printOptions/>
  <pageMargins left="0.7086614173228347" right="0.7086614173228347" top="0.5" bottom="0.61" header="0.31496062992125984" footer="0.31496062992125984"/>
  <pageSetup horizontalDpi="300" verticalDpi="300" orientation="portrait" paperSize="9" scale="78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28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9.140625" style="21" customWidth="1"/>
    <col min="2" max="2" width="60.421875" style="21" customWidth="1"/>
    <col min="3" max="3" width="7.421875" style="21" customWidth="1"/>
    <col min="4" max="4" width="11.7109375" style="21" customWidth="1"/>
    <col min="5" max="5" width="13.421875" style="21" customWidth="1"/>
    <col min="6" max="6" width="12.421875" style="21" customWidth="1"/>
    <col min="7" max="16384" width="9.140625" style="21" customWidth="1"/>
  </cols>
  <sheetData>
    <row r="1" ht="15.75">
      <c r="F1" s="71" t="s">
        <v>11</v>
      </c>
    </row>
    <row r="2" ht="15.75">
      <c r="F2" s="144" t="s">
        <v>68</v>
      </c>
    </row>
    <row r="3" ht="15">
      <c r="F3" s="36"/>
    </row>
    <row r="4" ht="15">
      <c r="F4" s="36"/>
    </row>
    <row r="5" spans="2:6" ht="24" customHeight="1">
      <c r="B5" s="393" t="s">
        <v>757</v>
      </c>
      <c r="C5" s="396"/>
      <c r="D5" s="396"/>
      <c r="E5" s="396"/>
      <c r="F5" s="396"/>
    </row>
    <row r="6" spans="2:6" ht="18.75">
      <c r="B6" s="32"/>
      <c r="C6" s="35"/>
      <c r="D6" s="35"/>
      <c r="E6" s="35"/>
      <c r="F6" s="35"/>
    </row>
    <row r="7" spans="2:6" ht="16.5" customHeight="1">
      <c r="B7" s="33" t="s">
        <v>4</v>
      </c>
      <c r="C7" s="34"/>
      <c r="D7" s="34"/>
      <c r="E7" s="34"/>
      <c r="F7" s="34"/>
    </row>
    <row r="8" ht="19.5">
      <c r="B8" s="94"/>
    </row>
    <row r="10" spans="2:6" s="4" customFormat="1" ht="44.25" customHeight="1">
      <c r="B10" s="253" t="s">
        <v>792</v>
      </c>
      <c r="C10" s="79" t="s">
        <v>77</v>
      </c>
      <c r="D10" s="104" t="s">
        <v>769</v>
      </c>
      <c r="E10" s="104" t="s">
        <v>770</v>
      </c>
      <c r="F10" s="5" t="s">
        <v>28</v>
      </c>
    </row>
    <row r="11" spans="2:6" ht="15">
      <c r="B11" s="7"/>
      <c r="C11" s="8"/>
      <c r="D11" s="9"/>
      <c r="E11" s="9"/>
      <c r="F11" s="95"/>
    </row>
    <row r="12" spans="2:6" ht="15.75">
      <c r="B12" s="163" t="s">
        <v>410</v>
      </c>
      <c r="C12" s="83"/>
      <c r="D12" s="92">
        <v>30000</v>
      </c>
      <c r="E12" s="92">
        <v>0</v>
      </c>
      <c r="F12" s="93">
        <f>SUM(D12:E12)</f>
        <v>30000</v>
      </c>
    </row>
    <row r="13" spans="2:6" ht="15.75">
      <c r="B13" s="163" t="s">
        <v>409</v>
      </c>
      <c r="C13" s="73"/>
      <c r="D13" s="92">
        <v>0</v>
      </c>
      <c r="E13" s="92">
        <v>0</v>
      </c>
      <c r="F13" s="93">
        <f>SUM(D13:E13)</f>
        <v>0</v>
      </c>
    </row>
    <row r="14" spans="2:6" s="272" customFormat="1" ht="15.75">
      <c r="B14" s="267" t="s">
        <v>447</v>
      </c>
      <c r="C14" s="256" t="s">
        <v>143</v>
      </c>
      <c r="D14" s="262">
        <f>+D12+D13</f>
        <v>30000</v>
      </c>
      <c r="E14" s="262">
        <f>+E12+E13</f>
        <v>0</v>
      </c>
      <c r="F14" s="262">
        <f>SUM(D14:E14)</f>
        <v>30000</v>
      </c>
    </row>
    <row r="15" spans="2:6" ht="15.75">
      <c r="B15" s="73"/>
      <c r="C15" s="73"/>
      <c r="D15" s="92"/>
      <c r="E15" s="92"/>
      <c r="F15" s="93"/>
    </row>
    <row r="16" spans="2:6" ht="15.75">
      <c r="B16" s="358" t="s">
        <v>402</v>
      </c>
      <c r="C16" s="83"/>
      <c r="D16" s="92">
        <v>100</v>
      </c>
      <c r="E16" s="92"/>
      <c r="F16" s="93">
        <f aca="true" t="shared" si="0" ref="F16:F21">SUM(D16:E16)</f>
        <v>100</v>
      </c>
    </row>
    <row r="17" spans="2:6" ht="15.75">
      <c r="B17" s="358" t="s">
        <v>403</v>
      </c>
      <c r="C17" s="83"/>
      <c r="D17" s="92">
        <v>100</v>
      </c>
      <c r="E17" s="92"/>
      <c r="F17" s="93">
        <f t="shared" si="0"/>
        <v>100</v>
      </c>
    </row>
    <row r="18" spans="2:6" ht="15.75">
      <c r="B18" s="358" t="s">
        <v>404</v>
      </c>
      <c r="C18" s="83"/>
      <c r="D18" s="92">
        <v>100</v>
      </c>
      <c r="E18" s="92"/>
      <c r="F18" s="93">
        <f t="shared" si="0"/>
        <v>100</v>
      </c>
    </row>
    <row r="19" spans="2:6" ht="15.75">
      <c r="B19" s="358" t="s">
        <v>405</v>
      </c>
      <c r="C19" s="83"/>
      <c r="D19" s="92">
        <v>500</v>
      </c>
      <c r="E19" s="92"/>
      <c r="F19" s="93">
        <f t="shared" si="0"/>
        <v>500</v>
      </c>
    </row>
    <row r="20" spans="2:6" ht="15.75">
      <c r="B20" s="358" t="s">
        <v>406</v>
      </c>
      <c r="C20" s="73"/>
      <c r="D20" s="92">
        <v>350</v>
      </c>
      <c r="E20" s="92"/>
      <c r="F20" s="93">
        <f t="shared" si="0"/>
        <v>350</v>
      </c>
    </row>
    <row r="21" spans="2:6" ht="15.75">
      <c r="B21" s="358" t="s">
        <v>408</v>
      </c>
      <c r="C21" s="73"/>
      <c r="D21" s="92">
        <v>1500</v>
      </c>
      <c r="E21" s="92"/>
      <c r="F21" s="93">
        <f t="shared" si="0"/>
        <v>1500</v>
      </c>
    </row>
    <row r="22" spans="2:6" s="272" customFormat="1" ht="15.75">
      <c r="B22" s="357" t="s">
        <v>718</v>
      </c>
      <c r="C22" s="266" t="s">
        <v>143</v>
      </c>
      <c r="D22" s="264">
        <f>SUM(D16:D21)</f>
        <v>2650</v>
      </c>
      <c r="E22" s="264">
        <f>SUM(E16:E21)</f>
        <v>0</v>
      </c>
      <c r="F22" s="264">
        <f>SUM(F16:F21)</f>
        <v>2650</v>
      </c>
    </row>
    <row r="23" spans="2:6" ht="15.75">
      <c r="B23" s="164"/>
      <c r="C23" s="73"/>
      <c r="D23" s="92"/>
      <c r="E23" s="92"/>
      <c r="F23" s="93"/>
    </row>
    <row r="24" spans="2:6" ht="15.75">
      <c r="B24" s="73"/>
      <c r="C24" s="73"/>
      <c r="D24" s="92">
        <v>0</v>
      </c>
      <c r="E24" s="92">
        <v>0</v>
      </c>
      <c r="F24" s="93"/>
    </row>
    <row r="25" spans="2:6" s="272" customFormat="1" ht="15.75">
      <c r="B25" s="357" t="s">
        <v>719</v>
      </c>
      <c r="C25" s="266" t="s">
        <v>143</v>
      </c>
      <c r="D25" s="264">
        <f>SUM(D24)</f>
        <v>0</v>
      </c>
      <c r="E25" s="264">
        <f>SUM(E24)</f>
        <v>0</v>
      </c>
      <c r="F25" s="264">
        <f>SUM(D25:E25)</f>
        <v>0</v>
      </c>
    </row>
    <row r="26" spans="2:6" s="272" customFormat="1" ht="15.75">
      <c r="B26" s="267" t="s">
        <v>439</v>
      </c>
      <c r="C26" s="256" t="s">
        <v>143</v>
      </c>
      <c r="D26" s="262">
        <f>+D22+D25</f>
        <v>2650</v>
      </c>
      <c r="E26" s="262">
        <f>+E22+E25</f>
        <v>0</v>
      </c>
      <c r="F26" s="262">
        <f>SUM(D26:E26)</f>
        <v>2650</v>
      </c>
    </row>
    <row r="27" spans="2:6" ht="15.75">
      <c r="B27" s="73"/>
      <c r="C27" s="73"/>
      <c r="D27" s="73"/>
      <c r="E27" s="73"/>
      <c r="F27" s="73"/>
    </row>
    <row r="28" spans="1:6" s="275" customFormat="1" ht="15.75">
      <c r="A28" s="347" t="s">
        <v>448</v>
      </c>
      <c r="B28" s="273" t="s">
        <v>720</v>
      </c>
      <c r="C28" s="256" t="s">
        <v>143</v>
      </c>
      <c r="D28" s="274">
        <f>+D26+D25+D22+D14</f>
        <v>35300</v>
      </c>
      <c r="E28" s="274">
        <f>+E26+E25+E22+E14</f>
        <v>0</v>
      </c>
      <c r="F28" s="274">
        <f>+F26+F25+F22+F14</f>
        <v>35300</v>
      </c>
    </row>
  </sheetData>
  <sheetProtection/>
  <mergeCells count="1">
    <mergeCell ref="B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1:AB291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F2" sqref="F2"/>
    </sheetView>
  </sheetViews>
  <sheetFormatPr defaultColWidth="9.140625" defaultRowHeight="15"/>
  <cols>
    <col min="1" max="1" width="9.140625" style="29" customWidth="1"/>
    <col min="2" max="2" width="54.00390625" style="29" customWidth="1"/>
    <col min="3" max="3" width="8.57421875" style="29" customWidth="1"/>
    <col min="4" max="4" width="15.421875" style="29" customWidth="1"/>
    <col min="5" max="5" width="14.00390625" style="29" customWidth="1"/>
    <col min="6" max="6" width="15.7109375" style="29" customWidth="1"/>
    <col min="7" max="7" width="13.7109375" style="29" customWidth="1"/>
    <col min="8" max="8" width="12.57421875" style="29" customWidth="1"/>
    <col min="9" max="9" width="12.421875" style="29" customWidth="1"/>
    <col min="10" max="10" width="10.57421875" style="29" customWidth="1"/>
    <col min="11" max="11" width="12.7109375" style="29" customWidth="1"/>
    <col min="12" max="12" width="13.140625" style="29" customWidth="1"/>
    <col min="13" max="13" width="13.7109375" style="29" customWidth="1"/>
    <col min="14" max="14" width="11.57421875" style="29" customWidth="1"/>
    <col min="15" max="15" width="12.57421875" style="29" customWidth="1"/>
    <col min="16" max="16" width="10.7109375" style="29" customWidth="1"/>
    <col min="17" max="17" width="13.7109375" style="29" customWidth="1"/>
    <col min="18" max="19" width="12.57421875" style="29" customWidth="1"/>
    <col min="20" max="20" width="11.28125" style="29" customWidth="1"/>
    <col min="21" max="21" width="13.140625" style="29" customWidth="1"/>
    <col min="22" max="22" width="13.7109375" style="29" customWidth="1"/>
    <col min="23" max="23" width="9.8515625" style="29" customWidth="1"/>
    <col min="24" max="24" width="11.00390625" style="29" customWidth="1"/>
    <col min="25" max="25" width="10.28125" style="29" customWidth="1"/>
    <col min="26" max="26" width="9.57421875" style="29" customWidth="1"/>
    <col min="27" max="27" width="10.57421875" style="29" customWidth="1"/>
    <col min="28" max="16384" width="9.140625" style="29" customWidth="1"/>
  </cols>
  <sheetData>
    <row r="1" spans="6:27" ht="15.75">
      <c r="F1" s="71" t="s">
        <v>12</v>
      </c>
      <c r="J1" s="144" t="str">
        <f>+F1</f>
        <v>7 .melléklet</v>
      </c>
      <c r="N1" s="144" t="str">
        <f>+J1</f>
        <v>7 .melléklet</v>
      </c>
      <c r="R1" s="144" t="str">
        <f>+N1</f>
        <v>7 .melléklet</v>
      </c>
      <c r="V1" s="144" t="str">
        <f>+R1</f>
        <v>7 .melléklet</v>
      </c>
      <c r="AA1" s="71" t="str">
        <f>+F1</f>
        <v>7 .melléklet</v>
      </c>
    </row>
    <row r="2" spans="6:27" ht="15.75">
      <c r="F2" s="144" t="s">
        <v>68</v>
      </c>
      <c r="J2" s="144" t="str">
        <f>+F2</f>
        <v>a 4/2014.(III.3.) önkormányzati rendelethez</v>
      </c>
      <c r="N2" s="144" t="str">
        <f>+J2</f>
        <v>a 4/2014.(III.3.) önkormányzati rendelethez</v>
      </c>
      <c r="R2" s="144" t="str">
        <f>+N2</f>
        <v>a 4/2014.(III.3.) önkormányzati rendelethez</v>
      </c>
      <c r="V2" s="144" t="str">
        <f>+R2</f>
        <v>a 4/2014.(III.3.) önkormányzati rendelethez</v>
      </c>
      <c r="AA2" s="71" t="str">
        <f>+F2</f>
        <v>a 4/2014.(III.3.) önkormányzati rendelethez</v>
      </c>
    </row>
    <row r="3" spans="2:26" s="38" customFormat="1" ht="37.5">
      <c r="B3" s="32" t="s">
        <v>655</v>
      </c>
      <c r="G3" s="39"/>
      <c r="U3" s="36"/>
      <c r="V3" s="36"/>
      <c r="W3" s="36"/>
      <c r="X3" s="36"/>
      <c r="Y3" s="36"/>
      <c r="Z3" s="36"/>
    </row>
    <row r="4" spans="2:26" s="38" customFormat="1" ht="19.5">
      <c r="B4" s="70" t="s">
        <v>806</v>
      </c>
      <c r="C4" s="40"/>
      <c r="D4" s="40"/>
      <c r="E4" s="40"/>
      <c r="F4" s="40"/>
      <c r="U4" s="36"/>
      <c r="V4" s="36"/>
      <c r="W4" s="36"/>
      <c r="X4" s="36"/>
      <c r="Y4" s="36"/>
      <c r="Z4" s="36"/>
    </row>
    <row r="5" spans="3:28" s="59" customFormat="1" ht="12.75">
      <c r="C5" s="57"/>
      <c r="D5" s="57"/>
      <c r="E5" s="57"/>
      <c r="F5" s="57"/>
      <c r="G5" s="397" t="s">
        <v>461</v>
      </c>
      <c r="H5" s="398"/>
      <c r="I5" s="398"/>
      <c r="J5" s="398"/>
      <c r="K5" s="397" t="s">
        <v>461</v>
      </c>
      <c r="L5" s="398"/>
      <c r="M5" s="398"/>
      <c r="N5" s="398"/>
      <c r="O5" s="397" t="s">
        <v>461</v>
      </c>
      <c r="P5" s="398"/>
      <c r="Q5" s="398"/>
      <c r="R5" s="398"/>
      <c r="S5" s="398" t="s">
        <v>461</v>
      </c>
      <c r="T5" s="399"/>
      <c r="U5" s="397" t="s">
        <v>462</v>
      </c>
      <c r="V5" s="398"/>
      <c r="W5" s="400" t="s">
        <v>462</v>
      </c>
      <c r="X5" s="400"/>
      <c r="Y5" s="400"/>
      <c r="Z5" s="400"/>
      <c r="AA5" s="400"/>
      <c r="AB5" s="58"/>
    </row>
    <row r="6" spans="2:27" s="198" customFormat="1" ht="120" customHeight="1">
      <c r="B6" s="7" t="s">
        <v>76</v>
      </c>
      <c r="C6" s="8" t="s">
        <v>77</v>
      </c>
      <c r="D6" s="195" t="s">
        <v>466</v>
      </c>
      <c r="E6" s="195" t="s">
        <v>467</v>
      </c>
      <c r="F6" s="196" t="s">
        <v>468</v>
      </c>
      <c r="G6" s="197" t="s">
        <v>25</v>
      </c>
      <c r="H6" s="197" t="s">
        <v>26</v>
      </c>
      <c r="I6" s="199" t="s">
        <v>589</v>
      </c>
      <c r="J6" s="197" t="s">
        <v>590</v>
      </c>
      <c r="K6" s="197" t="s">
        <v>592</v>
      </c>
      <c r="L6" s="197" t="s">
        <v>594</v>
      </c>
      <c r="M6" s="197" t="s">
        <v>597</v>
      </c>
      <c r="N6" s="197" t="s">
        <v>595</v>
      </c>
      <c r="O6" s="197" t="s">
        <v>596</v>
      </c>
      <c r="P6" s="197" t="s">
        <v>598</v>
      </c>
      <c r="Q6" s="197" t="s">
        <v>599</v>
      </c>
      <c r="R6" s="197" t="s">
        <v>600</v>
      </c>
      <c r="S6" s="197" t="s">
        <v>602</v>
      </c>
      <c r="T6" s="197" t="s">
        <v>601</v>
      </c>
      <c r="U6" s="197" t="s">
        <v>593</v>
      </c>
      <c r="V6" s="197" t="s">
        <v>591</v>
      </c>
      <c r="W6" s="197" t="s">
        <v>463</v>
      </c>
      <c r="X6" s="197" t="s">
        <v>603</v>
      </c>
      <c r="Y6" s="197" t="s">
        <v>604</v>
      </c>
      <c r="Z6" s="197" t="s">
        <v>605</v>
      </c>
      <c r="AA6" s="197" t="s">
        <v>27</v>
      </c>
    </row>
    <row r="7" spans="2:27" ht="12.75">
      <c r="B7" s="37" t="s">
        <v>328</v>
      </c>
      <c r="C7" s="11" t="s">
        <v>112</v>
      </c>
      <c r="D7" s="44">
        <f>SUM(G7:T7)</f>
        <v>0</v>
      </c>
      <c r="E7" s="44">
        <f>SUM(U7:AA7)</f>
        <v>0</v>
      </c>
      <c r="F7" s="45">
        <f>+D7+E7</f>
        <v>0</v>
      </c>
      <c r="G7" s="44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2:27" ht="12.75">
      <c r="B8" s="10" t="s">
        <v>329</v>
      </c>
      <c r="C8" s="11" t="s">
        <v>113</v>
      </c>
      <c r="D8" s="44">
        <f>SUM(G8:T8)</f>
        <v>31020</v>
      </c>
      <c r="E8" s="44">
        <f>SUM(U8:AA8)</f>
        <v>2580</v>
      </c>
      <c r="F8" s="45">
        <f>+D8+E8</f>
        <v>33600</v>
      </c>
      <c r="G8" s="44">
        <f>12094+1100+17439+387</f>
        <v>31020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>
        <v>2580</v>
      </c>
      <c r="X8" s="22"/>
      <c r="Y8" s="22"/>
      <c r="Z8" s="22"/>
      <c r="AA8" s="22"/>
    </row>
    <row r="9" spans="2:27" s="279" customFormat="1" ht="12.75">
      <c r="B9" s="276" t="s">
        <v>526</v>
      </c>
      <c r="C9" s="277" t="s">
        <v>114</v>
      </c>
      <c r="D9" s="278">
        <f>SUM(D7:D8)</f>
        <v>31020</v>
      </c>
      <c r="E9" s="278">
        <f>SUM(E7:E8)</f>
        <v>2580</v>
      </c>
      <c r="F9" s="278">
        <f>SUM(F7:F8)</f>
        <v>33600</v>
      </c>
      <c r="G9" s="278">
        <f>SUM(G7:G8)</f>
        <v>31020</v>
      </c>
      <c r="H9" s="278">
        <f aca="true" t="shared" si="0" ref="H9:AA9">SUM(H7:H8)</f>
        <v>0</v>
      </c>
      <c r="I9" s="278">
        <f t="shared" si="0"/>
        <v>0</v>
      </c>
      <c r="J9" s="278">
        <f t="shared" si="0"/>
        <v>0</v>
      </c>
      <c r="K9" s="278">
        <f t="shared" si="0"/>
        <v>0</v>
      </c>
      <c r="L9" s="278">
        <f t="shared" si="0"/>
        <v>0</v>
      </c>
      <c r="M9" s="278"/>
      <c r="N9" s="278">
        <f t="shared" si="0"/>
        <v>0</v>
      </c>
      <c r="O9" s="278">
        <f t="shared" si="0"/>
        <v>0</v>
      </c>
      <c r="P9" s="278">
        <f t="shared" si="0"/>
        <v>0</v>
      </c>
      <c r="Q9" s="278">
        <f t="shared" si="0"/>
        <v>0</v>
      </c>
      <c r="R9" s="278">
        <f t="shared" si="0"/>
        <v>0</v>
      </c>
      <c r="S9" s="278">
        <f t="shared" si="0"/>
        <v>0</v>
      </c>
      <c r="T9" s="278">
        <f t="shared" si="0"/>
        <v>0</v>
      </c>
      <c r="U9" s="278">
        <f t="shared" si="0"/>
        <v>0</v>
      </c>
      <c r="V9" s="278">
        <f t="shared" si="0"/>
        <v>0</v>
      </c>
      <c r="W9" s="278">
        <f t="shared" si="0"/>
        <v>2580</v>
      </c>
      <c r="X9" s="278">
        <f t="shared" si="0"/>
        <v>0</v>
      </c>
      <c r="Y9" s="278">
        <f t="shared" si="0"/>
        <v>0</v>
      </c>
      <c r="Z9" s="278">
        <f t="shared" si="0"/>
        <v>0</v>
      </c>
      <c r="AA9" s="278">
        <f t="shared" si="0"/>
        <v>0</v>
      </c>
    </row>
    <row r="10" spans="2:27" s="279" customFormat="1" ht="25.5">
      <c r="B10" s="280" t="s">
        <v>553</v>
      </c>
      <c r="C10" s="277" t="s">
        <v>115</v>
      </c>
      <c r="D10" s="281">
        <f aca="true" t="shared" si="1" ref="D10:D15">SUM(G10:T10)</f>
        <v>7974</v>
      </c>
      <c r="E10" s="281">
        <f aca="true" t="shared" si="2" ref="E10:E15">SUM(U10:AA10)</f>
        <v>697</v>
      </c>
      <c r="F10" s="278">
        <f aca="true" t="shared" si="3" ref="F10:F15">+D10+E10</f>
        <v>8671</v>
      </c>
      <c r="G10" s="281">
        <f>8671-697</f>
        <v>7974</v>
      </c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>
        <v>697</v>
      </c>
      <c r="X10" s="281"/>
      <c r="Y10" s="281"/>
      <c r="Z10" s="281"/>
      <c r="AA10" s="281"/>
    </row>
    <row r="11" spans="2:27" ht="12.75">
      <c r="B11" s="10" t="s">
        <v>330</v>
      </c>
      <c r="C11" s="11" t="s">
        <v>116</v>
      </c>
      <c r="D11" s="44">
        <f t="shared" si="1"/>
        <v>0</v>
      </c>
      <c r="E11" s="44">
        <f t="shared" si="2"/>
        <v>0</v>
      </c>
      <c r="F11" s="45">
        <f t="shared" si="3"/>
        <v>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2:27" ht="12.75">
      <c r="B12" s="10" t="s">
        <v>561</v>
      </c>
      <c r="C12" s="11" t="s">
        <v>117</v>
      </c>
      <c r="D12" s="44">
        <f t="shared" si="1"/>
        <v>0</v>
      </c>
      <c r="E12" s="44">
        <f t="shared" si="2"/>
        <v>0</v>
      </c>
      <c r="F12" s="45">
        <f t="shared" si="3"/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2:27" ht="12.75">
      <c r="B13" s="10" t="s">
        <v>331</v>
      </c>
      <c r="C13" s="11" t="s">
        <v>118</v>
      </c>
      <c r="D13" s="44">
        <f t="shared" si="1"/>
        <v>17420</v>
      </c>
      <c r="E13" s="44">
        <f t="shared" si="2"/>
        <v>13175</v>
      </c>
      <c r="F13" s="45">
        <f t="shared" si="3"/>
        <v>30595</v>
      </c>
      <c r="G13" s="44">
        <f>3000+500</f>
        <v>3500</v>
      </c>
      <c r="H13" s="44"/>
      <c r="I13" s="44"/>
      <c r="J13" s="44"/>
      <c r="K13" s="44"/>
      <c r="L13" s="44"/>
      <c r="M13" s="44">
        <v>6200</v>
      </c>
      <c r="N13" s="44"/>
      <c r="O13" s="44">
        <f>4000+1000+1500</f>
        <v>6500</v>
      </c>
      <c r="P13" s="44"/>
      <c r="Q13" s="44">
        <v>960</v>
      </c>
      <c r="R13" s="44">
        <v>260</v>
      </c>
      <c r="S13" s="44"/>
      <c r="T13" s="44"/>
      <c r="U13" s="44"/>
      <c r="V13" s="44"/>
      <c r="W13" s="44">
        <v>13175</v>
      </c>
      <c r="X13" s="44"/>
      <c r="Y13" s="44"/>
      <c r="Z13" s="44"/>
      <c r="AA13" s="44"/>
    </row>
    <row r="14" spans="2:27" ht="12.75">
      <c r="B14" s="10" t="s">
        <v>332</v>
      </c>
      <c r="C14" s="11" t="s">
        <v>119</v>
      </c>
      <c r="D14" s="44">
        <f t="shared" si="1"/>
        <v>400</v>
      </c>
      <c r="E14" s="44">
        <f t="shared" si="2"/>
        <v>0</v>
      </c>
      <c r="F14" s="45">
        <f t="shared" si="3"/>
        <v>400</v>
      </c>
      <c r="G14" s="44"/>
      <c r="H14" s="44"/>
      <c r="I14" s="44"/>
      <c r="J14" s="44"/>
      <c r="K14" s="44"/>
      <c r="L14" s="44"/>
      <c r="M14" s="44"/>
      <c r="N14" s="44"/>
      <c r="O14" s="44">
        <v>400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2:27" ht="12.75">
      <c r="B15" s="10" t="s">
        <v>333</v>
      </c>
      <c r="C15" s="11" t="s">
        <v>120</v>
      </c>
      <c r="D15" s="44">
        <f t="shared" si="1"/>
        <v>135291</v>
      </c>
      <c r="E15" s="44">
        <f t="shared" si="2"/>
        <v>3600</v>
      </c>
      <c r="F15" s="45">
        <f t="shared" si="3"/>
        <v>138891</v>
      </c>
      <c r="G15" s="44">
        <f>5824-500+1600+11790+20000+3500</f>
        <v>42214</v>
      </c>
      <c r="H15" s="44">
        <v>7400</v>
      </c>
      <c r="I15" s="44">
        <v>1905</v>
      </c>
      <c r="J15" s="44"/>
      <c r="K15" s="44">
        <v>20409</v>
      </c>
      <c r="L15" s="44">
        <v>3874</v>
      </c>
      <c r="M15" s="44">
        <v>1674</v>
      </c>
      <c r="N15" s="44">
        <v>5804</v>
      </c>
      <c r="O15" s="44">
        <f>22015-6500-400</f>
        <v>15115</v>
      </c>
      <c r="P15" s="44">
        <v>33782</v>
      </c>
      <c r="Q15" s="44">
        <f>3158-960</f>
        <v>2198</v>
      </c>
      <c r="R15" s="44">
        <f>200+40+135</f>
        <v>375</v>
      </c>
      <c r="S15" s="44">
        <f>426+115</f>
        <v>541</v>
      </c>
      <c r="T15" s="44"/>
      <c r="U15" s="44"/>
      <c r="V15" s="44"/>
      <c r="W15" s="44">
        <v>3600</v>
      </c>
      <c r="X15" s="44"/>
      <c r="Y15" s="44"/>
      <c r="Z15" s="44"/>
      <c r="AA15" s="44"/>
    </row>
    <row r="16" spans="2:27" s="279" customFormat="1" ht="12.75">
      <c r="B16" s="280" t="s">
        <v>525</v>
      </c>
      <c r="C16" s="277" t="s">
        <v>121</v>
      </c>
      <c r="D16" s="278">
        <f>SUM(D11:D15)</f>
        <v>153111</v>
      </c>
      <c r="E16" s="278">
        <f>SUM(E11:E15)</f>
        <v>16775</v>
      </c>
      <c r="F16" s="278">
        <f>SUM(F11:F15)</f>
        <v>169886</v>
      </c>
      <c r="G16" s="278">
        <f>SUM(G11:G15)</f>
        <v>45714</v>
      </c>
      <c r="H16" s="278">
        <f aca="true" t="shared" si="4" ref="H16:AA16">SUM(H11:H15)</f>
        <v>7400</v>
      </c>
      <c r="I16" s="278">
        <f t="shared" si="4"/>
        <v>1905</v>
      </c>
      <c r="J16" s="278">
        <f t="shared" si="4"/>
        <v>0</v>
      </c>
      <c r="K16" s="278">
        <f t="shared" si="4"/>
        <v>20409</v>
      </c>
      <c r="L16" s="278">
        <f t="shared" si="4"/>
        <v>3874</v>
      </c>
      <c r="M16" s="278">
        <f t="shared" si="4"/>
        <v>7874</v>
      </c>
      <c r="N16" s="278">
        <f t="shared" si="4"/>
        <v>5804</v>
      </c>
      <c r="O16" s="278">
        <f t="shared" si="4"/>
        <v>22015</v>
      </c>
      <c r="P16" s="278">
        <f t="shared" si="4"/>
        <v>33782</v>
      </c>
      <c r="Q16" s="278">
        <f t="shared" si="4"/>
        <v>3158</v>
      </c>
      <c r="R16" s="278">
        <f t="shared" si="4"/>
        <v>635</v>
      </c>
      <c r="S16" s="278">
        <f t="shared" si="4"/>
        <v>541</v>
      </c>
      <c r="T16" s="278">
        <f t="shared" si="4"/>
        <v>0</v>
      </c>
      <c r="U16" s="278">
        <f t="shared" si="4"/>
        <v>0</v>
      </c>
      <c r="V16" s="278">
        <f t="shared" si="4"/>
        <v>0</v>
      </c>
      <c r="W16" s="278">
        <f t="shared" si="4"/>
        <v>16775</v>
      </c>
      <c r="X16" s="278">
        <f t="shared" si="4"/>
        <v>0</v>
      </c>
      <c r="Y16" s="278">
        <f t="shared" si="4"/>
        <v>0</v>
      </c>
      <c r="Z16" s="278">
        <f t="shared" si="4"/>
        <v>0</v>
      </c>
      <c r="AA16" s="278">
        <f t="shared" si="4"/>
        <v>0</v>
      </c>
    </row>
    <row r="17" spans="2:27" s="279" customFormat="1" ht="12.75">
      <c r="B17" s="282" t="s">
        <v>398</v>
      </c>
      <c r="C17" s="277" t="s">
        <v>128</v>
      </c>
      <c r="D17" s="281">
        <f aca="true" t="shared" si="5" ref="D17:D30">SUM(G17:T17)</f>
        <v>0</v>
      </c>
      <c r="E17" s="281">
        <f aca="true" t="shared" si="6" ref="E17:E30">SUM(U17:AA17)</f>
        <v>0</v>
      </c>
      <c r="F17" s="278">
        <f aca="true" t="shared" si="7" ref="F17:F30">+D17+E17</f>
        <v>0</v>
      </c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</row>
    <row r="18" spans="2:27" s="38" customFormat="1" ht="12.75">
      <c r="B18" s="12" t="s">
        <v>554</v>
      </c>
      <c r="C18" s="11" t="s">
        <v>129</v>
      </c>
      <c r="D18" s="44">
        <f t="shared" si="5"/>
        <v>0</v>
      </c>
      <c r="E18" s="44">
        <f t="shared" si="6"/>
        <v>0</v>
      </c>
      <c r="F18" s="45">
        <f t="shared" si="7"/>
        <v>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2:27" s="38" customFormat="1" ht="12.75">
      <c r="B19" s="12" t="s">
        <v>130</v>
      </c>
      <c r="C19" s="11" t="s">
        <v>131</v>
      </c>
      <c r="D19" s="44">
        <f t="shared" si="5"/>
        <v>0</v>
      </c>
      <c r="E19" s="44">
        <f t="shared" si="6"/>
        <v>0</v>
      </c>
      <c r="F19" s="45">
        <f t="shared" si="7"/>
        <v>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2:27" ht="25.5">
      <c r="B20" s="12" t="s">
        <v>803</v>
      </c>
      <c r="C20" s="11" t="s">
        <v>132</v>
      </c>
      <c r="D20" s="44">
        <f t="shared" si="5"/>
        <v>0</v>
      </c>
      <c r="E20" s="44">
        <f t="shared" si="6"/>
        <v>0</v>
      </c>
      <c r="F20" s="45">
        <f t="shared" si="7"/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2:27" s="38" customFormat="1" ht="25.5">
      <c r="B21" s="12" t="s">
        <v>802</v>
      </c>
      <c r="C21" s="11" t="s">
        <v>133</v>
      </c>
      <c r="D21" s="44">
        <f t="shared" si="5"/>
        <v>0</v>
      </c>
      <c r="E21" s="44">
        <f t="shared" si="6"/>
        <v>0</v>
      </c>
      <c r="F21" s="45">
        <f t="shared" si="7"/>
        <v>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2:27" s="38" customFormat="1" ht="25.5">
      <c r="B22" s="12" t="s">
        <v>801</v>
      </c>
      <c r="C22" s="11" t="s">
        <v>134</v>
      </c>
      <c r="D22" s="44">
        <f t="shared" si="5"/>
        <v>0</v>
      </c>
      <c r="E22" s="44">
        <f t="shared" si="6"/>
        <v>0</v>
      </c>
      <c r="F22" s="45">
        <f t="shared" si="7"/>
        <v>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2:27" s="38" customFormat="1" ht="12.75">
      <c r="B23" s="12" t="s">
        <v>804</v>
      </c>
      <c r="C23" s="11" t="s">
        <v>135</v>
      </c>
      <c r="D23" s="44">
        <f t="shared" si="5"/>
        <v>150060</v>
      </c>
      <c r="E23" s="44">
        <f t="shared" si="6"/>
        <v>0</v>
      </c>
      <c r="F23" s="45">
        <f t="shared" si="7"/>
        <v>150060</v>
      </c>
      <c r="G23" s="44">
        <v>150060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2:27" ht="25.5">
      <c r="B24" s="12" t="s">
        <v>799</v>
      </c>
      <c r="C24" s="11" t="s">
        <v>136</v>
      </c>
      <c r="D24" s="44">
        <f t="shared" si="5"/>
        <v>0</v>
      </c>
      <c r="E24" s="44">
        <f t="shared" si="6"/>
        <v>0</v>
      </c>
      <c r="F24" s="45">
        <f t="shared" si="7"/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2:27" ht="25.5">
      <c r="B25" s="12" t="s">
        <v>798</v>
      </c>
      <c r="C25" s="11" t="s">
        <v>137</v>
      </c>
      <c r="D25" s="44">
        <f t="shared" si="5"/>
        <v>0</v>
      </c>
      <c r="E25" s="44">
        <f t="shared" si="6"/>
        <v>0</v>
      </c>
      <c r="F25" s="45">
        <f t="shared" si="7"/>
        <v>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2:27" s="38" customFormat="1" ht="12.75">
      <c r="B26" s="12" t="s">
        <v>138</v>
      </c>
      <c r="C26" s="11" t="s">
        <v>139</v>
      </c>
      <c r="D26" s="44">
        <f t="shared" si="5"/>
        <v>0</v>
      </c>
      <c r="E26" s="44">
        <f t="shared" si="6"/>
        <v>0</v>
      </c>
      <c r="F26" s="45">
        <f t="shared" si="7"/>
        <v>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2:27" s="38" customFormat="1" ht="12.75">
      <c r="B27" s="13" t="s">
        <v>140</v>
      </c>
      <c r="C27" s="11" t="s">
        <v>141</v>
      </c>
      <c r="D27" s="44">
        <f t="shared" si="5"/>
        <v>0</v>
      </c>
      <c r="E27" s="44">
        <f t="shared" si="6"/>
        <v>0</v>
      </c>
      <c r="F27" s="45">
        <f t="shared" si="7"/>
        <v>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2:27" s="38" customFormat="1" ht="12.75">
      <c r="B28" s="12" t="s">
        <v>555</v>
      </c>
      <c r="C28" s="11" t="s">
        <v>142</v>
      </c>
      <c r="D28" s="44">
        <f t="shared" si="5"/>
        <v>10633</v>
      </c>
      <c r="E28" s="44">
        <f t="shared" si="6"/>
        <v>35855</v>
      </c>
      <c r="F28" s="45">
        <f t="shared" si="7"/>
        <v>46488</v>
      </c>
      <c r="G28" s="44">
        <f>7128+1105+400</f>
        <v>8633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>
        <v>2000</v>
      </c>
      <c r="U28" s="44">
        <v>11000</v>
      </c>
      <c r="V28" s="44">
        <v>1645</v>
      </c>
      <c r="W28" s="44"/>
      <c r="X28" s="44">
        <v>9800</v>
      </c>
      <c r="Y28" s="44">
        <v>2000</v>
      </c>
      <c r="Z28" s="44">
        <f>10300+160</f>
        <v>10460</v>
      </c>
      <c r="AA28" s="44">
        <v>950</v>
      </c>
    </row>
    <row r="29" spans="2:27" s="38" customFormat="1" ht="12.75">
      <c r="B29" s="13" t="s">
        <v>790</v>
      </c>
      <c r="C29" s="11" t="s">
        <v>143</v>
      </c>
      <c r="D29" s="44">
        <f t="shared" si="5"/>
        <v>0</v>
      </c>
      <c r="E29" s="44">
        <f t="shared" si="6"/>
        <v>0</v>
      </c>
      <c r="F29" s="45">
        <f t="shared" si="7"/>
        <v>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2:27" s="38" customFormat="1" ht="12.75">
      <c r="B30" s="13" t="s">
        <v>791</v>
      </c>
      <c r="C30" s="11" t="s">
        <v>143</v>
      </c>
      <c r="D30" s="44">
        <f t="shared" si="5"/>
        <v>0</v>
      </c>
      <c r="E30" s="44">
        <f t="shared" si="6"/>
        <v>0</v>
      </c>
      <c r="F30" s="45">
        <f t="shared" si="7"/>
        <v>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2:27" s="279" customFormat="1" ht="15" customHeight="1">
      <c r="B31" s="282" t="s">
        <v>524</v>
      </c>
      <c r="C31" s="277" t="s">
        <v>144</v>
      </c>
      <c r="D31" s="278">
        <f>SUM(D18:D30)</f>
        <v>160693</v>
      </c>
      <c r="E31" s="278">
        <f>SUM(E18:E30)</f>
        <v>35855</v>
      </c>
      <c r="F31" s="278">
        <f>SUM(F18:F30)</f>
        <v>196548</v>
      </c>
      <c r="G31" s="278">
        <f>SUM(G18:G30)</f>
        <v>158693</v>
      </c>
      <c r="H31" s="278">
        <f aca="true" t="shared" si="8" ref="H31:AA31">SUM(H18:H30)</f>
        <v>0</v>
      </c>
      <c r="I31" s="278">
        <f t="shared" si="8"/>
        <v>0</v>
      </c>
      <c r="J31" s="278">
        <f t="shared" si="8"/>
        <v>0</v>
      </c>
      <c r="K31" s="278">
        <f t="shared" si="8"/>
        <v>0</v>
      </c>
      <c r="L31" s="278">
        <f t="shared" si="8"/>
        <v>0</v>
      </c>
      <c r="M31" s="278">
        <f t="shared" si="8"/>
        <v>0</v>
      </c>
      <c r="N31" s="278">
        <f t="shared" si="8"/>
        <v>0</v>
      </c>
      <c r="O31" s="278">
        <f t="shared" si="8"/>
        <v>0</v>
      </c>
      <c r="P31" s="278">
        <f t="shared" si="8"/>
        <v>0</v>
      </c>
      <c r="Q31" s="278">
        <f t="shared" si="8"/>
        <v>0</v>
      </c>
      <c r="R31" s="278">
        <f t="shared" si="8"/>
        <v>0</v>
      </c>
      <c r="S31" s="278">
        <f t="shared" si="8"/>
        <v>0</v>
      </c>
      <c r="T31" s="278">
        <f t="shared" si="8"/>
        <v>2000</v>
      </c>
      <c r="U31" s="278">
        <f t="shared" si="8"/>
        <v>11000</v>
      </c>
      <c r="V31" s="278">
        <f t="shared" si="8"/>
        <v>1645</v>
      </c>
      <c r="W31" s="278">
        <f t="shared" si="8"/>
        <v>0</v>
      </c>
      <c r="X31" s="278">
        <f t="shared" si="8"/>
        <v>9800</v>
      </c>
      <c r="Y31" s="278">
        <f t="shared" si="8"/>
        <v>2000</v>
      </c>
      <c r="Z31" s="278">
        <f t="shared" si="8"/>
        <v>10460</v>
      </c>
      <c r="AA31" s="278">
        <f t="shared" si="8"/>
        <v>950</v>
      </c>
    </row>
    <row r="32" spans="2:27" ht="13.5">
      <c r="B32" s="23" t="s">
        <v>523</v>
      </c>
      <c r="C32" s="41" t="s">
        <v>673</v>
      </c>
      <c r="D32" s="46">
        <f>+D31+D17+D16+D10+D9</f>
        <v>352798</v>
      </c>
      <c r="E32" s="46">
        <f>+E31+E17+E16+E10+E9</f>
        <v>55907</v>
      </c>
      <c r="F32" s="46">
        <f>+F31+F17+F16+F10+F9</f>
        <v>408705</v>
      </c>
      <c r="G32" s="46">
        <f>+G31+G17+G16+G10+G9</f>
        <v>243401</v>
      </c>
      <c r="H32" s="46">
        <f aca="true" t="shared" si="9" ref="H32:AA32">+H31+H17+H16+H10+H9</f>
        <v>7400</v>
      </c>
      <c r="I32" s="46">
        <f t="shared" si="9"/>
        <v>1905</v>
      </c>
      <c r="J32" s="46">
        <f t="shared" si="9"/>
        <v>0</v>
      </c>
      <c r="K32" s="46">
        <f t="shared" si="9"/>
        <v>20409</v>
      </c>
      <c r="L32" s="46">
        <f t="shared" si="9"/>
        <v>3874</v>
      </c>
      <c r="M32" s="46">
        <f t="shared" si="9"/>
        <v>7874</v>
      </c>
      <c r="N32" s="46">
        <f t="shared" si="9"/>
        <v>5804</v>
      </c>
      <c r="O32" s="46">
        <f t="shared" si="9"/>
        <v>22015</v>
      </c>
      <c r="P32" s="46">
        <f t="shared" si="9"/>
        <v>33782</v>
      </c>
      <c r="Q32" s="46">
        <f t="shared" si="9"/>
        <v>3158</v>
      </c>
      <c r="R32" s="46">
        <f t="shared" si="9"/>
        <v>635</v>
      </c>
      <c r="S32" s="46">
        <f t="shared" si="9"/>
        <v>541</v>
      </c>
      <c r="T32" s="46">
        <f t="shared" si="9"/>
        <v>2000</v>
      </c>
      <c r="U32" s="46">
        <f t="shared" si="9"/>
        <v>11000</v>
      </c>
      <c r="V32" s="46">
        <f t="shared" si="9"/>
        <v>1645</v>
      </c>
      <c r="W32" s="46">
        <f t="shared" si="9"/>
        <v>20052</v>
      </c>
      <c r="X32" s="46">
        <f t="shared" si="9"/>
        <v>9800</v>
      </c>
      <c r="Y32" s="46">
        <f t="shared" si="9"/>
        <v>2000</v>
      </c>
      <c r="Z32" s="46">
        <f t="shared" si="9"/>
        <v>10460</v>
      </c>
      <c r="AA32" s="46">
        <f t="shared" si="9"/>
        <v>950</v>
      </c>
    </row>
    <row r="33" spans="2:27" ht="12.75">
      <c r="B33" s="14" t="s">
        <v>145</v>
      </c>
      <c r="C33" s="11" t="s">
        <v>146</v>
      </c>
      <c r="D33" s="44">
        <f aca="true" t="shared" si="10" ref="D33:D39">SUM(G33:T33)</f>
        <v>0</v>
      </c>
      <c r="E33" s="44">
        <f aca="true" t="shared" si="11" ref="E33:E39">SUM(U33:AA33)</f>
        <v>0</v>
      </c>
      <c r="F33" s="45">
        <f aca="true" t="shared" si="12" ref="F33:F39">+D33+E33</f>
        <v>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2:27" ht="12.75">
      <c r="B34" s="14" t="s">
        <v>556</v>
      </c>
      <c r="C34" s="11" t="s">
        <v>147</v>
      </c>
      <c r="D34" s="44">
        <f t="shared" si="10"/>
        <v>0</v>
      </c>
      <c r="E34" s="44">
        <f t="shared" si="11"/>
        <v>0</v>
      </c>
      <c r="F34" s="45">
        <f t="shared" si="12"/>
        <v>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2:27" ht="12.75">
      <c r="B35" s="14" t="s">
        <v>148</v>
      </c>
      <c r="C35" s="11" t="s">
        <v>149</v>
      </c>
      <c r="D35" s="44">
        <f t="shared" si="10"/>
        <v>0</v>
      </c>
      <c r="E35" s="44">
        <f t="shared" si="11"/>
        <v>0</v>
      </c>
      <c r="F35" s="45">
        <f t="shared" si="12"/>
        <v>0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2:27" ht="12.75">
      <c r="B36" s="14" t="s">
        <v>150</v>
      </c>
      <c r="C36" s="11" t="s">
        <v>151</v>
      </c>
      <c r="D36" s="44">
        <f t="shared" si="10"/>
        <v>0</v>
      </c>
      <c r="E36" s="44">
        <f t="shared" si="11"/>
        <v>0</v>
      </c>
      <c r="F36" s="45">
        <f t="shared" si="12"/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2:27" ht="12.75">
      <c r="B37" s="15" t="s">
        <v>152</v>
      </c>
      <c r="C37" s="11" t="s">
        <v>153</v>
      </c>
      <c r="D37" s="44">
        <f t="shared" si="10"/>
        <v>0</v>
      </c>
      <c r="E37" s="44">
        <f t="shared" si="11"/>
        <v>0</v>
      </c>
      <c r="F37" s="45">
        <f t="shared" si="12"/>
        <v>0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2:27" ht="12.75">
      <c r="B38" s="15" t="s">
        <v>154</v>
      </c>
      <c r="C38" s="11" t="s">
        <v>155</v>
      </c>
      <c r="D38" s="44">
        <f t="shared" si="10"/>
        <v>0</v>
      </c>
      <c r="E38" s="44">
        <f t="shared" si="11"/>
        <v>0</v>
      </c>
      <c r="F38" s="45">
        <f t="shared" si="12"/>
        <v>0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2:27" ht="12.75">
      <c r="B39" s="15" t="s">
        <v>156</v>
      </c>
      <c r="C39" s="11" t="s">
        <v>157</v>
      </c>
      <c r="D39" s="44">
        <f t="shared" si="10"/>
        <v>0</v>
      </c>
      <c r="E39" s="44">
        <f t="shared" si="11"/>
        <v>0</v>
      </c>
      <c r="F39" s="45">
        <f t="shared" si="12"/>
        <v>0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2:27" s="279" customFormat="1" ht="12.75">
      <c r="B40" s="283" t="s">
        <v>522</v>
      </c>
      <c r="C40" s="277" t="s">
        <v>158</v>
      </c>
      <c r="D40" s="278">
        <f>SUM(D33:D39)</f>
        <v>0</v>
      </c>
      <c r="E40" s="278">
        <f>SUM(E33:E39)</f>
        <v>0</v>
      </c>
      <c r="F40" s="278">
        <f>SUM(F33:F39)</f>
        <v>0</v>
      </c>
      <c r="G40" s="278">
        <f>SUM(G33:G39)</f>
        <v>0</v>
      </c>
      <c r="H40" s="278">
        <f aca="true" t="shared" si="13" ref="H40:AA40">SUM(H33:H39)</f>
        <v>0</v>
      </c>
      <c r="I40" s="278">
        <f t="shared" si="13"/>
        <v>0</v>
      </c>
      <c r="J40" s="278">
        <f t="shared" si="13"/>
        <v>0</v>
      </c>
      <c r="K40" s="278">
        <f t="shared" si="13"/>
        <v>0</v>
      </c>
      <c r="L40" s="278">
        <f t="shared" si="13"/>
        <v>0</v>
      </c>
      <c r="M40" s="278">
        <f t="shared" si="13"/>
        <v>0</v>
      </c>
      <c r="N40" s="278">
        <f t="shared" si="13"/>
        <v>0</v>
      </c>
      <c r="O40" s="278">
        <f t="shared" si="13"/>
        <v>0</v>
      </c>
      <c r="P40" s="278">
        <f t="shared" si="13"/>
        <v>0</v>
      </c>
      <c r="Q40" s="278">
        <f t="shared" si="13"/>
        <v>0</v>
      </c>
      <c r="R40" s="278">
        <f t="shared" si="13"/>
        <v>0</v>
      </c>
      <c r="S40" s="278">
        <f t="shared" si="13"/>
        <v>0</v>
      </c>
      <c r="T40" s="278">
        <f t="shared" si="13"/>
        <v>0</v>
      </c>
      <c r="U40" s="278">
        <f t="shared" si="13"/>
        <v>0</v>
      </c>
      <c r="V40" s="278">
        <f t="shared" si="13"/>
        <v>0</v>
      </c>
      <c r="W40" s="278">
        <f t="shared" si="13"/>
        <v>0</v>
      </c>
      <c r="X40" s="278">
        <f t="shared" si="13"/>
        <v>0</v>
      </c>
      <c r="Y40" s="278">
        <f t="shared" si="13"/>
        <v>0</v>
      </c>
      <c r="Z40" s="278">
        <f t="shared" si="13"/>
        <v>0</v>
      </c>
      <c r="AA40" s="278">
        <f t="shared" si="13"/>
        <v>0</v>
      </c>
    </row>
    <row r="41" spans="2:27" s="38" customFormat="1" ht="12.75">
      <c r="B41" s="16" t="s">
        <v>159</v>
      </c>
      <c r="C41" s="11" t="s">
        <v>160</v>
      </c>
      <c r="D41" s="44">
        <f>SUM(G41:T41)</f>
        <v>0</v>
      </c>
      <c r="E41" s="44">
        <f>SUM(U41:AA41)</f>
        <v>0</v>
      </c>
      <c r="F41" s="45">
        <f>+D41+E41</f>
        <v>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2:27" s="38" customFormat="1" ht="12.75">
      <c r="B42" s="16" t="s">
        <v>161</v>
      </c>
      <c r="C42" s="11" t="s">
        <v>162</v>
      </c>
      <c r="D42" s="44">
        <f>SUM(G42:T42)</f>
        <v>0</v>
      </c>
      <c r="E42" s="44">
        <f>SUM(U42:AA42)</f>
        <v>0</v>
      </c>
      <c r="F42" s="45">
        <f>+D42+E42</f>
        <v>0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2:27" s="38" customFormat="1" ht="12.75">
      <c r="B43" s="16" t="s">
        <v>163</v>
      </c>
      <c r="C43" s="11" t="s">
        <v>164</v>
      </c>
      <c r="D43" s="44">
        <f>SUM(G43:T43)</f>
        <v>20000</v>
      </c>
      <c r="E43" s="44">
        <f>SUM(U43:AA43)</f>
        <v>0</v>
      </c>
      <c r="F43" s="45">
        <f>+D43+E43</f>
        <v>20000</v>
      </c>
      <c r="G43" s="44"/>
      <c r="H43" s="44"/>
      <c r="I43" s="44"/>
      <c r="J43" s="44"/>
      <c r="K43" s="44"/>
      <c r="L43" s="44"/>
      <c r="M43" s="44"/>
      <c r="N43" s="44">
        <v>20000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2:27" s="38" customFormat="1" ht="12.75">
      <c r="B44" s="16" t="s">
        <v>165</v>
      </c>
      <c r="C44" s="11" t="s">
        <v>166</v>
      </c>
      <c r="D44" s="44">
        <f>SUM(G44:T44)</f>
        <v>5400</v>
      </c>
      <c r="E44" s="44">
        <f>SUM(U44:AA44)</f>
        <v>0</v>
      </c>
      <c r="F44" s="45">
        <f>+D44+E44</f>
        <v>5400</v>
      </c>
      <c r="G44" s="44"/>
      <c r="H44" s="44"/>
      <c r="I44" s="44"/>
      <c r="J44" s="44"/>
      <c r="K44" s="44"/>
      <c r="L44" s="44"/>
      <c r="M44" s="44"/>
      <c r="N44" s="44">
        <v>5400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2:27" s="279" customFormat="1" ht="12.75">
      <c r="B45" s="280" t="s">
        <v>521</v>
      </c>
      <c r="C45" s="277" t="s">
        <v>167</v>
      </c>
      <c r="D45" s="278">
        <f>SUM(D41:D44)</f>
        <v>25400</v>
      </c>
      <c r="E45" s="278">
        <f>SUM(E41:E44)</f>
        <v>0</v>
      </c>
      <c r="F45" s="278">
        <f>SUM(F41:F44)</f>
        <v>25400</v>
      </c>
      <c r="G45" s="278">
        <f>SUM(G41:G44)</f>
        <v>0</v>
      </c>
      <c r="H45" s="278">
        <f aca="true" t="shared" si="14" ref="H45:AA45">SUM(H41:H44)</f>
        <v>0</v>
      </c>
      <c r="I45" s="278">
        <f t="shared" si="14"/>
        <v>0</v>
      </c>
      <c r="J45" s="278">
        <f t="shared" si="14"/>
        <v>0</v>
      </c>
      <c r="K45" s="278">
        <f t="shared" si="14"/>
        <v>0</v>
      </c>
      <c r="L45" s="278">
        <f t="shared" si="14"/>
        <v>0</v>
      </c>
      <c r="M45" s="278">
        <f t="shared" si="14"/>
        <v>0</v>
      </c>
      <c r="N45" s="278">
        <f t="shared" si="14"/>
        <v>25400</v>
      </c>
      <c r="O45" s="278">
        <f t="shared" si="14"/>
        <v>0</v>
      </c>
      <c r="P45" s="278">
        <f t="shared" si="14"/>
        <v>0</v>
      </c>
      <c r="Q45" s="278">
        <f t="shared" si="14"/>
        <v>0</v>
      </c>
      <c r="R45" s="278">
        <f t="shared" si="14"/>
        <v>0</v>
      </c>
      <c r="S45" s="278">
        <f t="shared" si="14"/>
        <v>0</v>
      </c>
      <c r="T45" s="278">
        <f t="shared" si="14"/>
        <v>0</v>
      </c>
      <c r="U45" s="278">
        <f t="shared" si="14"/>
        <v>0</v>
      </c>
      <c r="V45" s="278">
        <f t="shared" si="14"/>
        <v>0</v>
      </c>
      <c r="W45" s="278">
        <f t="shared" si="14"/>
        <v>0</v>
      </c>
      <c r="X45" s="278">
        <f t="shared" si="14"/>
        <v>0</v>
      </c>
      <c r="Y45" s="278">
        <f t="shared" si="14"/>
        <v>0</v>
      </c>
      <c r="Z45" s="278">
        <f t="shared" si="14"/>
        <v>0</v>
      </c>
      <c r="AA45" s="278">
        <f t="shared" si="14"/>
        <v>0</v>
      </c>
    </row>
    <row r="46" spans="2:27" s="38" customFormat="1" ht="25.5">
      <c r="B46" s="16" t="s">
        <v>793</v>
      </c>
      <c r="C46" s="11" t="s">
        <v>168</v>
      </c>
      <c r="D46" s="44">
        <f aca="true" t="shared" si="15" ref="D46:D53">SUM(G46:T46)</f>
        <v>0</v>
      </c>
      <c r="E46" s="44">
        <f aca="true" t="shared" si="16" ref="E46:E53">SUM(U46:AA46)</f>
        <v>0</v>
      </c>
      <c r="F46" s="45">
        <f aca="true" t="shared" si="17" ref="F46:F53">+D46+E46</f>
        <v>0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2:27" s="38" customFormat="1" ht="25.5">
      <c r="B47" s="16" t="s">
        <v>794</v>
      </c>
      <c r="C47" s="11" t="s">
        <v>169</v>
      </c>
      <c r="D47" s="44">
        <f t="shared" si="15"/>
        <v>0</v>
      </c>
      <c r="E47" s="44">
        <f t="shared" si="16"/>
        <v>0</v>
      </c>
      <c r="F47" s="45">
        <f t="shared" si="17"/>
        <v>0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2:27" s="38" customFormat="1" ht="25.5">
      <c r="B48" s="16" t="s">
        <v>795</v>
      </c>
      <c r="C48" s="11" t="s">
        <v>170</v>
      </c>
      <c r="D48" s="44">
        <f t="shared" si="15"/>
        <v>0</v>
      </c>
      <c r="E48" s="44">
        <f t="shared" si="16"/>
        <v>0</v>
      </c>
      <c r="F48" s="45">
        <f t="shared" si="17"/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2:27" s="38" customFormat="1" ht="12.75">
      <c r="B49" s="16" t="s">
        <v>805</v>
      </c>
      <c r="C49" s="11" t="s">
        <v>171</v>
      </c>
      <c r="D49" s="44">
        <f t="shared" si="15"/>
        <v>136194</v>
      </c>
      <c r="E49" s="44">
        <f t="shared" si="16"/>
        <v>0</v>
      </c>
      <c r="F49" s="45">
        <f t="shared" si="17"/>
        <v>136194</v>
      </c>
      <c r="G49" s="44">
        <v>136194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2:27" s="38" customFormat="1" ht="25.5">
      <c r="B50" s="16" t="s">
        <v>796</v>
      </c>
      <c r="C50" s="11" t="s">
        <v>172</v>
      </c>
      <c r="D50" s="44">
        <f t="shared" si="15"/>
        <v>0</v>
      </c>
      <c r="E50" s="44">
        <f t="shared" si="16"/>
        <v>0</v>
      </c>
      <c r="F50" s="45">
        <f t="shared" si="17"/>
        <v>0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2:27" ht="25.5">
      <c r="B51" s="16" t="s">
        <v>797</v>
      </c>
      <c r="C51" s="11" t="s">
        <v>173</v>
      </c>
      <c r="D51" s="44">
        <f t="shared" si="15"/>
        <v>0</v>
      </c>
      <c r="E51" s="44">
        <f t="shared" si="16"/>
        <v>0</v>
      </c>
      <c r="F51" s="45">
        <f t="shared" si="17"/>
        <v>0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2:27" s="38" customFormat="1" ht="12.75">
      <c r="B52" s="16" t="s">
        <v>174</v>
      </c>
      <c r="C52" s="11" t="s">
        <v>175</v>
      </c>
      <c r="D52" s="44">
        <f t="shared" si="15"/>
        <v>0</v>
      </c>
      <c r="E52" s="44">
        <f t="shared" si="16"/>
        <v>0</v>
      </c>
      <c r="F52" s="45">
        <f t="shared" si="17"/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2:27" s="38" customFormat="1" ht="12.75">
      <c r="B53" s="16" t="s">
        <v>557</v>
      </c>
      <c r="C53" s="11" t="s">
        <v>176</v>
      </c>
      <c r="D53" s="44">
        <f t="shared" si="15"/>
        <v>0</v>
      </c>
      <c r="E53" s="44">
        <f t="shared" si="16"/>
        <v>0</v>
      </c>
      <c r="F53" s="45">
        <f t="shared" si="17"/>
        <v>0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2:27" s="279" customFormat="1" ht="12.75">
      <c r="B54" s="282" t="s">
        <v>520</v>
      </c>
      <c r="C54" s="277" t="s">
        <v>177</v>
      </c>
      <c r="D54" s="278">
        <f>SUM(D46:D53)</f>
        <v>136194</v>
      </c>
      <c r="E54" s="278">
        <f>SUM(E46:E53)</f>
        <v>0</v>
      </c>
      <c r="F54" s="278">
        <f>SUM(F46:F53)</f>
        <v>136194</v>
      </c>
      <c r="G54" s="278">
        <f>SUM(G46:G53)</f>
        <v>136194</v>
      </c>
      <c r="H54" s="278">
        <f aca="true" t="shared" si="18" ref="H54:AA54">SUM(H46:H53)</f>
        <v>0</v>
      </c>
      <c r="I54" s="278">
        <f t="shared" si="18"/>
        <v>0</v>
      </c>
      <c r="J54" s="278">
        <f t="shared" si="18"/>
        <v>0</v>
      </c>
      <c r="K54" s="278">
        <f t="shared" si="18"/>
        <v>0</v>
      </c>
      <c r="L54" s="278">
        <f t="shared" si="18"/>
        <v>0</v>
      </c>
      <c r="M54" s="278">
        <f t="shared" si="18"/>
        <v>0</v>
      </c>
      <c r="N54" s="278">
        <f t="shared" si="18"/>
        <v>0</v>
      </c>
      <c r="O54" s="278">
        <f t="shared" si="18"/>
        <v>0</v>
      </c>
      <c r="P54" s="278">
        <f t="shared" si="18"/>
        <v>0</v>
      </c>
      <c r="Q54" s="278">
        <f t="shared" si="18"/>
        <v>0</v>
      </c>
      <c r="R54" s="278">
        <f t="shared" si="18"/>
        <v>0</v>
      </c>
      <c r="S54" s="278">
        <f t="shared" si="18"/>
        <v>0</v>
      </c>
      <c r="T54" s="278">
        <f t="shared" si="18"/>
        <v>0</v>
      </c>
      <c r="U54" s="278">
        <f t="shared" si="18"/>
        <v>0</v>
      </c>
      <c r="V54" s="278">
        <f t="shared" si="18"/>
        <v>0</v>
      </c>
      <c r="W54" s="278">
        <f t="shared" si="18"/>
        <v>0</v>
      </c>
      <c r="X54" s="278">
        <f t="shared" si="18"/>
        <v>0</v>
      </c>
      <c r="Y54" s="278">
        <f t="shared" si="18"/>
        <v>0</v>
      </c>
      <c r="Z54" s="278">
        <f t="shared" si="18"/>
        <v>0</v>
      </c>
      <c r="AA54" s="278">
        <f t="shared" si="18"/>
        <v>0</v>
      </c>
    </row>
    <row r="55" spans="2:27" ht="13.5">
      <c r="B55" s="23" t="s">
        <v>519</v>
      </c>
      <c r="C55" s="41" t="s">
        <v>674</v>
      </c>
      <c r="D55" s="46">
        <f>+D54+D45+D40</f>
        <v>161594</v>
      </c>
      <c r="E55" s="46">
        <f>+E54+E45+E40</f>
        <v>0</v>
      </c>
      <c r="F55" s="46">
        <f>+F54+F45+F40</f>
        <v>161594</v>
      </c>
      <c r="G55" s="46">
        <f>+G54+G45+G40</f>
        <v>136194</v>
      </c>
      <c r="H55" s="46">
        <f aca="true" t="shared" si="19" ref="H55:AA55">+H54+H45+H40</f>
        <v>0</v>
      </c>
      <c r="I55" s="46">
        <f t="shared" si="19"/>
        <v>0</v>
      </c>
      <c r="J55" s="46">
        <f t="shared" si="19"/>
        <v>0</v>
      </c>
      <c r="K55" s="46">
        <f t="shared" si="19"/>
        <v>0</v>
      </c>
      <c r="L55" s="46">
        <f t="shared" si="19"/>
        <v>0</v>
      </c>
      <c r="M55" s="46">
        <f t="shared" si="19"/>
        <v>0</v>
      </c>
      <c r="N55" s="46">
        <f t="shared" si="19"/>
        <v>25400</v>
      </c>
      <c r="O55" s="46">
        <f t="shared" si="19"/>
        <v>0</v>
      </c>
      <c r="P55" s="46">
        <f t="shared" si="19"/>
        <v>0</v>
      </c>
      <c r="Q55" s="46">
        <f t="shared" si="19"/>
        <v>0</v>
      </c>
      <c r="R55" s="46">
        <f t="shared" si="19"/>
        <v>0</v>
      </c>
      <c r="S55" s="46">
        <f t="shared" si="19"/>
        <v>0</v>
      </c>
      <c r="T55" s="46">
        <f t="shared" si="19"/>
        <v>0</v>
      </c>
      <c r="U55" s="46">
        <f t="shared" si="19"/>
        <v>0</v>
      </c>
      <c r="V55" s="46">
        <f t="shared" si="19"/>
        <v>0</v>
      </c>
      <c r="W55" s="46">
        <f t="shared" si="19"/>
        <v>0</v>
      </c>
      <c r="X55" s="46">
        <f t="shared" si="19"/>
        <v>0</v>
      </c>
      <c r="Y55" s="46">
        <f t="shared" si="19"/>
        <v>0</v>
      </c>
      <c r="Z55" s="46">
        <f t="shared" si="19"/>
        <v>0</v>
      </c>
      <c r="AA55" s="46">
        <f t="shared" si="19"/>
        <v>0</v>
      </c>
    </row>
    <row r="56" spans="2:27" ht="12.75">
      <c r="B56" s="24" t="s">
        <v>518</v>
      </c>
      <c r="C56" s="25" t="s">
        <v>675</v>
      </c>
      <c r="D56" s="47">
        <f>+D54+D45+D40+D31+D17+D16+D10+D9</f>
        <v>514392</v>
      </c>
      <c r="E56" s="47">
        <f>+E54+E45+E40+E31+E17+E16+E10+E9</f>
        <v>55907</v>
      </c>
      <c r="F56" s="47">
        <f>+F54+F45+F40+F31+F17+F16+F10+F9</f>
        <v>570299</v>
      </c>
      <c r="G56" s="47">
        <f>+G54+G45+G40+G31+G17+G16+G10+G9</f>
        <v>379595</v>
      </c>
      <c r="H56" s="47">
        <f aca="true" t="shared" si="20" ref="H56:AA56">+H54+H45+H40+H31+H17+H16+H10+H9</f>
        <v>7400</v>
      </c>
      <c r="I56" s="47">
        <f t="shared" si="20"/>
        <v>1905</v>
      </c>
      <c r="J56" s="47">
        <f t="shared" si="20"/>
        <v>0</v>
      </c>
      <c r="K56" s="47">
        <f t="shared" si="20"/>
        <v>20409</v>
      </c>
      <c r="L56" s="47">
        <f t="shared" si="20"/>
        <v>3874</v>
      </c>
      <c r="M56" s="47">
        <f>+M54+M45+M40+M31+M17+M16+M10+M9</f>
        <v>7874</v>
      </c>
      <c r="N56" s="47">
        <f t="shared" si="20"/>
        <v>31204</v>
      </c>
      <c r="O56" s="47">
        <f t="shared" si="20"/>
        <v>22015</v>
      </c>
      <c r="P56" s="47">
        <f>+P54+P45+P40+P31+P17+P16+P10+P9</f>
        <v>33782</v>
      </c>
      <c r="Q56" s="47">
        <f>+Q54+Q45+Q40+Q31+Q17+Q16+Q10+Q9</f>
        <v>3158</v>
      </c>
      <c r="R56" s="47">
        <f t="shared" si="20"/>
        <v>635</v>
      </c>
      <c r="S56" s="47">
        <f>+S54+S45+S40+S31+S17+S16+S10+S9</f>
        <v>541</v>
      </c>
      <c r="T56" s="47">
        <f t="shared" si="20"/>
        <v>2000</v>
      </c>
      <c r="U56" s="47">
        <f t="shared" si="20"/>
        <v>11000</v>
      </c>
      <c r="V56" s="47">
        <f t="shared" si="20"/>
        <v>1645</v>
      </c>
      <c r="W56" s="47">
        <f>+W54+W45+W40+W31+W17+W16+W10+W9</f>
        <v>20052</v>
      </c>
      <c r="X56" s="47">
        <f>+X54+X45+X40+X31+X17+X16+X10+X9</f>
        <v>9800</v>
      </c>
      <c r="Y56" s="47">
        <f>+Y54+Y45+Y40+Y31+Y17+Y16+Y10+Y9</f>
        <v>2000</v>
      </c>
      <c r="Z56" s="47">
        <f t="shared" si="20"/>
        <v>10460</v>
      </c>
      <c r="AA56" s="47">
        <f t="shared" si="20"/>
        <v>950</v>
      </c>
    </row>
    <row r="57" spans="2:27" ht="12.75">
      <c r="B57" s="20" t="s">
        <v>542</v>
      </c>
      <c r="C57" s="18" t="s">
        <v>204</v>
      </c>
      <c r="D57" s="44">
        <f>SUM(G57:T57)</f>
        <v>0</v>
      </c>
      <c r="E57" s="44">
        <f>SUM(U57:AA57)</f>
        <v>0</v>
      </c>
      <c r="F57" s="45">
        <f>+D57+E57</f>
        <v>0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</row>
    <row r="58" spans="2:27" ht="12.75">
      <c r="B58" s="20" t="s">
        <v>547</v>
      </c>
      <c r="C58" s="18" t="s">
        <v>214</v>
      </c>
      <c r="D58" s="44">
        <f>SUM(G58:T58)</f>
        <v>0</v>
      </c>
      <c r="E58" s="44">
        <f>SUM(U58:AA58)</f>
        <v>0</v>
      </c>
      <c r="F58" s="45">
        <f>+D58+E58</f>
        <v>0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</row>
    <row r="59" spans="2:27" s="38" customFormat="1" ht="12.75">
      <c r="B59" s="16" t="s">
        <v>215</v>
      </c>
      <c r="C59" s="10" t="s">
        <v>216</v>
      </c>
      <c r="D59" s="44">
        <f>SUM(G59:T59)</f>
        <v>0</v>
      </c>
      <c r="E59" s="44">
        <f>SUM(U59:AA59)</f>
        <v>0</v>
      </c>
      <c r="F59" s="45">
        <f>+D59+E59</f>
        <v>0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</row>
    <row r="60" spans="2:27" ht="12.75">
      <c r="B60" s="26" t="s">
        <v>517</v>
      </c>
      <c r="C60" s="27" t="s">
        <v>217</v>
      </c>
      <c r="D60" s="50">
        <f>+D59+D58+D57</f>
        <v>0</v>
      </c>
      <c r="E60" s="50">
        <f>+E59+E58+E57</f>
        <v>0</v>
      </c>
      <c r="F60" s="50">
        <f>+F59+F58+F57</f>
        <v>0</v>
      </c>
      <c r="G60" s="50">
        <f>+G59+G58+G57</f>
        <v>0</v>
      </c>
      <c r="H60" s="50">
        <f aca="true" t="shared" si="21" ref="H60:AA60">+H59+H58+H57</f>
        <v>0</v>
      </c>
      <c r="I60" s="50">
        <f t="shared" si="21"/>
        <v>0</v>
      </c>
      <c r="J60" s="50">
        <f t="shared" si="21"/>
        <v>0</v>
      </c>
      <c r="K60" s="50">
        <f t="shared" si="21"/>
        <v>0</v>
      </c>
      <c r="L60" s="50">
        <f t="shared" si="21"/>
        <v>0</v>
      </c>
      <c r="M60" s="50">
        <f t="shared" si="21"/>
        <v>0</v>
      </c>
      <c r="N60" s="50">
        <f t="shared" si="21"/>
        <v>0</v>
      </c>
      <c r="O60" s="50">
        <f t="shared" si="21"/>
        <v>0</v>
      </c>
      <c r="P60" s="50">
        <f t="shared" si="21"/>
        <v>0</v>
      </c>
      <c r="Q60" s="50">
        <f t="shared" si="21"/>
        <v>0</v>
      </c>
      <c r="R60" s="50">
        <f t="shared" si="21"/>
        <v>0</v>
      </c>
      <c r="S60" s="50">
        <f t="shared" si="21"/>
        <v>0</v>
      </c>
      <c r="T60" s="50">
        <f t="shared" si="21"/>
        <v>0</v>
      </c>
      <c r="U60" s="50">
        <f t="shared" si="21"/>
        <v>0</v>
      </c>
      <c r="V60" s="50">
        <f t="shared" si="21"/>
        <v>0</v>
      </c>
      <c r="W60" s="50">
        <f t="shared" si="21"/>
        <v>0</v>
      </c>
      <c r="X60" s="50">
        <f t="shared" si="21"/>
        <v>0</v>
      </c>
      <c r="Y60" s="50">
        <f t="shared" si="21"/>
        <v>0</v>
      </c>
      <c r="Z60" s="50">
        <f t="shared" si="21"/>
        <v>0</v>
      </c>
      <c r="AA60" s="50">
        <f t="shared" si="21"/>
        <v>0</v>
      </c>
    </row>
    <row r="61" spans="2:27" ht="12.75">
      <c r="B61" s="28" t="s">
        <v>771</v>
      </c>
      <c r="C61" s="28" t="s">
        <v>671</v>
      </c>
      <c r="D61" s="51">
        <f aca="true" t="shared" si="22" ref="D61:AA61">+D56+D60</f>
        <v>514392</v>
      </c>
      <c r="E61" s="51">
        <f t="shared" si="22"/>
        <v>55907</v>
      </c>
      <c r="F61" s="51">
        <f t="shared" si="22"/>
        <v>570299</v>
      </c>
      <c r="G61" s="51">
        <f t="shared" si="22"/>
        <v>379595</v>
      </c>
      <c r="H61" s="51">
        <f t="shared" si="22"/>
        <v>7400</v>
      </c>
      <c r="I61" s="51">
        <f t="shared" si="22"/>
        <v>1905</v>
      </c>
      <c r="J61" s="51">
        <f t="shared" si="22"/>
        <v>0</v>
      </c>
      <c r="K61" s="51">
        <f t="shared" si="22"/>
        <v>20409</v>
      </c>
      <c r="L61" s="51">
        <f t="shared" si="22"/>
        <v>3874</v>
      </c>
      <c r="M61" s="51">
        <f t="shared" si="22"/>
        <v>7874</v>
      </c>
      <c r="N61" s="51">
        <f t="shared" si="22"/>
        <v>31204</v>
      </c>
      <c r="O61" s="51">
        <f t="shared" si="22"/>
        <v>22015</v>
      </c>
      <c r="P61" s="51">
        <f t="shared" si="22"/>
        <v>33782</v>
      </c>
      <c r="Q61" s="51">
        <f t="shared" si="22"/>
        <v>3158</v>
      </c>
      <c r="R61" s="51">
        <f t="shared" si="22"/>
        <v>635</v>
      </c>
      <c r="S61" s="51">
        <f t="shared" si="22"/>
        <v>541</v>
      </c>
      <c r="T61" s="51">
        <f t="shared" si="22"/>
        <v>2000</v>
      </c>
      <c r="U61" s="51">
        <f t="shared" si="22"/>
        <v>11000</v>
      </c>
      <c r="V61" s="51">
        <f t="shared" si="22"/>
        <v>1645</v>
      </c>
      <c r="W61" s="51">
        <f t="shared" si="22"/>
        <v>20052</v>
      </c>
      <c r="X61" s="51">
        <f t="shared" si="22"/>
        <v>9800</v>
      </c>
      <c r="Y61" s="51">
        <f t="shared" si="22"/>
        <v>2000</v>
      </c>
      <c r="Z61" s="51">
        <f t="shared" si="22"/>
        <v>10460</v>
      </c>
      <c r="AA61" s="51">
        <f t="shared" si="22"/>
        <v>950</v>
      </c>
    </row>
    <row r="62" spans="2:7" s="30" customFormat="1" ht="12.75">
      <c r="B62" s="38"/>
      <c r="C62" s="52"/>
      <c r="D62" s="53"/>
      <c r="E62" s="53"/>
      <c r="F62" s="54"/>
      <c r="G62" s="53"/>
    </row>
    <row r="63" spans="3:27" s="59" customFormat="1" ht="12.75">
      <c r="C63" s="57"/>
      <c r="D63" s="57"/>
      <c r="E63" s="57"/>
      <c r="F63" s="57"/>
      <c r="G63" s="397" t="s">
        <v>461</v>
      </c>
      <c r="H63" s="398"/>
      <c r="I63" s="398"/>
      <c r="J63" s="398"/>
      <c r="K63" s="397" t="s">
        <v>461</v>
      </c>
      <c r="L63" s="398"/>
      <c r="M63" s="398"/>
      <c r="N63" s="398"/>
      <c r="O63" s="397" t="s">
        <v>461</v>
      </c>
      <c r="P63" s="398"/>
      <c r="Q63" s="398"/>
      <c r="R63" s="398"/>
      <c r="S63" s="398" t="s">
        <v>461</v>
      </c>
      <c r="T63" s="399"/>
      <c r="U63" s="397" t="s">
        <v>462</v>
      </c>
      <c r="V63" s="398"/>
      <c r="W63" s="397" t="s">
        <v>462</v>
      </c>
      <c r="X63" s="398"/>
      <c r="Y63" s="398"/>
      <c r="Z63" s="398"/>
      <c r="AA63" s="398"/>
    </row>
    <row r="64" spans="2:27" s="198" customFormat="1" ht="120" customHeight="1">
      <c r="B64" s="7" t="s">
        <v>76</v>
      </c>
      <c r="C64" s="8" t="s">
        <v>77</v>
      </c>
      <c r="D64" s="195" t="s">
        <v>466</v>
      </c>
      <c r="E64" s="195" t="s">
        <v>467</v>
      </c>
      <c r="F64" s="196" t="s">
        <v>468</v>
      </c>
      <c r="G64" s="197" t="s">
        <v>25</v>
      </c>
      <c r="H64" s="197" t="s">
        <v>26</v>
      </c>
      <c r="I64" s="199" t="s">
        <v>589</v>
      </c>
      <c r="J64" s="197" t="s">
        <v>590</v>
      </c>
      <c r="K64" s="197" t="s">
        <v>592</v>
      </c>
      <c r="L64" s="197" t="s">
        <v>594</v>
      </c>
      <c r="M64" s="197" t="s">
        <v>597</v>
      </c>
      <c r="N64" s="197" t="s">
        <v>595</v>
      </c>
      <c r="O64" s="197" t="s">
        <v>596</v>
      </c>
      <c r="P64" s="197" t="s">
        <v>598</v>
      </c>
      <c r="Q64" s="197" t="s">
        <v>599</v>
      </c>
      <c r="R64" s="197" t="s">
        <v>600</v>
      </c>
      <c r="S64" s="197" t="s">
        <v>602</v>
      </c>
      <c r="T64" s="197" t="s">
        <v>601</v>
      </c>
      <c r="U64" s="197" t="s">
        <v>593</v>
      </c>
      <c r="V64" s="197" t="s">
        <v>591</v>
      </c>
      <c r="W64" s="197" t="s">
        <v>463</v>
      </c>
      <c r="X64" s="197" t="s">
        <v>603</v>
      </c>
      <c r="Y64" s="197" t="s">
        <v>604</v>
      </c>
      <c r="Z64" s="197" t="s">
        <v>605</v>
      </c>
      <c r="AA64" s="197" t="s">
        <v>27</v>
      </c>
    </row>
    <row r="65" spans="2:27" s="279" customFormat="1" ht="12.75">
      <c r="B65" s="280" t="s">
        <v>620</v>
      </c>
      <c r="C65" s="283" t="s">
        <v>230</v>
      </c>
      <c r="D65" s="281">
        <f aca="true" t="shared" si="23" ref="D65:D70">SUM(G65:T65)</f>
        <v>0</v>
      </c>
      <c r="E65" s="281">
        <f aca="true" t="shared" si="24" ref="E65:E70">SUM(U65:AA65)</f>
        <v>0</v>
      </c>
      <c r="F65" s="278">
        <f aca="true" t="shared" si="25" ref="F65:F70">+E65+D65</f>
        <v>0</v>
      </c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</row>
    <row r="66" spans="2:27" ht="12.75">
      <c r="B66" s="10" t="s">
        <v>231</v>
      </c>
      <c r="C66" s="15" t="s">
        <v>232</v>
      </c>
      <c r="D66" s="44">
        <f t="shared" si="23"/>
        <v>0</v>
      </c>
      <c r="E66" s="44">
        <f t="shared" si="24"/>
        <v>0</v>
      </c>
      <c r="F66" s="45">
        <f t="shared" si="25"/>
        <v>0</v>
      </c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</row>
    <row r="67" spans="2:27" ht="27.75" customHeight="1">
      <c r="B67" s="10" t="s">
        <v>768</v>
      </c>
      <c r="C67" s="15" t="s">
        <v>233</v>
      </c>
      <c r="D67" s="44">
        <f t="shared" si="23"/>
        <v>0</v>
      </c>
      <c r="E67" s="44">
        <f t="shared" si="24"/>
        <v>0</v>
      </c>
      <c r="F67" s="45">
        <f t="shared" si="25"/>
        <v>0</v>
      </c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</row>
    <row r="68" spans="2:27" ht="27.75" customHeight="1">
      <c r="B68" s="10" t="s">
        <v>766</v>
      </c>
      <c r="C68" s="15" t="s">
        <v>234</v>
      </c>
      <c r="D68" s="44">
        <f t="shared" si="23"/>
        <v>0</v>
      </c>
      <c r="E68" s="44">
        <f t="shared" si="24"/>
        <v>0</v>
      </c>
      <c r="F68" s="45">
        <f t="shared" si="25"/>
        <v>0</v>
      </c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</row>
    <row r="69" spans="2:27" ht="26.25" customHeight="1">
      <c r="B69" s="10" t="s">
        <v>767</v>
      </c>
      <c r="C69" s="15" t="s">
        <v>235</v>
      </c>
      <c r="D69" s="44">
        <f t="shared" si="23"/>
        <v>0</v>
      </c>
      <c r="E69" s="44">
        <f t="shared" si="24"/>
        <v>0</v>
      </c>
      <c r="F69" s="45">
        <f t="shared" si="25"/>
        <v>0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</row>
    <row r="70" spans="2:27" ht="25.5">
      <c r="B70" s="10" t="s">
        <v>572</v>
      </c>
      <c r="C70" s="15" t="s">
        <v>236</v>
      </c>
      <c r="D70" s="44">
        <f t="shared" si="23"/>
        <v>0</v>
      </c>
      <c r="E70" s="44">
        <f t="shared" si="24"/>
        <v>0</v>
      </c>
      <c r="F70" s="45">
        <f t="shared" si="25"/>
        <v>0</v>
      </c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2:27" s="279" customFormat="1" ht="12.75">
      <c r="B71" s="280" t="s">
        <v>527</v>
      </c>
      <c r="C71" s="283" t="s">
        <v>237</v>
      </c>
      <c r="D71" s="278">
        <f>+D70+D69+D68+D67+D66+D65</f>
        <v>0</v>
      </c>
      <c r="E71" s="278">
        <f>+E70+E69+E68+E67+E66+E65</f>
        <v>0</v>
      </c>
      <c r="F71" s="278">
        <f>+F70+F69+F68+F67+F66+F65</f>
        <v>0</v>
      </c>
      <c r="G71" s="278">
        <f>+G70+G69+G68+G67+G66+G65</f>
        <v>0</v>
      </c>
      <c r="H71" s="278">
        <f aca="true" t="shared" si="26" ref="H71:AA71">+H70+H69+H68+H67+H66+H65</f>
        <v>0</v>
      </c>
      <c r="I71" s="278">
        <f t="shared" si="26"/>
        <v>0</v>
      </c>
      <c r="J71" s="278">
        <f t="shared" si="26"/>
        <v>0</v>
      </c>
      <c r="K71" s="278">
        <f t="shared" si="26"/>
        <v>0</v>
      </c>
      <c r="L71" s="278">
        <f t="shared" si="26"/>
        <v>0</v>
      </c>
      <c r="M71" s="278">
        <f t="shared" si="26"/>
        <v>0</v>
      </c>
      <c r="N71" s="278">
        <f t="shared" si="26"/>
        <v>0</v>
      </c>
      <c r="O71" s="278">
        <f t="shared" si="26"/>
        <v>0</v>
      </c>
      <c r="P71" s="278">
        <f t="shared" si="26"/>
        <v>0</v>
      </c>
      <c r="Q71" s="278">
        <f t="shared" si="26"/>
        <v>0</v>
      </c>
      <c r="R71" s="278">
        <f t="shared" si="26"/>
        <v>0</v>
      </c>
      <c r="S71" s="278">
        <f t="shared" si="26"/>
        <v>0</v>
      </c>
      <c r="T71" s="278">
        <f t="shared" si="26"/>
        <v>0</v>
      </c>
      <c r="U71" s="278">
        <f t="shared" si="26"/>
        <v>0</v>
      </c>
      <c r="V71" s="278">
        <f t="shared" si="26"/>
        <v>0</v>
      </c>
      <c r="W71" s="278">
        <f t="shared" si="26"/>
        <v>0</v>
      </c>
      <c r="X71" s="278">
        <f t="shared" si="26"/>
        <v>0</v>
      </c>
      <c r="Y71" s="278">
        <f t="shared" si="26"/>
        <v>0</v>
      </c>
      <c r="Z71" s="278">
        <f t="shared" si="26"/>
        <v>0</v>
      </c>
      <c r="AA71" s="278">
        <f t="shared" si="26"/>
        <v>0</v>
      </c>
    </row>
    <row r="72" spans="2:27" s="279" customFormat="1" ht="12.75">
      <c r="B72" s="280" t="s">
        <v>622</v>
      </c>
      <c r="C72" s="283" t="s">
        <v>242</v>
      </c>
      <c r="D72" s="281">
        <f aca="true" t="shared" si="27" ref="D72:D78">SUM(G72:T72)</f>
        <v>0</v>
      </c>
      <c r="E72" s="281">
        <f aca="true" t="shared" si="28" ref="E72:E78">SUM(U72:AA72)</f>
        <v>0</v>
      </c>
      <c r="F72" s="278">
        <f aca="true" t="shared" si="29" ref="F72:F78">+E72+D72</f>
        <v>0</v>
      </c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</row>
    <row r="73" spans="2:27" ht="12.75">
      <c r="B73" s="10" t="s">
        <v>623</v>
      </c>
      <c r="C73" s="15" t="s">
        <v>243</v>
      </c>
      <c r="D73" s="44">
        <f t="shared" si="27"/>
        <v>0</v>
      </c>
      <c r="E73" s="44">
        <f t="shared" si="28"/>
        <v>0</v>
      </c>
      <c r="F73" s="45">
        <f t="shared" si="29"/>
        <v>0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2:27" ht="12.75">
      <c r="B74" s="10" t="s">
        <v>573</v>
      </c>
      <c r="C74" s="15" t="s">
        <v>244</v>
      </c>
      <c r="D74" s="44">
        <f t="shared" si="27"/>
        <v>0</v>
      </c>
      <c r="E74" s="44">
        <f t="shared" si="28"/>
        <v>0</v>
      </c>
      <c r="F74" s="45">
        <f t="shared" si="29"/>
        <v>0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</row>
    <row r="75" spans="2:27" s="38" customFormat="1" ht="12.75">
      <c r="B75" s="10" t="s">
        <v>574</v>
      </c>
      <c r="C75" s="15" t="s">
        <v>245</v>
      </c>
      <c r="D75" s="44">
        <f t="shared" si="27"/>
        <v>0</v>
      </c>
      <c r="E75" s="44">
        <f t="shared" si="28"/>
        <v>0</v>
      </c>
      <c r="F75" s="45">
        <f t="shared" si="29"/>
        <v>0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</row>
    <row r="76" spans="2:27" s="38" customFormat="1" ht="12.75">
      <c r="B76" s="10" t="s">
        <v>575</v>
      </c>
      <c r="C76" s="15" t="s">
        <v>246</v>
      </c>
      <c r="D76" s="44">
        <f t="shared" si="27"/>
        <v>0</v>
      </c>
      <c r="E76" s="44">
        <f t="shared" si="28"/>
        <v>0</v>
      </c>
      <c r="F76" s="45">
        <f t="shared" si="29"/>
        <v>0</v>
      </c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</row>
    <row r="77" spans="2:27" s="38" customFormat="1" ht="12.75">
      <c r="B77" s="10" t="s">
        <v>624</v>
      </c>
      <c r="C77" s="15" t="s">
        <v>258</v>
      </c>
      <c r="D77" s="44">
        <f t="shared" si="27"/>
        <v>0</v>
      </c>
      <c r="E77" s="44">
        <f t="shared" si="28"/>
        <v>0</v>
      </c>
      <c r="F77" s="45">
        <f t="shared" si="29"/>
        <v>0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</row>
    <row r="78" spans="2:27" s="38" customFormat="1" ht="12.75">
      <c r="B78" s="10" t="s">
        <v>578</v>
      </c>
      <c r="C78" s="15" t="s">
        <v>259</v>
      </c>
      <c r="D78" s="44">
        <f t="shared" si="27"/>
        <v>0</v>
      </c>
      <c r="E78" s="44">
        <f t="shared" si="28"/>
        <v>0</v>
      </c>
      <c r="F78" s="45">
        <f t="shared" si="29"/>
        <v>0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2:27" s="284" customFormat="1" ht="12.75">
      <c r="B79" s="280" t="s">
        <v>434</v>
      </c>
      <c r="C79" s="283" t="s">
        <v>260</v>
      </c>
      <c r="D79" s="278">
        <f>SUM(D73:D78)</f>
        <v>0</v>
      </c>
      <c r="E79" s="278">
        <f>SUM(E73:E78)</f>
        <v>0</v>
      </c>
      <c r="F79" s="278">
        <f>SUM(F73:F78)</f>
        <v>0</v>
      </c>
      <c r="G79" s="278">
        <f>SUM(G73:G78)</f>
        <v>0</v>
      </c>
      <c r="H79" s="278">
        <f aca="true" t="shared" si="30" ref="H79:AA79">SUM(H73:H78)</f>
        <v>0</v>
      </c>
      <c r="I79" s="278">
        <f t="shared" si="30"/>
        <v>0</v>
      </c>
      <c r="J79" s="278">
        <f t="shared" si="30"/>
        <v>0</v>
      </c>
      <c r="K79" s="278">
        <f t="shared" si="30"/>
        <v>0</v>
      </c>
      <c r="L79" s="278">
        <f t="shared" si="30"/>
        <v>0</v>
      </c>
      <c r="M79" s="278">
        <f t="shared" si="30"/>
        <v>0</v>
      </c>
      <c r="N79" s="278">
        <f t="shared" si="30"/>
        <v>0</v>
      </c>
      <c r="O79" s="278">
        <f t="shared" si="30"/>
        <v>0</v>
      </c>
      <c r="P79" s="278">
        <f t="shared" si="30"/>
        <v>0</v>
      </c>
      <c r="Q79" s="278">
        <f t="shared" si="30"/>
        <v>0</v>
      </c>
      <c r="R79" s="278">
        <f t="shared" si="30"/>
        <v>0</v>
      </c>
      <c r="S79" s="278">
        <f t="shared" si="30"/>
        <v>0</v>
      </c>
      <c r="T79" s="278">
        <f t="shared" si="30"/>
        <v>0</v>
      </c>
      <c r="U79" s="278">
        <f t="shared" si="30"/>
        <v>0</v>
      </c>
      <c r="V79" s="278">
        <f t="shared" si="30"/>
        <v>0</v>
      </c>
      <c r="W79" s="278">
        <f t="shared" si="30"/>
        <v>0</v>
      </c>
      <c r="X79" s="278">
        <f t="shared" si="30"/>
        <v>0</v>
      </c>
      <c r="Y79" s="278">
        <f t="shared" si="30"/>
        <v>0</v>
      </c>
      <c r="Z79" s="278">
        <f t="shared" si="30"/>
        <v>0</v>
      </c>
      <c r="AA79" s="278">
        <f t="shared" si="30"/>
        <v>0</v>
      </c>
    </row>
    <row r="80" spans="2:27" s="38" customFormat="1" ht="12.75">
      <c r="B80" s="16" t="s">
        <v>261</v>
      </c>
      <c r="C80" s="15" t="s">
        <v>262</v>
      </c>
      <c r="D80" s="44">
        <f aca="true" t="shared" si="31" ref="D80:D89">SUM(G80:T80)</f>
        <v>0</v>
      </c>
      <c r="E80" s="44">
        <f aca="true" t="shared" si="32" ref="E80:E89">SUM(U80:AA80)</f>
        <v>0</v>
      </c>
      <c r="F80" s="45">
        <f aca="true" t="shared" si="33" ref="F80:F89">+E80+D80</f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2:27" s="38" customFormat="1" ht="12.75">
      <c r="B81" s="16" t="s">
        <v>579</v>
      </c>
      <c r="C81" s="15" t="s">
        <v>263</v>
      </c>
      <c r="D81" s="44">
        <f t="shared" si="31"/>
        <v>1834</v>
      </c>
      <c r="E81" s="44">
        <f t="shared" si="32"/>
        <v>0</v>
      </c>
      <c r="F81" s="45">
        <f t="shared" si="33"/>
        <v>1834</v>
      </c>
      <c r="G81" s="44"/>
      <c r="H81" s="44">
        <v>1834</v>
      </c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2:27" s="38" customFormat="1" ht="12.75">
      <c r="B82" s="16" t="s">
        <v>580</v>
      </c>
      <c r="C82" s="15" t="s">
        <v>264</v>
      </c>
      <c r="D82" s="44">
        <f t="shared" si="31"/>
        <v>144</v>
      </c>
      <c r="E82" s="44">
        <f t="shared" si="32"/>
        <v>0</v>
      </c>
      <c r="F82" s="45">
        <f t="shared" si="33"/>
        <v>144</v>
      </c>
      <c r="G82" s="44"/>
      <c r="H82" s="44">
        <f>113+31</f>
        <v>144</v>
      </c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</row>
    <row r="83" spans="2:27" s="38" customFormat="1" ht="15" customHeight="1">
      <c r="B83" s="16" t="s">
        <v>581</v>
      </c>
      <c r="C83" s="15" t="s">
        <v>265</v>
      </c>
      <c r="D83" s="44">
        <f t="shared" si="31"/>
        <v>2131</v>
      </c>
      <c r="E83" s="44">
        <f t="shared" si="32"/>
        <v>1000</v>
      </c>
      <c r="F83" s="45">
        <f t="shared" si="33"/>
        <v>3131</v>
      </c>
      <c r="G83" s="44"/>
      <c r="H83" s="44">
        <v>1565</v>
      </c>
      <c r="I83" s="44"/>
      <c r="J83" s="44">
        <v>566</v>
      </c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>
        <v>1000</v>
      </c>
      <c r="AA83" s="44"/>
    </row>
    <row r="84" spans="2:27" s="38" customFormat="1" ht="15" customHeight="1">
      <c r="B84" s="16" t="s">
        <v>266</v>
      </c>
      <c r="C84" s="15" t="s">
        <v>267</v>
      </c>
      <c r="D84" s="44">
        <f t="shared" si="31"/>
        <v>0</v>
      </c>
      <c r="E84" s="44">
        <f t="shared" si="32"/>
        <v>0</v>
      </c>
      <c r="F84" s="45">
        <f t="shared" si="33"/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2:27" ht="12.75">
      <c r="B85" s="16" t="s">
        <v>268</v>
      </c>
      <c r="C85" s="15" t="s">
        <v>269</v>
      </c>
      <c r="D85" s="44">
        <f t="shared" si="31"/>
        <v>0</v>
      </c>
      <c r="E85" s="44">
        <f t="shared" si="32"/>
        <v>0</v>
      </c>
      <c r="F85" s="45">
        <f t="shared" si="33"/>
        <v>0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</row>
    <row r="86" spans="2:27" s="38" customFormat="1" ht="12.75">
      <c r="B86" s="16" t="s">
        <v>270</v>
      </c>
      <c r="C86" s="15" t="s">
        <v>271</v>
      </c>
      <c r="D86" s="44">
        <f t="shared" si="31"/>
        <v>0</v>
      </c>
      <c r="E86" s="44">
        <f t="shared" si="32"/>
        <v>0</v>
      </c>
      <c r="F86" s="45">
        <f t="shared" si="33"/>
        <v>0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</row>
    <row r="87" spans="2:27" s="38" customFormat="1" ht="12.75">
      <c r="B87" s="16" t="s">
        <v>582</v>
      </c>
      <c r="C87" s="15" t="s">
        <v>272</v>
      </c>
      <c r="D87" s="44">
        <f t="shared" si="31"/>
        <v>2000</v>
      </c>
      <c r="E87" s="44">
        <f t="shared" si="32"/>
        <v>0</v>
      </c>
      <c r="F87" s="45">
        <f t="shared" si="33"/>
        <v>2000</v>
      </c>
      <c r="G87" s="44">
        <v>2000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</row>
    <row r="88" spans="2:27" s="38" customFormat="1" ht="12.75">
      <c r="B88" s="16" t="s">
        <v>583</v>
      </c>
      <c r="C88" s="15" t="s">
        <v>273</v>
      </c>
      <c r="D88" s="44">
        <f t="shared" si="31"/>
        <v>0</v>
      </c>
      <c r="E88" s="44">
        <f t="shared" si="32"/>
        <v>0</v>
      </c>
      <c r="F88" s="45">
        <f t="shared" si="33"/>
        <v>0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</row>
    <row r="89" spans="2:27" s="38" customFormat="1" ht="12.75">
      <c r="B89" s="16" t="s">
        <v>584</v>
      </c>
      <c r="C89" s="15" t="s">
        <v>274</v>
      </c>
      <c r="D89" s="44">
        <f t="shared" si="31"/>
        <v>1900</v>
      </c>
      <c r="E89" s="44">
        <f t="shared" si="32"/>
        <v>0</v>
      </c>
      <c r="F89" s="45">
        <f t="shared" si="33"/>
        <v>1900</v>
      </c>
      <c r="G89" s="44"/>
      <c r="H89" s="44"/>
      <c r="I89" s="44"/>
      <c r="J89" s="44"/>
      <c r="K89" s="44"/>
      <c r="L89" s="44"/>
      <c r="M89" s="44">
        <v>1900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</row>
    <row r="90" spans="2:27" s="284" customFormat="1" ht="12.75">
      <c r="B90" s="282" t="s">
        <v>435</v>
      </c>
      <c r="C90" s="283" t="s">
        <v>275</v>
      </c>
      <c r="D90" s="278">
        <f>SUM(D80:D89)</f>
        <v>8009</v>
      </c>
      <c r="E90" s="278">
        <f>SUM(E80:E89)</f>
        <v>1000</v>
      </c>
      <c r="F90" s="278">
        <f>SUM(F80:F89)</f>
        <v>9009</v>
      </c>
      <c r="G90" s="278">
        <f>SUM(G80:G89)</f>
        <v>2000</v>
      </c>
      <c r="H90" s="278">
        <f aca="true" t="shared" si="34" ref="H90:AA90">SUM(H80:H89)</f>
        <v>3543</v>
      </c>
      <c r="I90" s="278">
        <f t="shared" si="34"/>
        <v>0</v>
      </c>
      <c r="J90" s="278">
        <f t="shared" si="34"/>
        <v>566</v>
      </c>
      <c r="K90" s="278">
        <f t="shared" si="34"/>
        <v>0</v>
      </c>
      <c r="L90" s="278">
        <f t="shared" si="34"/>
        <v>0</v>
      </c>
      <c r="M90" s="278">
        <f t="shared" si="34"/>
        <v>1900</v>
      </c>
      <c r="N90" s="278">
        <f t="shared" si="34"/>
        <v>0</v>
      </c>
      <c r="O90" s="278">
        <f t="shared" si="34"/>
        <v>0</v>
      </c>
      <c r="P90" s="278">
        <f t="shared" si="34"/>
        <v>0</v>
      </c>
      <c r="Q90" s="278">
        <f t="shared" si="34"/>
        <v>0</v>
      </c>
      <c r="R90" s="278">
        <f t="shared" si="34"/>
        <v>0</v>
      </c>
      <c r="S90" s="278">
        <f t="shared" si="34"/>
        <v>0</v>
      </c>
      <c r="T90" s="278">
        <f t="shared" si="34"/>
        <v>0</v>
      </c>
      <c r="U90" s="278">
        <f t="shared" si="34"/>
        <v>0</v>
      </c>
      <c r="V90" s="278">
        <f t="shared" si="34"/>
        <v>0</v>
      </c>
      <c r="W90" s="278">
        <f t="shared" si="34"/>
        <v>0</v>
      </c>
      <c r="X90" s="278">
        <f t="shared" si="34"/>
        <v>0</v>
      </c>
      <c r="Y90" s="278">
        <f t="shared" si="34"/>
        <v>0</v>
      </c>
      <c r="Z90" s="278">
        <f t="shared" si="34"/>
        <v>1000</v>
      </c>
      <c r="AA90" s="278">
        <f t="shared" si="34"/>
        <v>0</v>
      </c>
    </row>
    <row r="91" spans="2:27" ht="12.75">
      <c r="B91" s="16" t="s">
        <v>585</v>
      </c>
      <c r="C91" s="15" t="s">
        <v>276</v>
      </c>
      <c r="D91" s="44">
        <f>SUM(G91:T91)</f>
        <v>0</v>
      </c>
      <c r="E91" s="44">
        <f>SUM(U91:AA91)</f>
        <v>0</v>
      </c>
      <c r="F91" s="45">
        <f>+E91+D91</f>
        <v>0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2:27" ht="12.75">
      <c r="B92" s="16" t="s">
        <v>586</v>
      </c>
      <c r="C92" s="15" t="s">
        <v>277</v>
      </c>
      <c r="D92" s="44">
        <f>SUM(G92:T92)</f>
        <v>0</v>
      </c>
      <c r="E92" s="44">
        <f>SUM(U92:AA92)</f>
        <v>0</v>
      </c>
      <c r="F92" s="45">
        <f>+E92+D92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</row>
    <row r="93" spans="2:27" s="38" customFormat="1" ht="12.75">
      <c r="B93" s="16" t="s">
        <v>278</v>
      </c>
      <c r="C93" s="15" t="s">
        <v>279</v>
      </c>
      <c r="D93" s="44">
        <f>SUM(G93:T93)</f>
        <v>0</v>
      </c>
      <c r="E93" s="44">
        <f>SUM(U93:AA93)</f>
        <v>0</v>
      </c>
      <c r="F93" s="45">
        <f>+E93+D93</f>
        <v>0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</row>
    <row r="94" spans="2:27" s="38" customFormat="1" ht="12.75">
      <c r="B94" s="16" t="s">
        <v>587</v>
      </c>
      <c r="C94" s="15" t="s">
        <v>280</v>
      </c>
      <c r="D94" s="44">
        <f>SUM(G94:T94)</f>
        <v>0</v>
      </c>
      <c r="E94" s="44">
        <f>SUM(U94:AA94)</f>
        <v>0</v>
      </c>
      <c r="F94" s="45">
        <f>+E94+D94</f>
        <v>0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</row>
    <row r="95" spans="2:27" s="38" customFormat="1" ht="12.75">
      <c r="B95" s="16" t="s">
        <v>281</v>
      </c>
      <c r="C95" s="15" t="s">
        <v>282</v>
      </c>
      <c r="D95" s="44">
        <f>SUM(G95:T95)</f>
        <v>0</v>
      </c>
      <c r="E95" s="44">
        <f>SUM(U95:AA95)</f>
        <v>0</v>
      </c>
      <c r="F95" s="45">
        <f>+E95+D95</f>
        <v>0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  <row r="96" spans="2:27" s="279" customFormat="1" ht="12.75">
      <c r="B96" s="280" t="s">
        <v>693</v>
      </c>
      <c r="C96" s="283" t="s">
        <v>283</v>
      </c>
      <c r="D96" s="278">
        <f>SUM(D91:D95)</f>
        <v>0</v>
      </c>
      <c r="E96" s="278">
        <f>SUM(E91:E95)</f>
        <v>0</v>
      </c>
      <c r="F96" s="278">
        <f>SUM(F91:F95)</f>
        <v>0</v>
      </c>
      <c r="G96" s="278">
        <f>SUM(G91:G95)</f>
        <v>0</v>
      </c>
      <c r="H96" s="278">
        <f aca="true" t="shared" si="35" ref="H96:AA96">SUM(H91:H95)</f>
        <v>0</v>
      </c>
      <c r="I96" s="278">
        <f t="shared" si="35"/>
        <v>0</v>
      </c>
      <c r="J96" s="278">
        <f t="shared" si="35"/>
        <v>0</v>
      </c>
      <c r="K96" s="278">
        <f t="shared" si="35"/>
        <v>0</v>
      </c>
      <c r="L96" s="278">
        <f t="shared" si="35"/>
        <v>0</v>
      </c>
      <c r="M96" s="278">
        <f t="shared" si="35"/>
        <v>0</v>
      </c>
      <c r="N96" s="278">
        <f t="shared" si="35"/>
        <v>0</v>
      </c>
      <c r="O96" s="278">
        <f t="shared" si="35"/>
        <v>0</v>
      </c>
      <c r="P96" s="278">
        <f t="shared" si="35"/>
        <v>0</v>
      </c>
      <c r="Q96" s="278">
        <f t="shared" si="35"/>
        <v>0</v>
      </c>
      <c r="R96" s="278">
        <f t="shared" si="35"/>
        <v>0</v>
      </c>
      <c r="S96" s="278">
        <f t="shared" si="35"/>
        <v>0</v>
      </c>
      <c r="T96" s="278">
        <f t="shared" si="35"/>
        <v>0</v>
      </c>
      <c r="U96" s="278">
        <f t="shared" si="35"/>
        <v>0</v>
      </c>
      <c r="V96" s="278">
        <f t="shared" si="35"/>
        <v>0</v>
      </c>
      <c r="W96" s="278">
        <f t="shared" si="35"/>
        <v>0</v>
      </c>
      <c r="X96" s="278">
        <f t="shared" si="35"/>
        <v>0</v>
      </c>
      <c r="Y96" s="278">
        <f t="shared" si="35"/>
        <v>0</v>
      </c>
      <c r="Z96" s="278">
        <f t="shared" si="35"/>
        <v>0</v>
      </c>
      <c r="AA96" s="278">
        <f t="shared" si="35"/>
        <v>0</v>
      </c>
    </row>
    <row r="97" spans="2:27" s="279" customFormat="1" ht="12.75">
      <c r="B97" s="280" t="s">
        <v>628</v>
      </c>
      <c r="C97" s="283" t="s">
        <v>286</v>
      </c>
      <c r="D97" s="281">
        <f>SUM(G97:T97)</f>
        <v>0</v>
      </c>
      <c r="E97" s="281">
        <f>SUM(U97:AA97)</f>
        <v>0</v>
      </c>
      <c r="F97" s="278">
        <f>+E97+D97</f>
        <v>0</v>
      </c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</row>
    <row r="98" spans="2:27" ht="27" customHeight="1">
      <c r="B98" s="16" t="s">
        <v>808</v>
      </c>
      <c r="C98" s="15" t="s">
        <v>287</v>
      </c>
      <c r="D98" s="44">
        <f>SUM(G98:T98)</f>
        <v>0</v>
      </c>
      <c r="E98" s="44">
        <f>SUM(U98:AA98)</f>
        <v>0</v>
      </c>
      <c r="F98" s="45">
        <f>+E98+D98</f>
        <v>0</v>
      </c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2:27" ht="27" customHeight="1">
      <c r="B99" s="10" t="s">
        <v>807</v>
      </c>
      <c r="C99" s="15" t="s">
        <v>288</v>
      </c>
      <c r="D99" s="44">
        <f>SUM(G99:T99)</f>
        <v>0</v>
      </c>
      <c r="E99" s="44">
        <f>SUM(U99:AA99)</f>
        <v>0</v>
      </c>
      <c r="F99" s="45">
        <f>+E99+D99</f>
        <v>0</v>
      </c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2:27" s="38" customFormat="1" ht="15" customHeight="1">
      <c r="B100" s="16" t="s">
        <v>612</v>
      </c>
      <c r="C100" s="15" t="s">
        <v>289</v>
      </c>
      <c r="D100" s="44">
        <f>SUM(G100:T100)</f>
        <v>25400</v>
      </c>
      <c r="E100" s="44">
        <f>SUM(U100:AA100)</f>
        <v>0</v>
      </c>
      <c r="F100" s="45">
        <f>+E100+D100</f>
        <v>25400</v>
      </c>
      <c r="G100" s="44"/>
      <c r="H100" s="44"/>
      <c r="I100" s="44"/>
      <c r="J100" s="44"/>
      <c r="K100" s="44"/>
      <c r="L100" s="44"/>
      <c r="M100" s="44"/>
      <c r="N100" s="44">
        <v>25400</v>
      </c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spans="2:27" s="279" customFormat="1" ht="12.75">
      <c r="B101" s="280" t="s">
        <v>512</v>
      </c>
      <c r="C101" s="283" t="s">
        <v>290</v>
      </c>
      <c r="D101" s="278">
        <f>SUM(D98:D100)</f>
        <v>25400</v>
      </c>
      <c r="E101" s="278">
        <f>SUM(E98:E100)</f>
        <v>0</v>
      </c>
      <c r="F101" s="278">
        <f>SUM(F98:F100)</f>
        <v>25400</v>
      </c>
      <c r="G101" s="278">
        <f>SUM(G98:G100)</f>
        <v>0</v>
      </c>
      <c r="H101" s="278">
        <f aca="true" t="shared" si="36" ref="H101:AA101">SUM(H98:H100)</f>
        <v>0</v>
      </c>
      <c r="I101" s="278">
        <f t="shared" si="36"/>
        <v>0</v>
      </c>
      <c r="J101" s="278">
        <f t="shared" si="36"/>
        <v>0</v>
      </c>
      <c r="K101" s="278">
        <f t="shared" si="36"/>
        <v>0</v>
      </c>
      <c r="L101" s="278">
        <f t="shared" si="36"/>
        <v>0</v>
      </c>
      <c r="M101" s="278">
        <f t="shared" si="36"/>
        <v>0</v>
      </c>
      <c r="N101" s="278">
        <f t="shared" si="36"/>
        <v>25400</v>
      </c>
      <c r="O101" s="278">
        <f t="shared" si="36"/>
        <v>0</v>
      </c>
      <c r="P101" s="278">
        <f t="shared" si="36"/>
        <v>0</v>
      </c>
      <c r="Q101" s="278">
        <f t="shared" si="36"/>
        <v>0</v>
      </c>
      <c r="R101" s="278">
        <f t="shared" si="36"/>
        <v>0</v>
      </c>
      <c r="S101" s="278">
        <f t="shared" si="36"/>
        <v>0</v>
      </c>
      <c r="T101" s="278">
        <f t="shared" si="36"/>
        <v>0</v>
      </c>
      <c r="U101" s="278">
        <f t="shared" si="36"/>
        <v>0</v>
      </c>
      <c r="V101" s="278">
        <f t="shared" si="36"/>
        <v>0</v>
      </c>
      <c r="W101" s="278">
        <f t="shared" si="36"/>
        <v>0</v>
      </c>
      <c r="X101" s="278">
        <f t="shared" si="36"/>
        <v>0</v>
      </c>
      <c r="Y101" s="278">
        <f t="shared" si="36"/>
        <v>0</v>
      </c>
      <c r="Z101" s="278">
        <f t="shared" si="36"/>
        <v>0</v>
      </c>
      <c r="AA101" s="278">
        <f t="shared" si="36"/>
        <v>0</v>
      </c>
    </row>
    <row r="102" spans="2:27" s="38" customFormat="1" ht="12.75">
      <c r="B102" s="31" t="s">
        <v>516</v>
      </c>
      <c r="C102" s="24" t="s">
        <v>672</v>
      </c>
      <c r="D102" s="47">
        <f>+D101+D97+D96+D90+D79+D72+D71</f>
        <v>33409</v>
      </c>
      <c r="E102" s="47">
        <f>+E101+E97+E96+E90+E79+E72+E71</f>
        <v>1000</v>
      </c>
      <c r="F102" s="47">
        <f>+F101+F97+F96+F90+F79+F72+F71</f>
        <v>34409</v>
      </c>
      <c r="G102" s="47">
        <f>+G101+G97+G96+G90+G79+G72+G71</f>
        <v>2000</v>
      </c>
      <c r="H102" s="47">
        <f aca="true" t="shared" si="37" ref="H102:AA102">+H101+H97+H96+H90+H79+H72+H71</f>
        <v>3543</v>
      </c>
      <c r="I102" s="47">
        <f t="shared" si="37"/>
        <v>0</v>
      </c>
      <c r="J102" s="47">
        <f t="shared" si="37"/>
        <v>566</v>
      </c>
      <c r="K102" s="47">
        <f t="shared" si="37"/>
        <v>0</v>
      </c>
      <c r="L102" s="47">
        <f t="shared" si="37"/>
        <v>0</v>
      </c>
      <c r="M102" s="47">
        <f t="shared" si="37"/>
        <v>1900</v>
      </c>
      <c r="N102" s="47">
        <f t="shared" si="37"/>
        <v>25400</v>
      </c>
      <c r="O102" s="47">
        <f t="shared" si="37"/>
        <v>0</v>
      </c>
      <c r="P102" s="47">
        <f t="shared" si="37"/>
        <v>0</v>
      </c>
      <c r="Q102" s="47">
        <f t="shared" si="37"/>
        <v>0</v>
      </c>
      <c r="R102" s="47">
        <f t="shared" si="37"/>
        <v>0</v>
      </c>
      <c r="S102" s="47">
        <f t="shared" si="37"/>
        <v>0</v>
      </c>
      <c r="T102" s="47">
        <f t="shared" si="37"/>
        <v>0</v>
      </c>
      <c r="U102" s="47">
        <f t="shared" si="37"/>
        <v>0</v>
      </c>
      <c r="V102" s="47">
        <f t="shared" si="37"/>
        <v>0</v>
      </c>
      <c r="W102" s="47">
        <f t="shared" si="37"/>
        <v>0</v>
      </c>
      <c r="X102" s="47">
        <f t="shared" si="37"/>
        <v>0</v>
      </c>
      <c r="Y102" s="47">
        <f t="shared" si="37"/>
        <v>0</v>
      </c>
      <c r="Z102" s="47">
        <f t="shared" si="37"/>
        <v>1000</v>
      </c>
      <c r="AA102" s="47">
        <f t="shared" si="37"/>
        <v>0</v>
      </c>
    </row>
    <row r="103" spans="2:27" ht="13.5">
      <c r="B103" s="42" t="s">
        <v>668</v>
      </c>
      <c r="C103" s="43"/>
      <c r="D103" s="55">
        <f>+D97+D90+D79+D71-D32</f>
        <v>-344789</v>
      </c>
      <c r="E103" s="55">
        <f>+E97+E90+E79+E71-E32</f>
        <v>-54907</v>
      </c>
      <c r="F103" s="55">
        <f aca="true" t="shared" si="38" ref="F103:F110">+E103+D103</f>
        <v>-399696</v>
      </c>
      <c r="G103" s="55">
        <f aca="true" t="shared" si="39" ref="G103:AA103">+G97+G90+G79+G71-G32</f>
        <v>-241401</v>
      </c>
      <c r="H103" s="55">
        <f t="shared" si="39"/>
        <v>-3857</v>
      </c>
      <c r="I103" s="55">
        <f t="shared" si="39"/>
        <v>-1905</v>
      </c>
      <c r="J103" s="55">
        <f t="shared" si="39"/>
        <v>566</v>
      </c>
      <c r="K103" s="55">
        <f t="shared" si="39"/>
        <v>-20409</v>
      </c>
      <c r="L103" s="55">
        <f t="shared" si="39"/>
        <v>-3874</v>
      </c>
      <c r="M103" s="55">
        <f t="shared" si="39"/>
        <v>-5974</v>
      </c>
      <c r="N103" s="55">
        <f t="shared" si="39"/>
        <v>-5804</v>
      </c>
      <c r="O103" s="55">
        <f t="shared" si="39"/>
        <v>-22015</v>
      </c>
      <c r="P103" s="55">
        <f t="shared" si="39"/>
        <v>-33782</v>
      </c>
      <c r="Q103" s="55">
        <f t="shared" si="39"/>
        <v>-3158</v>
      </c>
      <c r="R103" s="55">
        <f t="shared" si="39"/>
        <v>-635</v>
      </c>
      <c r="S103" s="55">
        <f t="shared" si="39"/>
        <v>-541</v>
      </c>
      <c r="T103" s="55">
        <f t="shared" si="39"/>
        <v>-2000</v>
      </c>
      <c r="U103" s="55">
        <f t="shared" si="39"/>
        <v>-11000</v>
      </c>
      <c r="V103" s="55">
        <f t="shared" si="39"/>
        <v>-1645</v>
      </c>
      <c r="W103" s="55">
        <f t="shared" si="39"/>
        <v>-20052</v>
      </c>
      <c r="X103" s="55">
        <f>+X97+X90+X79+X71-X32</f>
        <v>-9800</v>
      </c>
      <c r="Y103" s="55">
        <f t="shared" si="39"/>
        <v>-2000</v>
      </c>
      <c r="Z103" s="55">
        <f t="shared" si="39"/>
        <v>-9460</v>
      </c>
      <c r="AA103" s="55">
        <f t="shared" si="39"/>
        <v>-950</v>
      </c>
    </row>
    <row r="104" spans="2:27" s="38" customFormat="1" ht="13.5">
      <c r="B104" s="42" t="s">
        <v>669</v>
      </c>
      <c r="C104" s="43"/>
      <c r="D104" s="55">
        <f>+D101+D96+D72-D55</f>
        <v>-136194</v>
      </c>
      <c r="E104" s="55">
        <f>+E101+E96+E72-E55</f>
        <v>0</v>
      </c>
      <c r="F104" s="55">
        <f t="shared" si="38"/>
        <v>-136194</v>
      </c>
      <c r="G104" s="55">
        <f aca="true" t="shared" si="40" ref="G104:AA104">+G101+G96+G72-G55</f>
        <v>-136194</v>
      </c>
      <c r="H104" s="55">
        <f t="shared" si="40"/>
        <v>0</v>
      </c>
      <c r="I104" s="55">
        <f t="shared" si="40"/>
        <v>0</v>
      </c>
      <c r="J104" s="55">
        <f t="shared" si="40"/>
        <v>0</v>
      </c>
      <c r="K104" s="55">
        <f t="shared" si="40"/>
        <v>0</v>
      </c>
      <c r="L104" s="55">
        <f t="shared" si="40"/>
        <v>0</v>
      </c>
      <c r="M104" s="55">
        <f t="shared" si="40"/>
        <v>0</v>
      </c>
      <c r="N104" s="55">
        <f t="shared" si="40"/>
        <v>0</v>
      </c>
      <c r="O104" s="55">
        <f t="shared" si="40"/>
        <v>0</v>
      </c>
      <c r="P104" s="55">
        <f t="shared" si="40"/>
        <v>0</v>
      </c>
      <c r="Q104" s="55">
        <f t="shared" si="40"/>
        <v>0</v>
      </c>
      <c r="R104" s="55">
        <f t="shared" si="40"/>
        <v>0</v>
      </c>
      <c r="S104" s="55">
        <f t="shared" si="40"/>
        <v>0</v>
      </c>
      <c r="T104" s="55">
        <f t="shared" si="40"/>
        <v>0</v>
      </c>
      <c r="U104" s="55">
        <f t="shared" si="40"/>
        <v>0</v>
      </c>
      <c r="V104" s="55">
        <f t="shared" si="40"/>
        <v>0</v>
      </c>
      <c r="W104" s="55">
        <f t="shared" si="40"/>
        <v>0</v>
      </c>
      <c r="X104" s="55">
        <f>+X101+X96+X72-X55</f>
        <v>0</v>
      </c>
      <c r="Y104" s="55">
        <f t="shared" si="40"/>
        <v>0</v>
      </c>
      <c r="Z104" s="55">
        <f t="shared" si="40"/>
        <v>0</v>
      </c>
      <c r="AA104" s="55">
        <f t="shared" si="40"/>
        <v>0</v>
      </c>
    </row>
    <row r="105" spans="2:27" ht="12.75">
      <c r="B105" s="17" t="s">
        <v>631</v>
      </c>
      <c r="C105" s="18" t="s">
        <v>295</v>
      </c>
      <c r="D105" s="44">
        <f aca="true" t="shared" si="41" ref="D105:D110">SUM(G105:T105)</f>
        <v>0</v>
      </c>
      <c r="E105" s="44">
        <f aca="true" t="shared" si="42" ref="E105:E110">SUM(U105:AA105)</f>
        <v>0</v>
      </c>
      <c r="F105" s="45">
        <f t="shared" si="38"/>
        <v>0</v>
      </c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</row>
    <row r="106" spans="2:27" ht="12.75">
      <c r="B106" s="20" t="s">
        <v>632</v>
      </c>
      <c r="C106" s="18" t="s">
        <v>302</v>
      </c>
      <c r="D106" s="44">
        <f t="shared" si="41"/>
        <v>0</v>
      </c>
      <c r="E106" s="44">
        <f t="shared" si="42"/>
        <v>0</v>
      </c>
      <c r="F106" s="45">
        <f t="shared" si="38"/>
        <v>0</v>
      </c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2:27" s="38" customFormat="1" ht="25.5">
      <c r="B107" s="10" t="s">
        <v>788</v>
      </c>
      <c r="C107" s="10" t="s">
        <v>303</v>
      </c>
      <c r="D107" s="44">
        <f t="shared" si="41"/>
        <v>0</v>
      </c>
      <c r="E107" s="44">
        <f t="shared" si="42"/>
        <v>0</v>
      </c>
      <c r="F107" s="45">
        <f t="shared" si="38"/>
        <v>0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2:27" s="38" customFormat="1" ht="25.5">
      <c r="B108" s="10" t="s">
        <v>789</v>
      </c>
      <c r="C108" s="10" t="s">
        <v>303</v>
      </c>
      <c r="D108" s="44">
        <f t="shared" si="41"/>
        <v>0</v>
      </c>
      <c r="E108" s="44">
        <f t="shared" si="42"/>
        <v>0</v>
      </c>
      <c r="F108" s="45">
        <f t="shared" si="38"/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2:27" s="38" customFormat="1" ht="12.75">
      <c r="B109" s="10" t="s">
        <v>786</v>
      </c>
      <c r="C109" s="10" t="s">
        <v>304</v>
      </c>
      <c r="D109" s="44">
        <f t="shared" si="41"/>
        <v>0</v>
      </c>
      <c r="E109" s="44">
        <f t="shared" si="42"/>
        <v>0</v>
      </c>
      <c r="F109" s="45">
        <f t="shared" si="38"/>
        <v>0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0" spans="2:27" s="38" customFormat="1" ht="25.5">
      <c r="B110" s="10" t="s">
        <v>787</v>
      </c>
      <c r="C110" s="10" t="s">
        <v>304</v>
      </c>
      <c r="D110" s="44">
        <f t="shared" si="41"/>
        <v>0</v>
      </c>
      <c r="E110" s="44">
        <f t="shared" si="42"/>
        <v>0</v>
      </c>
      <c r="F110" s="45">
        <f t="shared" si="38"/>
        <v>0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</row>
    <row r="111" spans="2:27" s="38" customFormat="1" ht="12.75">
      <c r="B111" s="18" t="s">
        <v>514</v>
      </c>
      <c r="C111" s="18" t="s">
        <v>305</v>
      </c>
      <c r="D111" s="45">
        <f>SUM(D107:D110)</f>
        <v>0</v>
      </c>
      <c r="E111" s="45">
        <f>SUM(E107:E110)</f>
        <v>0</v>
      </c>
      <c r="F111" s="45">
        <f>SUM(F107:F110)</f>
        <v>0</v>
      </c>
      <c r="G111" s="45">
        <f>SUM(G107:G110)</f>
        <v>0</v>
      </c>
      <c r="H111" s="45">
        <f aca="true" t="shared" si="43" ref="H111:AA111">SUM(H107:H110)</f>
        <v>0</v>
      </c>
      <c r="I111" s="45">
        <f t="shared" si="43"/>
        <v>0</v>
      </c>
      <c r="J111" s="45">
        <f t="shared" si="43"/>
        <v>0</v>
      </c>
      <c r="K111" s="45">
        <f t="shared" si="43"/>
        <v>0</v>
      </c>
      <c r="L111" s="45">
        <f t="shared" si="43"/>
        <v>0</v>
      </c>
      <c r="M111" s="45">
        <f t="shared" si="43"/>
        <v>0</v>
      </c>
      <c r="N111" s="45">
        <f t="shared" si="43"/>
        <v>0</v>
      </c>
      <c r="O111" s="45">
        <f t="shared" si="43"/>
        <v>0</v>
      </c>
      <c r="P111" s="45">
        <f t="shared" si="43"/>
        <v>0</v>
      </c>
      <c r="Q111" s="45">
        <f t="shared" si="43"/>
        <v>0</v>
      </c>
      <c r="R111" s="45">
        <f t="shared" si="43"/>
        <v>0</v>
      </c>
      <c r="S111" s="45">
        <f t="shared" si="43"/>
        <v>0</v>
      </c>
      <c r="T111" s="45">
        <f t="shared" si="43"/>
        <v>0</v>
      </c>
      <c r="U111" s="45">
        <f t="shared" si="43"/>
        <v>0</v>
      </c>
      <c r="V111" s="45">
        <f t="shared" si="43"/>
        <v>0</v>
      </c>
      <c r="W111" s="45">
        <f t="shared" si="43"/>
        <v>0</v>
      </c>
      <c r="X111" s="45">
        <f t="shared" si="43"/>
        <v>0</v>
      </c>
      <c r="Y111" s="45">
        <f t="shared" si="43"/>
        <v>0</v>
      </c>
      <c r="Z111" s="45">
        <f t="shared" si="43"/>
        <v>0</v>
      </c>
      <c r="AA111" s="45">
        <f t="shared" si="43"/>
        <v>0</v>
      </c>
    </row>
    <row r="112" spans="2:27" ht="12.75">
      <c r="B112" s="19" t="s">
        <v>306</v>
      </c>
      <c r="C112" s="10" t="s">
        <v>307</v>
      </c>
      <c r="D112" s="44">
        <f>SUM(G112:T112)</f>
        <v>0</v>
      </c>
      <c r="E112" s="44">
        <f>SUM(U112:AA112)</f>
        <v>0</v>
      </c>
      <c r="F112" s="45">
        <f aca="true" t="shared" si="44" ref="F112:F118">+E112+D112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</row>
    <row r="113" spans="2:27" s="38" customFormat="1" ht="12.75">
      <c r="B113" s="19" t="s">
        <v>308</v>
      </c>
      <c r="C113" s="10" t="s">
        <v>309</v>
      </c>
      <c r="D113" s="44">
        <f>SUM(G113:T113)</f>
        <v>0</v>
      </c>
      <c r="E113" s="44">
        <f>SUM(U113:AA113)</f>
        <v>0</v>
      </c>
      <c r="F113" s="45">
        <f t="shared" si="44"/>
        <v>0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</row>
    <row r="114" spans="2:27" s="38" customFormat="1" ht="12.75">
      <c r="B114" s="19" t="s">
        <v>310</v>
      </c>
      <c r="C114" s="10" t="s">
        <v>311</v>
      </c>
      <c r="D114" s="44">
        <f>SUM(G114:T114)</f>
        <v>0</v>
      </c>
      <c r="E114" s="44">
        <f>SUM(U114:AA114)</f>
        <v>0</v>
      </c>
      <c r="F114" s="45">
        <f t="shared" si="44"/>
        <v>0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</row>
    <row r="115" spans="2:27" s="38" customFormat="1" ht="12.75" hidden="1">
      <c r="B115" s="203" t="s">
        <v>357</v>
      </c>
      <c r="C115" s="10"/>
      <c r="D115" s="44"/>
      <c r="E115" s="44"/>
      <c r="F115" s="45">
        <f t="shared" si="44"/>
        <v>0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</row>
    <row r="116" spans="2:27" s="38" customFormat="1" ht="12.75" hidden="1">
      <c r="B116" s="205" t="s">
        <v>356</v>
      </c>
      <c r="C116" s="10"/>
      <c r="D116" s="44">
        <f>+D114-D115</f>
        <v>0</v>
      </c>
      <c r="E116" s="44">
        <f>+E114-E115</f>
        <v>0</v>
      </c>
      <c r="F116" s="45">
        <f t="shared" si="44"/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</row>
    <row r="117" spans="2:27" s="38" customFormat="1" ht="12.75">
      <c r="B117" s="19" t="s">
        <v>312</v>
      </c>
      <c r="C117" s="10" t="s">
        <v>313</v>
      </c>
      <c r="D117" s="44">
        <f>SUM(G117:T117)</f>
        <v>0</v>
      </c>
      <c r="E117" s="44">
        <f>SUM(U117:AA117)</f>
        <v>0</v>
      </c>
      <c r="F117" s="45">
        <f t="shared" si="44"/>
        <v>0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</row>
    <row r="118" spans="2:27" s="38" customFormat="1" ht="12.75">
      <c r="B118" s="16" t="s">
        <v>615</v>
      </c>
      <c r="C118" s="10" t="s">
        <v>314</v>
      </c>
      <c r="D118" s="44">
        <f>SUM(G118:T118)</f>
        <v>0</v>
      </c>
      <c r="E118" s="44">
        <f>SUM(U118:AA118)</f>
        <v>0</v>
      </c>
      <c r="F118" s="45">
        <f t="shared" si="44"/>
        <v>0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</row>
    <row r="119" spans="2:27" s="279" customFormat="1" ht="12.75">
      <c r="B119" s="282" t="s">
        <v>428</v>
      </c>
      <c r="C119" s="280" t="s">
        <v>316</v>
      </c>
      <c r="D119" s="278">
        <f aca="true" t="shared" si="45" ref="D119:AA119">SUM(D112:D118)+D111+D106+D105</f>
        <v>0</v>
      </c>
      <c r="E119" s="278">
        <f t="shared" si="45"/>
        <v>0</v>
      </c>
      <c r="F119" s="278">
        <f t="shared" si="45"/>
        <v>0</v>
      </c>
      <c r="G119" s="278">
        <f t="shared" si="45"/>
        <v>0</v>
      </c>
      <c r="H119" s="278">
        <f t="shared" si="45"/>
        <v>0</v>
      </c>
      <c r="I119" s="278">
        <f t="shared" si="45"/>
        <v>0</v>
      </c>
      <c r="J119" s="278">
        <f t="shared" si="45"/>
        <v>0</v>
      </c>
      <c r="K119" s="278">
        <f t="shared" si="45"/>
        <v>0</v>
      </c>
      <c r="L119" s="278">
        <f t="shared" si="45"/>
        <v>0</v>
      </c>
      <c r="M119" s="278">
        <f t="shared" si="45"/>
        <v>0</v>
      </c>
      <c r="N119" s="278">
        <f t="shared" si="45"/>
        <v>0</v>
      </c>
      <c r="O119" s="278">
        <f t="shared" si="45"/>
        <v>0</v>
      </c>
      <c r="P119" s="278">
        <f t="shared" si="45"/>
        <v>0</v>
      </c>
      <c r="Q119" s="278">
        <f t="shared" si="45"/>
        <v>0</v>
      </c>
      <c r="R119" s="278">
        <f t="shared" si="45"/>
        <v>0</v>
      </c>
      <c r="S119" s="278">
        <f t="shared" si="45"/>
        <v>0</v>
      </c>
      <c r="T119" s="278">
        <f t="shared" si="45"/>
        <v>0</v>
      </c>
      <c r="U119" s="278">
        <f t="shared" si="45"/>
        <v>0</v>
      </c>
      <c r="V119" s="278">
        <f t="shared" si="45"/>
        <v>0</v>
      </c>
      <c r="W119" s="278">
        <f t="shared" si="45"/>
        <v>0</v>
      </c>
      <c r="X119" s="278">
        <f t="shared" si="45"/>
        <v>0</v>
      </c>
      <c r="Y119" s="278">
        <f t="shared" si="45"/>
        <v>0</v>
      </c>
      <c r="Z119" s="278">
        <f t="shared" si="45"/>
        <v>0</v>
      </c>
      <c r="AA119" s="278">
        <f t="shared" si="45"/>
        <v>0</v>
      </c>
    </row>
    <row r="120" spans="2:27" ht="12.75">
      <c r="B120" s="19" t="s">
        <v>635</v>
      </c>
      <c r="C120" s="10" t="s">
        <v>324</v>
      </c>
      <c r="D120" s="44">
        <f>SUM(G120:T120)</f>
        <v>0</v>
      </c>
      <c r="E120" s="44">
        <f>SUM(U120:AA120)</f>
        <v>0</v>
      </c>
      <c r="F120" s="45">
        <f>+E120+D120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</row>
    <row r="121" spans="2:27" ht="12.75">
      <c r="B121" s="16" t="s">
        <v>325</v>
      </c>
      <c r="C121" s="10" t="s">
        <v>326</v>
      </c>
      <c r="D121" s="44">
        <f>SUM(G121:T121)</f>
        <v>0</v>
      </c>
      <c r="E121" s="44">
        <f>SUM(U121:AA121)</f>
        <v>0</v>
      </c>
      <c r="F121" s="45">
        <f>+E121+D121</f>
        <v>0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</row>
    <row r="122" spans="2:27" ht="12.75">
      <c r="B122" s="26" t="s">
        <v>515</v>
      </c>
      <c r="C122" s="27" t="s">
        <v>327</v>
      </c>
      <c r="D122" s="47">
        <f>+D121+D120+D119</f>
        <v>0</v>
      </c>
      <c r="E122" s="47">
        <f>+E121+E120+E119</f>
        <v>0</v>
      </c>
      <c r="F122" s="47">
        <f>+F121+F120+F119</f>
        <v>0</v>
      </c>
      <c r="G122" s="47">
        <f>+G121+G120+G119</f>
        <v>0</v>
      </c>
      <c r="H122" s="47">
        <f aca="true" t="shared" si="46" ref="H122:AA122">+H121+H120+H119</f>
        <v>0</v>
      </c>
      <c r="I122" s="47">
        <f t="shared" si="46"/>
        <v>0</v>
      </c>
      <c r="J122" s="47">
        <f t="shared" si="46"/>
        <v>0</v>
      </c>
      <c r="K122" s="47">
        <f t="shared" si="46"/>
        <v>0</v>
      </c>
      <c r="L122" s="47">
        <f t="shared" si="46"/>
        <v>0</v>
      </c>
      <c r="M122" s="47">
        <f t="shared" si="46"/>
        <v>0</v>
      </c>
      <c r="N122" s="47">
        <f t="shared" si="46"/>
        <v>0</v>
      </c>
      <c r="O122" s="47">
        <f t="shared" si="46"/>
        <v>0</v>
      </c>
      <c r="P122" s="47">
        <f t="shared" si="46"/>
        <v>0</v>
      </c>
      <c r="Q122" s="47">
        <f t="shared" si="46"/>
        <v>0</v>
      </c>
      <c r="R122" s="47">
        <f t="shared" si="46"/>
        <v>0</v>
      </c>
      <c r="S122" s="47">
        <f t="shared" si="46"/>
        <v>0</v>
      </c>
      <c r="T122" s="47">
        <f t="shared" si="46"/>
        <v>0</v>
      </c>
      <c r="U122" s="47">
        <f t="shared" si="46"/>
        <v>0</v>
      </c>
      <c r="V122" s="47">
        <f t="shared" si="46"/>
        <v>0</v>
      </c>
      <c r="W122" s="47">
        <f t="shared" si="46"/>
        <v>0</v>
      </c>
      <c r="X122" s="47">
        <f t="shared" si="46"/>
        <v>0</v>
      </c>
      <c r="Y122" s="47">
        <f t="shared" si="46"/>
        <v>0</v>
      </c>
      <c r="Z122" s="47">
        <f t="shared" si="46"/>
        <v>0</v>
      </c>
      <c r="AA122" s="47">
        <f t="shared" si="46"/>
        <v>0</v>
      </c>
    </row>
    <row r="123" spans="2:27" s="30" customFormat="1" ht="12.75">
      <c r="B123" s="28" t="s">
        <v>654</v>
      </c>
      <c r="C123" s="28" t="s">
        <v>670</v>
      </c>
      <c r="D123" s="51">
        <f aca="true" t="shared" si="47" ref="D123:AA123">+D102+D122</f>
        <v>33409</v>
      </c>
      <c r="E123" s="51">
        <f t="shared" si="47"/>
        <v>1000</v>
      </c>
      <c r="F123" s="51">
        <f t="shared" si="47"/>
        <v>34409</v>
      </c>
      <c r="G123" s="51">
        <f t="shared" si="47"/>
        <v>2000</v>
      </c>
      <c r="H123" s="51">
        <f t="shared" si="47"/>
        <v>3543</v>
      </c>
      <c r="I123" s="51">
        <f t="shared" si="47"/>
        <v>0</v>
      </c>
      <c r="J123" s="51">
        <f t="shared" si="47"/>
        <v>566</v>
      </c>
      <c r="K123" s="51">
        <f t="shared" si="47"/>
        <v>0</v>
      </c>
      <c r="L123" s="51">
        <f t="shared" si="47"/>
        <v>0</v>
      </c>
      <c r="M123" s="51">
        <f t="shared" si="47"/>
        <v>1900</v>
      </c>
      <c r="N123" s="51">
        <f t="shared" si="47"/>
        <v>25400</v>
      </c>
      <c r="O123" s="51">
        <f t="shared" si="47"/>
        <v>0</v>
      </c>
      <c r="P123" s="51">
        <f t="shared" si="47"/>
        <v>0</v>
      </c>
      <c r="Q123" s="51">
        <f t="shared" si="47"/>
        <v>0</v>
      </c>
      <c r="R123" s="51">
        <f t="shared" si="47"/>
        <v>0</v>
      </c>
      <c r="S123" s="51">
        <f t="shared" si="47"/>
        <v>0</v>
      </c>
      <c r="T123" s="51">
        <f t="shared" si="47"/>
        <v>0</v>
      </c>
      <c r="U123" s="51">
        <f t="shared" si="47"/>
        <v>0</v>
      </c>
      <c r="V123" s="51">
        <f t="shared" si="47"/>
        <v>0</v>
      </c>
      <c r="W123" s="51">
        <f t="shared" si="47"/>
        <v>0</v>
      </c>
      <c r="X123" s="51">
        <f t="shared" si="47"/>
        <v>0</v>
      </c>
      <c r="Y123" s="51">
        <f t="shared" si="47"/>
        <v>0</v>
      </c>
      <c r="Z123" s="51">
        <f t="shared" si="47"/>
        <v>1000</v>
      </c>
      <c r="AA123" s="51">
        <f t="shared" si="47"/>
        <v>0</v>
      </c>
    </row>
    <row r="124" spans="2:6" s="30" customFormat="1" ht="12.75">
      <c r="B124" s="29"/>
      <c r="C124" s="29"/>
      <c r="D124" s="29"/>
      <c r="E124" s="29"/>
      <c r="F124" s="29"/>
    </row>
    <row r="125" spans="2:6" s="30" customFormat="1" ht="12.75">
      <c r="B125" s="29"/>
      <c r="C125" s="29"/>
      <c r="D125" s="29"/>
      <c r="E125" s="29"/>
      <c r="F125" s="29"/>
    </row>
    <row r="126" spans="2:6" s="30" customFormat="1" ht="12.75">
      <c r="B126" s="29"/>
      <c r="C126" s="29"/>
      <c r="D126" s="29"/>
      <c r="E126" s="29"/>
      <c r="F126" s="29"/>
    </row>
    <row r="127" spans="2:6" s="30" customFormat="1" ht="12.75">
      <c r="B127" s="29"/>
      <c r="C127" s="29"/>
      <c r="D127" s="29"/>
      <c r="E127" s="29"/>
      <c r="F127" s="29"/>
    </row>
    <row r="128" spans="2:6" s="30" customFormat="1" ht="12.75">
      <c r="B128" s="29"/>
      <c r="C128" s="29"/>
      <c r="D128" s="29"/>
      <c r="E128" s="29"/>
      <c r="F128" s="29"/>
    </row>
    <row r="129" spans="2:6" s="30" customFormat="1" ht="12.75">
      <c r="B129" s="29"/>
      <c r="C129" s="29"/>
      <c r="D129" s="29"/>
      <c r="E129" s="29"/>
      <c r="F129" s="29"/>
    </row>
    <row r="130" spans="2:6" s="30" customFormat="1" ht="12.75">
      <c r="B130" s="29"/>
      <c r="C130" s="29"/>
      <c r="D130" s="29"/>
      <c r="E130" s="29"/>
      <c r="F130" s="29"/>
    </row>
    <row r="131" spans="2:6" s="30" customFormat="1" ht="12.75">
      <c r="B131" s="29"/>
      <c r="C131" s="29"/>
      <c r="D131" s="29"/>
      <c r="E131" s="29"/>
      <c r="F131" s="29"/>
    </row>
    <row r="132" spans="2:6" s="30" customFormat="1" ht="12.75">
      <c r="B132" s="29"/>
      <c r="C132" s="29"/>
      <c r="D132" s="29"/>
      <c r="E132" s="29"/>
      <c r="F132" s="29"/>
    </row>
    <row r="133" spans="2:6" s="30" customFormat="1" ht="12.75">
      <c r="B133" s="29"/>
      <c r="C133" s="29"/>
      <c r="D133" s="29"/>
      <c r="E133" s="29"/>
      <c r="F133" s="29"/>
    </row>
    <row r="134" spans="2:6" s="30" customFormat="1" ht="12.75">
      <c r="B134" s="29"/>
      <c r="C134" s="29"/>
      <c r="D134" s="29"/>
      <c r="E134" s="29"/>
      <c r="F134" s="29"/>
    </row>
    <row r="135" spans="2:6" s="30" customFormat="1" ht="12.75">
      <c r="B135" s="29"/>
      <c r="C135" s="29"/>
      <c r="D135" s="29"/>
      <c r="E135" s="29"/>
      <c r="F135" s="29"/>
    </row>
    <row r="136" spans="2:6" s="30" customFormat="1" ht="12.75">
      <c r="B136" s="29"/>
      <c r="C136" s="29"/>
      <c r="D136" s="29"/>
      <c r="E136" s="29"/>
      <c r="F136" s="29"/>
    </row>
    <row r="137" spans="2:6" s="30" customFormat="1" ht="12.75">
      <c r="B137" s="29"/>
      <c r="C137" s="29"/>
      <c r="D137" s="29"/>
      <c r="E137" s="29"/>
      <c r="F137" s="29"/>
    </row>
    <row r="138" spans="2:6" s="30" customFormat="1" ht="12.75">
      <c r="B138" s="29"/>
      <c r="C138" s="29"/>
      <c r="D138" s="29"/>
      <c r="E138" s="29"/>
      <c r="F138" s="29"/>
    </row>
    <row r="139" spans="2:6" s="30" customFormat="1" ht="12.75">
      <c r="B139" s="29"/>
      <c r="C139" s="29"/>
      <c r="D139" s="29"/>
      <c r="E139" s="29"/>
      <c r="F139" s="29"/>
    </row>
    <row r="140" spans="2:6" s="30" customFormat="1" ht="12.75">
      <c r="B140" s="29"/>
      <c r="C140" s="29"/>
      <c r="D140" s="29"/>
      <c r="E140" s="29"/>
      <c r="F140" s="29"/>
    </row>
    <row r="141" spans="2:6" s="30" customFormat="1" ht="12.75">
      <c r="B141" s="29"/>
      <c r="C141" s="29"/>
      <c r="D141" s="29"/>
      <c r="E141" s="29"/>
      <c r="F141" s="29"/>
    </row>
    <row r="142" spans="2:6" s="30" customFormat="1" ht="12.75">
      <c r="B142" s="29"/>
      <c r="C142" s="29"/>
      <c r="D142" s="29"/>
      <c r="E142" s="29"/>
      <c r="F142" s="29"/>
    </row>
    <row r="143" spans="2:6" s="30" customFormat="1" ht="12.75">
      <c r="B143" s="29"/>
      <c r="C143" s="29"/>
      <c r="D143" s="29"/>
      <c r="E143" s="29"/>
      <c r="F143" s="29"/>
    </row>
    <row r="144" spans="2:6" s="30" customFormat="1" ht="12.75">
      <c r="B144" s="29"/>
      <c r="C144" s="29"/>
      <c r="D144" s="29"/>
      <c r="E144" s="29"/>
      <c r="F144" s="29"/>
    </row>
    <row r="145" spans="2:6" s="30" customFormat="1" ht="12.75">
      <c r="B145" s="29"/>
      <c r="C145" s="29"/>
      <c r="D145" s="29"/>
      <c r="E145" s="29"/>
      <c r="F145" s="29"/>
    </row>
    <row r="146" spans="2:6" s="30" customFormat="1" ht="12.75">
      <c r="B146" s="29"/>
      <c r="C146" s="29"/>
      <c r="D146" s="29"/>
      <c r="E146" s="29"/>
      <c r="F146" s="29"/>
    </row>
    <row r="147" spans="2:6" s="30" customFormat="1" ht="12.75">
      <c r="B147" s="29"/>
      <c r="C147" s="29"/>
      <c r="D147" s="29"/>
      <c r="E147" s="29"/>
      <c r="F147" s="29"/>
    </row>
    <row r="148" spans="2:6" s="30" customFormat="1" ht="12.75">
      <c r="B148" s="29"/>
      <c r="C148" s="29"/>
      <c r="D148" s="29"/>
      <c r="E148" s="29"/>
      <c r="F148" s="29"/>
    </row>
    <row r="149" spans="2:6" s="30" customFormat="1" ht="12.75">
      <c r="B149" s="29"/>
      <c r="C149" s="29"/>
      <c r="D149" s="29"/>
      <c r="E149" s="29"/>
      <c r="F149" s="29"/>
    </row>
    <row r="150" spans="2:6" s="30" customFormat="1" ht="12.75">
      <c r="B150" s="29"/>
      <c r="C150" s="29"/>
      <c r="D150" s="29"/>
      <c r="E150" s="29"/>
      <c r="F150" s="29"/>
    </row>
    <row r="151" spans="2:6" s="30" customFormat="1" ht="12.75">
      <c r="B151" s="29"/>
      <c r="C151" s="29"/>
      <c r="D151" s="29"/>
      <c r="E151" s="29"/>
      <c r="F151" s="29"/>
    </row>
    <row r="152" spans="2:6" s="30" customFormat="1" ht="12.75">
      <c r="B152" s="29"/>
      <c r="C152" s="29"/>
      <c r="D152" s="29"/>
      <c r="E152" s="29"/>
      <c r="F152" s="29"/>
    </row>
    <row r="153" spans="2:6" s="30" customFormat="1" ht="12.75">
      <c r="B153" s="29"/>
      <c r="C153" s="29"/>
      <c r="D153" s="29"/>
      <c r="E153" s="29"/>
      <c r="F153" s="29"/>
    </row>
    <row r="154" spans="2:6" s="30" customFormat="1" ht="12.75">
      <c r="B154" s="29"/>
      <c r="C154" s="29"/>
      <c r="D154" s="29"/>
      <c r="E154" s="29"/>
      <c r="F154" s="29"/>
    </row>
    <row r="155" spans="2:6" s="30" customFormat="1" ht="12.75">
      <c r="B155" s="29"/>
      <c r="C155" s="29"/>
      <c r="D155" s="29"/>
      <c r="E155" s="29"/>
      <c r="F155" s="29"/>
    </row>
    <row r="156" spans="2:6" s="30" customFormat="1" ht="12.75">
      <c r="B156" s="29"/>
      <c r="C156" s="29"/>
      <c r="D156" s="29"/>
      <c r="E156" s="29"/>
      <c r="F156" s="29"/>
    </row>
    <row r="157" spans="2:6" s="30" customFormat="1" ht="12.75">
      <c r="B157" s="29"/>
      <c r="C157" s="29"/>
      <c r="D157" s="29"/>
      <c r="E157" s="29"/>
      <c r="F157" s="29"/>
    </row>
    <row r="158" spans="2:6" s="30" customFormat="1" ht="12.75">
      <c r="B158" s="29"/>
      <c r="C158" s="29"/>
      <c r="D158" s="29"/>
      <c r="E158" s="29"/>
      <c r="F158" s="29"/>
    </row>
    <row r="159" spans="2:6" s="30" customFormat="1" ht="12.75">
      <c r="B159" s="29"/>
      <c r="C159" s="29"/>
      <c r="D159" s="29"/>
      <c r="E159" s="29"/>
      <c r="F159" s="29"/>
    </row>
    <row r="160" spans="2:6" s="30" customFormat="1" ht="12.75">
      <c r="B160" s="29"/>
      <c r="C160" s="29"/>
      <c r="D160" s="29"/>
      <c r="E160" s="29"/>
      <c r="F160" s="29"/>
    </row>
    <row r="161" spans="2:6" s="30" customFormat="1" ht="12.75">
      <c r="B161" s="29"/>
      <c r="C161" s="29"/>
      <c r="D161" s="29"/>
      <c r="E161" s="29"/>
      <c r="F161" s="29"/>
    </row>
    <row r="162" spans="2:6" s="30" customFormat="1" ht="12.75">
      <c r="B162" s="29"/>
      <c r="C162" s="29"/>
      <c r="D162" s="29"/>
      <c r="E162" s="29"/>
      <c r="F162" s="29"/>
    </row>
    <row r="163" spans="2:6" s="30" customFormat="1" ht="12.75">
      <c r="B163" s="29"/>
      <c r="C163" s="29"/>
      <c r="D163" s="29"/>
      <c r="E163" s="29"/>
      <c r="F163" s="29"/>
    </row>
    <row r="164" spans="2:6" s="30" customFormat="1" ht="12.75">
      <c r="B164" s="29"/>
      <c r="C164" s="29"/>
      <c r="D164" s="29"/>
      <c r="E164" s="29"/>
      <c r="F164" s="29"/>
    </row>
    <row r="165" spans="2:6" s="30" customFormat="1" ht="12.75">
      <c r="B165" s="29"/>
      <c r="C165" s="29"/>
      <c r="D165" s="29"/>
      <c r="E165" s="29"/>
      <c r="F165" s="29"/>
    </row>
    <row r="166" spans="2:6" s="30" customFormat="1" ht="12.75">
      <c r="B166" s="29"/>
      <c r="C166" s="29"/>
      <c r="D166" s="29"/>
      <c r="E166" s="29"/>
      <c r="F166" s="29"/>
    </row>
    <row r="167" spans="2:6" s="30" customFormat="1" ht="12.75">
      <c r="B167" s="29"/>
      <c r="C167" s="29"/>
      <c r="D167" s="29"/>
      <c r="E167" s="29"/>
      <c r="F167" s="29"/>
    </row>
    <row r="168" spans="2:6" s="30" customFormat="1" ht="12.75">
      <c r="B168" s="29"/>
      <c r="C168" s="29"/>
      <c r="D168" s="29"/>
      <c r="E168" s="29"/>
      <c r="F168" s="29"/>
    </row>
    <row r="169" spans="2:6" s="30" customFormat="1" ht="12.75">
      <c r="B169" s="29"/>
      <c r="C169" s="29"/>
      <c r="D169" s="29"/>
      <c r="E169" s="29"/>
      <c r="F169" s="29"/>
    </row>
    <row r="170" spans="2:6" s="30" customFormat="1" ht="12.75">
      <c r="B170" s="29"/>
      <c r="C170" s="29"/>
      <c r="D170" s="29"/>
      <c r="E170" s="29"/>
      <c r="F170" s="29"/>
    </row>
    <row r="171" spans="2:6" s="30" customFormat="1" ht="12.75">
      <c r="B171" s="29"/>
      <c r="C171" s="29"/>
      <c r="D171" s="29"/>
      <c r="E171" s="29"/>
      <c r="F171" s="29"/>
    </row>
    <row r="172" spans="2:6" s="30" customFormat="1" ht="12.75">
      <c r="B172" s="29"/>
      <c r="C172" s="29"/>
      <c r="D172" s="29"/>
      <c r="E172" s="29"/>
      <c r="F172" s="29"/>
    </row>
    <row r="173" spans="2:6" s="30" customFormat="1" ht="12.75">
      <c r="B173" s="29"/>
      <c r="C173" s="29"/>
      <c r="D173" s="29"/>
      <c r="E173" s="29"/>
      <c r="F173" s="29"/>
    </row>
    <row r="174" spans="2:6" s="30" customFormat="1" ht="12.75">
      <c r="B174" s="29"/>
      <c r="C174" s="29"/>
      <c r="D174" s="29"/>
      <c r="E174" s="29"/>
      <c r="F174" s="29"/>
    </row>
    <row r="175" spans="2:6" s="30" customFormat="1" ht="12.75">
      <c r="B175" s="29"/>
      <c r="C175" s="29"/>
      <c r="D175" s="29"/>
      <c r="E175" s="29"/>
      <c r="F175" s="29"/>
    </row>
    <row r="176" spans="2:6" s="30" customFormat="1" ht="12.75">
      <c r="B176" s="29"/>
      <c r="C176" s="29"/>
      <c r="D176" s="29"/>
      <c r="E176" s="29"/>
      <c r="F176" s="29"/>
    </row>
    <row r="177" spans="2:6" s="30" customFormat="1" ht="12.75">
      <c r="B177" s="29"/>
      <c r="C177" s="29"/>
      <c r="D177" s="29"/>
      <c r="E177" s="29"/>
      <c r="F177" s="29"/>
    </row>
    <row r="178" spans="2:6" s="30" customFormat="1" ht="12.75">
      <c r="B178" s="29"/>
      <c r="C178" s="29"/>
      <c r="D178" s="29"/>
      <c r="E178" s="29"/>
      <c r="F178" s="29"/>
    </row>
    <row r="179" spans="2:6" s="30" customFormat="1" ht="12.75">
      <c r="B179" s="29"/>
      <c r="C179" s="29"/>
      <c r="D179" s="29"/>
      <c r="E179" s="29"/>
      <c r="F179" s="29"/>
    </row>
    <row r="180" spans="2:6" s="30" customFormat="1" ht="12.75">
      <c r="B180" s="29"/>
      <c r="C180" s="29"/>
      <c r="D180" s="29"/>
      <c r="E180" s="29"/>
      <c r="F180" s="29"/>
    </row>
    <row r="181" spans="2:6" s="30" customFormat="1" ht="12.75">
      <c r="B181" s="29"/>
      <c r="C181" s="29"/>
      <c r="D181" s="29"/>
      <c r="E181" s="29"/>
      <c r="F181" s="29"/>
    </row>
    <row r="182" spans="2:6" s="30" customFormat="1" ht="12.75">
      <c r="B182" s="29"/>
      <c r="C182" s="29"/>
      <c r="D182" s="29"/>
      <c r="E182" s="29"/>
      <c r="F182" s="29"/>
    </row>
    <row r="183" spans="2:6" s="30" customFormat="1" ht="12.75">
      <c r="B183" s="29"/>
      <c r="C183" s="29"/>
      <c r="D183" s="29"/>
      <c r="E183" s="29"/>
      <c r="F183" s="29"/>
    </row>
    <row r="184" spans="2:6" s="30" customFormat="1" ht="12.75">
      <c r="B184" s="29"/>
      <c r="C184" s="29"/>
      <c r="D184" s="29"/>
      <c r="E184" s="29"/>
      <c r="F184" s="29"/>
    </row>
    <row r="185" spans="2:6" s="30" customFormat="1" ht="12.75">
      <c r="B185" s="29"/>
      <c r="C185" s="29"/>
      <c r="D185" s="29"/>
      <c r="E185" s="29"/>
      <c r="F185" s="29"/>
    </row>
    <row r="186" spans="2:6" s="30" customFormat="1" ht="12.75">
      <c r="B186" s="29"/>
      <c r="C186" s="29"/>
      <c r="D186" s="29"/>
      <c r="E186" s="29"/>
      <c r="F186" s="29"/>
    </row>
    <row r="187" spans="2:6" s="30" customFormat="1" ht="12.75">
      <c r="B187" s="29"/>
      <c r="C187" s="29"/>
      <c r="D187" s="29"/>
      <c r="E187" s="29"/>
      <c r="F187" s="29"/>
    </row>
    <row r="188" spans="2:6" s="30" customFormat="1" ht="12.75">
      <c r="B188" s="29"/>
      <c r="C188" s="29"/>
      <c r="D188" s="29"/>
      <c r="E188" s="29"/>
      <c r="F188" s="29"/>
    </row>
    <row r="189" spans="2:6" s="30" customFormat="1" ht="12.75">
      <c r="B189" s="29"/>
      <c r="C189" s="29"/>
      <c r="D189" s="29"/>
      <c r="E189" s="29"/>
      <c r="F189" s="29"/>
    </row>
    <row r="190" spans="2:6" s="30" customFormat="1" ht="12.75">
      <c r="B190" s="29"/>
      <c r="C190" s="29"/>
      <c r="D190" s="29"/>
      <c r="E190" s="29"/>
      <c r="F190" s="29"/>
    </row>
    <row r="191" spans="2:6" s="30" customFormat="1" ht="12.75">
      <c r="B191" s="29"/>
      <c r="C191" s="29"/>
      <c r="D191" s="29"/>
      <c r="E191" s="29"/>
      <c r="F191" s="29"/>
    </row>
    <row r="192" spans="2:6" s="30" customFormat="1" ht="12.75">
      <c r="B192" s="29"/>
      <c r="C192" s="29"/>
      <c r="D192" s="29"/>
      <c r="E192" s="29"/>
      <c r="F192" s="29"/>
    </row>
    <row r="193" spans="2:6" s="30" customFormat="1" ht="12.75">
      <c r="B193" s="29"/>
      <c r="C193" s="29"/>
      <c r="D193" s="29"/>
      <c r="E193" s="29"/>
      <c r="F193" s="29"/>
    </row>
    <row r="194" spans="2:6" s="30" customFormat="1" ht="12.75">
      <c r="B194" s="29"/>
      <c r="C194" s="29"/>
      <c r="D194" s="29"/>
      <c r="E194" s="29"/>
      <c r="F194" s="29"/>
    </row>
    <row r="195" spans="2:6" s="30" customFormat="1" ht="12.75">
      <c r="B195" s="29"/>
      <c r="C195" s="29"/>
      <c r="D195" s="29"/>
      <c r="E195" s="29"/>
      <c r="F195" s="29"/>
    </row>
    <row r="196" spans="2:6" s="30" customFormat="1" ht="12.75">
      <c r="B196" s="29"/>
      <c r="C196" s="29"/>
      <c r="D196" s="29"/>
      <c r="E196" s="29"/>
      <c r="F196" s="29"/>
    </row>
    <row r="197" spans="2:6" s="30" customFormat="1" ht="12.75">
      <c r="B197" s="29"/>
      <c r="C197" s="29"/>
      <c r="D197" s="29"/>
      <c r="E197" s="29"/>
      <c r="F197" s="29"/>
    </row>
    <row r="198" spans="2:6" s="30" customFormat="1" ht="12.75">
      <c r="B198" s="29"/>
      <c r="C198" s="29"/>
      <c r="D198" s="29"/>
      <c r="E198" s="29"/>
      <c r="F198" s="29"/>
    </row>
    <row r="199" spans="2:6" s="30" customFormat="1" ht="12.75">
      <c r="B199" s="29"/>
      <c r="C199" s="29"/>
      <c r="D199" s="29"/>
      <c r="E199" s="29"/>
      <c r="F199" s="29"/>
    </row>
    <row r="200" spans="2:6" s="30" customFormat="1" ht="12.75">
      <c r="B200" s="29"/>
      <c r="C200" s="29"/>
      <c r="D200" s="29"/>
      <c r="E200" s="29"/>
      <c r="F200" s="29"/>
    </row>
    <row r="201" spans="2:6" s="30" customFormat="1" ht="12.75">
      <c r="B201" s="29"/>
      <c r="C201" s="29"/>
      <c r="D201" s="29"/>
      <c r="E201" s="29"/>
      <c r="F201" s="29"/>
    </row>
    <row r="202" spans="2:6" s="30" customFormat="1" ht="12.75">
      <c r="B202" s="29"/>
      <c r="C202" s="29"/>
      <c r="D202" s="29"/>
      <c r="E202" s="29"/>
      <c r="F202" s="29"/>
    </row>
    <row r="203" spans="2:6" s="30" customFormat="1" ht="12.75">
      <c r="B203" s="29"/>
      <c r="C203" s="29"/>
      <c r="D203" s="29"/>
      <c r="E203" s="29"/>
      <c r="F203" s="29"/>
    </row>
    <row r="204" spans="2:6" s="30" customFormat="1" ht="12.75">
      <c r="B204" s="29"/>
      <c r="C204" s="29"/>
      <c r="D204" s="29"/>
      <c r="E204" s="29"/>
      <c r="F204" s="29"/>
    </row>
    <row r="205" spans="2:6" s="30" customFormat="1" ht="12.75">
      <c r="B205" s="29"/>
      <c r="C205" s="29"/>
      <c r="D205" s="29"/>
      <c r="E205" s="29"/>
      <c r="F205" s="29"/>
    </row>
    <row r="206" spans="2:6" s="30" customFormat="1" ht="12.75">
      <c r="B206" s="29"/>
      <c r="C206" s="29"/>
      <c r="D206" s="29"/>
      <c r="E206" s="29"/>
      <c r="F206" s="29"/>
    </row>
    <row r="207" spans="2:6" s="30" customFormat="1" ht="12.75">
      <c r="B207" s="29"/>
      <c r="C207" s="29"/>
      <c r="D207" s="29"/>
      <c r="E207" s="29"/>
      <c r="F207" s="29"/>
    </row>
    <row r="208" spans="2:6" s="30" customFormat="1" ht="12.75">
      <c r="B208" s="29"/>
      <c r="C208" s="29"/>
      <c r="D208" s="29"/>
      <c r="E208" s="29"/>
      <c r="F208" s="29"/>
    </row>
    <row r="209" spans="2:6" s="30" customFormat="1" ht="12.75">
      <c r="B209" s="29"/>
      <c r="C209" s="29"/>
      <c r="D209" s="29"/>
      <c r="E209" s="29"/>
      <c r="F209" s="29"/>
    </row>
    <row r="210" spans="2:6" s="30" customFormat="1" ht="12.75">
      <c r="B210" s="29"/>
      <c r="C210" s="29"/>
      <c r="D210" s="29"/>
      <c r="E210" s="29"/>
      <c r="F210" s="29"/>
    </row>
    <row r="211" spans="2:6" s="30" customFormat="1" ht="12.75">
      <c r="B211" s="29"/>
      <c r="C211" s="29"/>
      <c r="D211" s="29"/>
      <c r="E211" s="29"/>
      <c r="F211" s="29"/>
    </row>
    <row r="212" spans="2:6" s="30" customFormat="1" ht="12.75">
      <c r="B212" s="29"/>
      <c r="C212" s="29"/>
      <c r="D212" s="29"/>
      <c r="E212" s="29"/>
      <c r="F212" s="29"/>
    </row>
    <row r="213" spans="2:6" s="30" customFormat="1" ht="12.75">
      <c r="B213" s="29"/>
      <c r="C213" s="29"/>
      <c r="D213" s="29"/>
      <c r="E213" s="29"/>
      <c r="F213" s="29"/>
    </row>
    <row r="214" spans="2:6" s="30" customFormat="1" ht="12.75">
      <c r="B214" s="29"/>
      <c r="C214" s="29"/>
      <c r="D214" s="29"/>
      <c r="E214" s="29"/>
      <c r="F214" s="29"/>
    </row>
    <row r="215" spans="2:6" s="30" customFormat="1" ht="12.75">
      <c r="B215" s="29"/>
      <c r="C215" s="29"/>
      <c r="D215" s="29"/>
      <c r="E215" s="29"/>
      <c r="F215" s="29"/>
    </row>
    <row r="216" spans="2:6" s="30" customFormat="1" ht="12.75">
      <c r="B216" s="29"/>
      <c r="C216" s="29"/>
      <c r="D216" s="29"/>
      <c r="E216" s="29"/>
      <c r="F216" s="29"/>
    </row>
    <row r="217" spans="2:6" s="30" customFormat="1" ht="12.75">
      <c r="B217" s="29"/>
      <c r="C217" s="29"/>
      <c r="D217" s="29"/>
      <c r="E217" s="29"/>
      <c r="F217" s="29"/>
    </row>
    <row r="218" spans="2:6" s="30" customFormat="1" ht="12.75">
      <c r="B218" s="29"/>
      <c r="C218" s="29"/>
      <c r="D218" s="29"/>
      <c r="E218" s="29"/>
      <c r="F218" s="29"/>
    </row>
    <row r="219" spans="2:6" s="30" customFormat="1" ht="12.75">
      <c r="B219" s="29"/>
      <c r="C219" s="29"/>
      <c r="D219" s="29"/>
      <c r="E219" s="29"/>
      <c r="F219" s="29"/>
    </row>
    <row r="220" spans="2:6" s="30" customFormat="1" ht="12.75">
      <c r="B220" s="29"/>
      <c r="C220" s="29"/>
      <c r="D220" s="29"/>
      <c r="E220" s="29"/>
      <c r="F220" s="29"/>
    </row>
    <row r="221" spans="2:6" s="30" customFormat="1" ht="12.75">
      <c r="B221" s="29"/>
      <c r="C221" s="29"/>
      <c r="D221" s="29"/>
      <c r="E221" s="29"/>
      <c r="F221" s="29"/>
    </row>
    <row r="222" spans="2:6" s="30" customFormat="1" ht="12.75">
      <c r="B222" s="29"/>
      <c r="C222" s="29"/>
      <c r="D222" s="29"/>
      <c r="E222" s="29"/>
      <c r="F222" s="29"/>
    </row>
    <row r="223" spans="2:6" s="30" customFormat="1" ht="12.75">
      <c r="B223" s="29"/>
      <c r="C223" s="29"/>
      <c r="D223" s="29"/>
      <c r="E223" s="29"/>
      <c r="F223" s="29"/>
    </row>
    <row r="224" spans="2:6" s="30" customFormat="1" ht="12.75">
      <c r="B224" s="29"/>
      <c r="C224" s="29"/>
      <c r="D224" s="29"/>
      <c r="E224" s="29"/>
      <c r="F224" s="29"/>
    </row>
    <row r="225" spans="2:6" s="30" customFormat="1" ht="12.75">
      <c r="B225" s="29"/>
      <c r="C225" s="29"/>
      <c r="D225" s="29"/>
      <c r="E225" s="29"/>
      <c r="F225" s="29"/>
    </row>
    <row r="226" spans="2:6" s="30" customFormat="1" ht="12.75">
      <c r="B226" s="29"/>
      <c r="C226" s="29"/>
      <c r="D226" s="29"/>
      <c r="E226" s="29"/>
      <c r="F226" s="29"/>
    </row>
    <row r="227" spans="2:6" s="30" customFormat="1" ht="12.75">
      <c r="B227" s="29"/>
      <c r="C227" s="29"/>
      <c r="D227" s="29"/>
      <c r="E227" s="29"/>
      <c r="F227" s="29"/>
    </row>
    <row r="228" spans="2:6" s="30" customFormat="1" ht="12.75">
      <c r="B228" s="29"/>
      <c r="C228" s="29"/>
      <c r="D228" s="29"/>
      <c r="E228" s="29"/>
      <c r="F228" s="29"/>
    </row>
    <row r="229" spans="2:6" s="30" customFormat="1" ht="12.75">
      <c r="B229" s="29"/>
      <c r="C229" s="29"/>
      <c r="D229" s="29"/>
      <c r="E229" s="29"/>
      <c r="F229" s="29"/>
    </row>
    <row r="230" spans="2:6" s="30" customFormat="1" ht="12.75">
      <c r="B230" s="29"/>
      <c r="C230" s="29"/>
      <c r="D230" s="29"/>
      <c r="E230" s="29"/>
      <c r="F230" s="29"/>
    </row>
    <row r="231" spans="2:6" s="30" customFormat="1" ht="12.75">
      <c r="B231" s="29"/>
      <c r="C231" s="29"/>
      <c r="D231" s="29"/>
      <c r="E231" s="29"/>
      <c r="F231" s="29"/>
    </row>
    <row r="232" spans="2:6" s="30" customFormat="1" ht="12.75">
      <c r="B232" s="29"/>
      <c r="C232" s="29"/>
      <c r="D232" s="29"/>
      <c r="E232" s="29"/>
      <c r="F232" s="29"/>
    </row>
    <row r="233" spans="2:6" s="30" customFormat="1" ht="12.75">
      <c r="B233" s="29"/>
      <c r="C233" s="29"/>
      <c r="D233" s="29"/>
      <c r="E233" s="29"/>
      <c r="F233" s="29"/>
    </row>
    <row r="234" spans="2:6" s="30" customFormat="1" ht="12.75">
      <c r="B234" s="29"/>
      <c r="C234" s="29"/>
      <c r="D234" s="29"/>
      <c r="E234" s="29"/>
      <c r="F234" s="29"/>
    </row>
    <row r="235" spans="2:6" s="30" customFormat="1" ht="12.75">
      <c r="B235" s="29"/>
      <c r="C235" s="29"/>
      <c r="D235" s="29"/>
      <c r="E235" s="29"/>
      <c r="F235" s="29"/>
    </row>
    <row r="236" spans="2:6" s="30" customFormat="1" ht="12.75">
      <c r="B236" s="29"/>
      <c r="C236" s="29"/>
      <c r="D236" s="29"/>
      <c r="E236" s="29"/>
      <c r="F236" s="29"/>
    </row>
    <row r="237" spans="2:6" s="30" customFormat="1" ht="12.75">
      <c r="B237" s="29"/>
      <c r="C237" s="29"/>
      <c r="D237" s="29"/>
      <c r="E237" s="29"/>
      <c r="F237" s="29"/>
    </row>
    <row r="238" spans="2:6" s="30" customFormat="1" ht="12.75">
      <c r="B238" s="29"/>
      <c r="C238" s="29"/>
      <c r="D238" s="29"/>
      <c r="E238" s="29"/>
      <c r="F238" s="29"/>
    </row>
    <row r="239" spans="2:6" s="30" customFormat="1" ht="12.75">
      <c r="B239" s="29"/>
      <c r="C239" s="29"/>
      <c r="D239" s="29"/>
      <c r="E239" s="29"/>
      <c r="F239" s="29"/>
    </row>
    <row r="240" spans="2:6" s="30" customFormat="1" ht="12.75">
      <c r="B240" s="29"/>
      <c r="C240" s="29"/>
      <c r="D240" s="29"/>
      <c r="E240" s="29"/>
      <c r="F240" s="29"/>
    </row>
    <row r="241" spans="2:6" s="30" customFormat="1" ht="12.75">
      <c r="B241" s="29"/>
      <c r="C241" s="29"/>
      <c r="D241" s="29"/>
      <c r="E241" s="29"/>
      <c r="F241" s="29"/>
    </row>
    <row r="242" spans="2:6" s="30" customFormat="1" ht="12.75">
      <c r="B242" s="29"/>
      <c r="C242" s="29"/>
      <c r="D242" s="29"/>
      <c r="E242" s="29"/>
      <c r="F242" s="29"/>
    </row>
    <row r="243" spans="2:6" s="30" customFormat="1" ht="12.75">
      <c r="B243" s="29"/>
      <c r="C243" s="29"/>
      <c r="D243" s="29"/>
      <c r="E243" s="29"/>
      <c r="F243" s="29"/>
    </row>
    <row r="244" spans="2:6" s="30" customFormat="1" ht="12.75">
      <c r="B244" s="29"/>
      <c r="C244" s="29"/>
      <c r="D244" s="29"/>
      <c r="E244" s="29"/>
      <c r="F244" s="29"/>
    </row>
    <row r="245" spans="2:6" s="30" customFormat="1" ht="12.75">
      <c r="B245" s="29"/>
      <c r="C245" s="29"/>
      <c r="D245" s="29"/>
      <c r="E245" s="29"/>
      <c r="F245" s="29"/>
    </row>
    <row r="246" spans="2:6" s="30" customFormat="1" ht="12.75">
      <c r="B246" s="29"/>
      <c r="C246" s="29"/>
      <c r="D246" s="29"/>
      <c r="E246" s="29"/>
      <c r="F246" s="29"/>
    </row>
    <row r="247" spans="2:6" s="30" customFormat="1" ht="12.75">
      <c r="B247" s="29"/>
      <c r="C247" s="29"/>
      <c r="D247" s="29"/>
      <c r="E247" s="29"/>
      <c r="F247" s="29"/>
    </row>
    <row r="248" spans="2:6" s="30" customFormat="1" ht="12.75">
      <c r="B248" s="29"/>
      <c r="C248" s="29"/>
      <c r="D248" s="29"/>
      <c r="E248" s="29"/>
      <c r="F248" s="29"/>
    </row>
    <row r="249" spans="2:6" s="30" customFormat="1" ht="12.75">
      <c r="B249" s="29"/>
      <c r="C249" s="29"/>
      <c r="D249" s="29"/>
      <c r="E249" s="29"/>
      <c r="F249" s="29"/>
    </row>
    <row r="250" spans="2:6" s="30" customFormat="1" ht="15">
      <c r="B250"/>
      <c r="C250"/>
      <c r="D250"/>
      <c r="E250"/>
      <c r="F250"/>
    </row>
    <row r="251" spans="2:6" s="30" customFormat="1" ht="15">
      <c r="B251"/>
      <c r="C251"/>
      <c r="D251"/>
      <c r="E251"/>
      <c r="F251"/>
    </row>
    <row r="252" spans="2:6" s="30" customFormat="1" ht="15">
      <c r="B252"/>
      <c r="C252"/>
      <c r="D252"/>
      <c r="E252"/>
      <c r="F252"/>
    </row>
    <row r="253" spans="2:6" s="30" customFormat="1" ht="15">
      <c r="B253"/>
      <c r="C253"/>
      <c r="D253"/>
      <c r="E253"/>
      <c r="F253"/>
    </row>
    <row r="254" spans="2:6" s="30" customFormat="1" ht="15">
      <c r="B254"/>
      <c r="C254"/>
      <c r="D254"/>
      <c r="E254"/>
      <c r="F254"/>
    </row>
    <row r="255" spans="2:6" s="30" customFormat="1" ht="15">
      <c r="B255"/>
      <c r="C255"/>
      <c r="D255"/>
      <c r="E255"/>
      <c r="F255"/>
    </row>
    <row r="256" spans="2:6" s="30" customFormat="1" ht="15">
      <c r="B256"/>
      <c r="C256"/>
      <c r="D256"/>
      <c r="E256"/>
      <c r="F256"/>
    </row>
    <row r="257" spans="2:6" s="30" customFormat="1" ht="15">
      <c r="B257"/>
      <c r="C257"/>
      <c r="D257"/>
      <c r="E257"/>
      <c r="F257"/>
    </row>
    <row r="258" spans="2:6" s="30" customFormat="1" ht="15">
      <c r="B258"/>
      <c r="C258"/>
      <c r="D258"/>
      <c r="E258"/>
      <c r="F258"/>
    </row>
    <row r="259" spans="2:6" s="30" customFormat="1" ht="15">
      <c r="B259"/>
      <c r="C259"/>
      <c r="D259"/>
      <c r="E259"/>
      <c r="F259"/>
    </row>
    <row r="260" spans="2:6" s="30" customFormat="1" ht="15">
      <c r="B260"/>
      <c r="C260"/>
      <c r="D260"/>
      <c r="E260"/>
      <c r="F260"/>
    </row>
    <row r="261" spans="2:6" s="30" customFormat="1" ht="15">
      <c r="B261"/>
      <c r="C261"/>
      <c r="D261"/>
      <c r="E261"/>
      <c r="F261"/>
    </row>
    <row r="262" spans="2:6" s="30" customFormat="1" ht="15">
      <c r="B262"/>
      <c r="C262"/>
      <c r="D262"/>
      <c r="E262"/>
      <c r="F262"/>
    </row>
    <row r="263" spans="2:6" s="30" customFormat="1" ht="15">
      <c r="B263"/>
      <c r="C263"/>
      <c r="D263"/>
      <c r="E263"/>
      <c r="F263"/>
    </row>
    <row r="264" spans="2:6" s="30" customFormat="1" ht="15">
      <c r="B264"/>
      <c r="C264"/>
      <c r="D264"/>
      <c r="E264"/>
      <c r="F264"/>
    </row>
    <row r="265" spans="2:6" s="30" customFormat="1" ht="15">
      <c r="B265"/>
      <c r="C265"/>
      <c r="D265"/>
      <c r="E265"/>
      <c r="F265"/>
    </row>
    <row r="266" spans="2:6" s="30" customFormat="1" ht="15">
      <c r="B266"/>
      <c r="C266"/>
      <c r="D266"/>
      <c r="E266"/>
      <c r="F266"/>
    </row>
    <row r="267" spans="2:6" s="30" customFormat="1" ht="15">
      <c r="B267"/>
      <c r="C267"/>
      <c r="D267"/>
      <c r="E267"/>
      <c r="F267"/>
    </row>
    <row r="268" spans="2:6" s="30" customFormat="1" ht="15">
      <c r="B268"/>
      <c r="C268"/>
      <c r="D268"/>
      <c r="E268"/>
      <c r="F268"/>
    </row>
    <row r="269" spans="2:6" s="30" customFormat="1" ht="15">
      <c r="B269"/>
      <c r="C269"/>
      <c r="D269"/>
      <c r="E269"/>
      <c r="F269"/>
    </row>
    <row r="270" spans="2:6" s="30" customFormat="1" ht="15">
      <c r="B270"/>
      <c r="C270"/>
      <c r="D270"/>
      <c r="E270"/>
      <c r="F270"/>
    </row>
    <row r="271" spans="2:6" s="30" customFormat="1" ht="15">
      <c r="B271"/>
      <c r="C271"/>
      <c r="D271"/>
      <c r="E271"/>
      <c r="F271"/>
    </row>
    <row r="272" spans="2:6" s="30" customFormat="1" ht="15">
      <c r="B272"/>
      <c r="C272"/>
      <c r="D272"/>
      <c r="E272"/>
      <c r="F272"/>
    </row>
    <row r="273" spans="2:6" s="30" customFormat="1" ht="15">
      <c r="B273"/>
      <c r="C273"/>
      <c r="D273"/>
      <c r="E273"/>
      <c r="F273"/>
    </row>
    <row r="274" spans="2:6" s="30" customFormat="1" ht="15">
      <c r="B274"/>
      <c r="C274"/>
      <c r="D274"/>
      <c r="E274"/>
      <c r="F274"/>
    </row>
    <row r="275" spans="2:6" s="30" customFormat="1" ht="15">
      <c r="B275"/>
      <c r="C275"/>
      <c r="D275"/>
      <c r="E275"/>
      <c r="F275"/>
    </row>
    <row r="276" spans="2:6" s="30" customFormat="1" ht="15">
      <c r="B276"/>
      <c r="C276"/>
      <c r="D276"/>
      <c r="E276"/>
      <c r="F276"/>
    </row>
    <row r="277" spans="2:6" s="30" customFormat="1" ht="15">
      <c r="B277"/>
      <c r="C277"/>
      <c r="D277"/>
      <c r="E277"/>
      <c r="F277"/>
    </row>
    <row r="278" spans="2:6" s="30" customFormat="1" ht="15">
      <c r="B278"/>
      <c r="C278"/>
      <c r="D278"/>
      <c r="E278"/>
      <c r="F278"/>
    </row>
    <row r="279" spans="2:6" s="30" customFormat="1" ht="15">
      <c r="B279"/>
      <c r="C279"/>
      <c r="D279"/>
      <c r="E279"/>
      <c r="F279"/>
    </row>
    <row r="280" spans="2:6" s="30" customFormat="1" ht="15">
      <c r="B280"/>
      <c r="C280"/>
      <c r="D280"/>
      <c r="E280"/>
      <c r="F280"/>
    </row>
    <row r="281" spans="2:6" s="30" customFormat="1" ht="15">
      <c r="B281"/>
      <c r="C281"/>
      <c r="D281"/>
      <c r="E281"/>
      <c r="F281"/>
    </row>
    <row r="282" spans="2:6" s="30" customFormat="1" ht="15">
      <c r="B282"/>
      <c r="C282"/>
      <c r="D282"/>
      <c r="E282"/>
      <c r="F282"/>
    </row>
    <row r="283" spans="2:6" s="30" customFormat="1" ht="15">
      <c r="B283"/>
      <c r="C283"/>
      <c r="D283"/>
      <c r="E283"/>
      <c r="F283"/>
    </row>
    <row r="284" spans="2:6" s="30" customFormat="1" ht="15">
      <c r="B284"/>
      <c r="C284"/>
      <c r="D284"/>
      <c r="E284"/>
      <c r="F284"/>
    </row>
    <row r="285" spans="2:6" s="30" customFormat="1" ht="15">
      <c r="B285"/>
      <c r="C285"/>
      <c r="D285"/>
      <c r="E285"/>
      <c r="F285"/>
    </row>
    <row r="286" spans="2:6" s="30" customFormat="1" ht="15">
      <c r="B286"/>
      <c r="C286"/>
      <c r="D286"/>
      <c r="E286"/>
      <c r="F286"/>
    </row>
    <row r="287" spans="2:6" s="30" customFormat="1" ht="15">
      <c r="B287"/>
      <c r="C287"/>
      <c r="D287"/>
      <c r="E287"/>
      <c r="F287"/>
    </row>
    <row r="288" spans="2:6" s="30" customFormat="1" ht="15">
      <c r="B288"/>
      <c r="C288"/>
      <c r="D288"/>
      <c r="E288"/>
      <c r="F288"/>
    </row>
    <row r="289" spans="2:6" s="30" customFormat="1" ht="15">
      <c r="B289"/>
      <c r="C289"/>
      <c r="D289"/>
      <c r="E289"/>
      <c r="F289"/>
    </row>
    <row r="290" spans="2:6" s="30" customFormat="1" ht="15">
      <c r="B290"/>
      <c r="C290"/>
      <c r="D290"/>
      <c r="E290"/>
      <c r="F290"/>
    </row>
    <row r="291" spans="2:6" s="30" customFormat="1" ht="15">
      <c r="B291"/>
      <c r="C291"/>
      <c r="D291"/>
      <c r="E291"/>
      <c r="F291"/>
    </row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  <row r="329" s="30" customFormat="1" ht="12.75"/>
    <row r="330" s="30" customFormat="1" ht="12.75"/>
    <row r="331" s="30" customFormat="1" ht="12.75"/>
    <row r="332" s="30" customFormat="1" ht="12.75"/>
    <row r="333" s="30" customFormat="1" ht="12.75"/>
    <row r="334" s="30" customFormat="1" ht="12.75"/>
    <row r="335" s="30" customFormat="1" ht="12.75"/>
    <row r="336" s="30" customFormat="1" ht="12.75"/>
    <row r="337" s="30" customFormat="1" ht="12.75"/>
    <row r="338" s="30" customFormat="1" ht="12.75"/>
    <row r="339" s="30" customFormat="1" ht="12.75"/>
    <row r="340" s="30" customFormat="1" ht="12.75"/>
    <row r="341" s="30" customFormat="1" ht="12.75"/>
    <row r="342" s="30" customFormat="1" ht="12.75"/>
    <row r="343" s="30" customFormat="1" ht="12.75"/>
    <row r="344" s="30" customFormat="1" ht="12.75"/>
    <row r="345" s="30" customFormat="1" ht="12.75"/>
    <row r="346" s="30" customFormat="1" ht="12.75"/>
    <row r="347" s="30" customFormat="1" ht="12.75"/>
    <row r="348" s="30" customFormat="1" ht="12.75"/>
    <row r="349" s="30" customFormat="1" ht="12.75"/>
    <row r="350" s="30" customFormat="1" ht="12.75"/>
    <row r="351" s="30" customFormat="1" ht="12.75"/>
    <row r="352" s="30" customFormat="1" ht="12.75"/>
    <row r="353" s="30" customFormat="1" ht="12.75"/>
    <row r="354" s="30" customFormat="1" ht="12.75"/>
    <row r="355" s="30" customFormat="1" ht="12.75"/>
    <row r="356" s="30" customFormat="1" ht="12.75"/>
    <row r="357" s="30" customFormat="1" ht="12.75"/>
    <row r="358" s="30" customFormat="1" ht="12.75"/>
    <row r="359" s="30" customFormat="1" ht="12.75"/>
    <row r="360" s="30" customFormat="1" ht="12.75"/>
    <row r="361" s="30" customFormat="1" ht="12.75"/>
    <row r="362" s="30" customFormat="1" ht="12.75"/>
    <row r="363" s="30" customFormat="1" ht="12.75"/>
    <row r="364" s="30" customFormat="1" ht="12.75"/>
    <row r="365" s="30" customFormat="1" ht="12.75"/>
    <row r="366" s="30" customFormat="1" ht="12.75"/>
    <row r="367" s="30" customFormat="1" ht="12.75"/>
    <row r="368" s="30" customFormat="1" ht="12.75"/>
    <row r="369" s="30" customFormat="1" ht="12.75"/>
    <row r="370" s="30" customFormat="1" ht="12.75"/>
    <row r="371" s="30" customFormat="1" ht="12.75"/>
    <row r="372" s="30" customFormat="1" ht="12.75"/>
    <row r="373" s="30" customFormat="1" ht="12.75"/>
    <row r="374" s="30" customFormat="1" ht="12.75"/>
    <row r="375" s="30" customFormat="1" ht="12.75"/>
    <row r="376" s="30" customFormat="1" ht="12.75"/>
    <row r="377" s="30" customFormat="1" ht="12.75"/>
    <row r="378" s="30" customFormat="1" ht="12.75"/>
    <row r="379" s="30" customFormat="1" ht="12.75"/>
    <row r="380" s="30" customFormat="1" ht="12.75"/>
    <row r="381" s="30" customFormat="1" ht="12.75"/>
    <row r="382" s="30" customFormat="1" ht="12.75"/>
    <row r="383" s="30" customFormat="1" ht="12.75"/>
    <row r="384" s="30" customFormat="1" ht="12.75"/>
    <row r="385" s="30" customFormat="1" ht="12.75"/>
    <row r="386" s="30" customFormat="1" ht="12.75"/>
    <row r="387" s="30" customFormat="1" ht="12.75"/>
    <row r="388" s="30" customFormat="1" ht="12.75"/>
    <row r="389" s="30" customFormat="1" ht="12.75"/>
    <row r="390" s="30" customFormat="1" ht="12.75"/>
    <row r="391" s="30" customFormat="1" ht="12.75"/>
    <row r="392" s="30" customFormat="1" ht="12.75"/>
    <row r="393" s="30" customFormat="1" ht="12.75"/>
    <row r="394" s="30" customFormat="1" ht="12.75"/>
    <row r="395" s="30" customFormat="1" ht="12.75"/>
    <row r="396" s="30" customFormat="1" ht="12.75"/>
    <row r="397" s="30" customFormat="1" ht="12.75"/>
    <row r="398" s="30" customFormat="1" ht="12.75"/>
    <row r="399" s="30" customFormat="1" ht="12.75"/>
    <row r="400" s="30" customFormat="1" ht="12.75"/>
    <row r="401" s="30" customFormat="1" ht="12.75"/>
    <row r="402" s="30" customFormat="1" ht="12.75"/>
    <row r="403" s="30" customFormat="1" ht="12.75"/>
    <row r="404" s="30" customFormat="1" ht="12.75"/>
    <row r="405" s="30" customFormat="1" ht="12.75"/>
    <row r="406" s="30" customFormat="1" ht="12.75"/>
    <row r="407" s="30" customFormat="1" ht="12.75"/>
    <row r="408" s="30" customFormat="1" ht="12.75"/>
    <row r="409" s="30" customFormat="1" ht="12.75"/>
    <row r="410" s="30" customFormat="1" ht="12.75"/>
    <row r="411" s="30" customFormat="1" ht="12.75"/>
    <row r="412" s="30" customFormat="1" ht="12.75"/>
    <row r="413" s="30" customFormat="1" ht="12.75"/>
    <row r="414" s="30" customFormat="1" ht="12.75"/>
    <row r="415" s="30" customFormat="1" ht="12.75"/>
    <row r="416" s="30" customFormat="1" ht="12.75"/>
    <row r="417" s="30" customFormat="1" ht="12.75"/>
    <row r="418" s="30" customFormat="1" ht="12.75"/>
    <row r="419" s="30" customFormat="1" ht="12.75"/>
    <row r="420" s="30" customFormat="1" ht="12.75"/>
    <row r="421" s="30" customFormat="1" ht="12.75"/>
    <row r="422" s="30" customFormat="1" ht="12.75"/>
  </sheetData>
  <sheetProtection/>
  <mergeCells count="12">
    <mergeCell ref="W5:AA5"/>
    <mergeCell ref="G63:J63"/>
    <mergeCell ref="K63:N63"/>
    <mergeCell ref="O63:R63"/>
    <mergeCell ref="S63:T63"/>
    <mergeCell ref="U63:V63"/>
    <mergeCell ref="W63:AA63"/>
    <mergeCell ref="G5:J5"/>
    <mergeCell ref="K5:N5"/>
    <mergeCell ref="O5:R5"/>
    <mergeCell ref="S5:T5"/>
    <mergeCell ref="U5:V5"/>
  </mergeCells>
  <printOptions horizontalCentered="1"/>
  <pageMargins left="0.5905511811023623" right="0.4724409448818898" top="0.35433070866141736" bottom="0.35433070866141736" header="0.2362204724409449" footer="0.1968503937007874"/>
  <pageSetup horizontalDpi="600" verticalDpi="600" orientation="portrait" paperSize="9" scale="77" r:id="rId3"/>
  <headerFooter alignWithMargins="0">
    <oddFooter>&amp;R&amp;P</oddFooter>
  </headerFooter>
  <rowBreaks count="1" manualBreakCount="1">
    <brk id="62" min="1" max="25" man="1"/>
  </rowBreaks>
  <colBreaks count="5" manualBreakCount="5">
    <brk id="6" max="122" man="1"/>
    <brk id="10" max="122" man="1"/>
    <brk id="14" max="122" man="1"/>
    <brk id="18" max="122" man="1"/>
    <brk id="22" max="12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Y252"/>
  <sheetViews>
    <sheetView view="pageBreakPreview" zoomScaleSheetLayoutView="100" workbookViewId="0" topLeftCell="A1">
      <selection activeCell="F2" sqref="F2"/>
    </sheetView>
  </sheetViews>
  <sheetFormatPr defaultColWidth="9.140625" defaultRowHeight="15"/>
  <cols>
    <col min="1" max="1" width="9.140625" style="103" customWidth="1"/>
    <col min="2" max="2" width="74.57421875" style="103" customWidth="1"/>
    <col min="3" max="3" width="11.28125" style="103" customWidth="1"/>
    <col min="4" max="4" width="12.00390625" style="103" customWidth="1"/>
    <col min="5" max="5" width="13.28125" style="103" customWidth="1"/>
    <col min="6" max="6" width="13.28125" style="110" customWidth="1"/>
    <col min="7" max="16384" width="9.140625" style="103" customWidth="1"/>
  </cols>
  <sheetData>
    <row r="1" s="4" customFormat="1" ht="15.75">
      <c r="F1" s="71" t="s">
        <v>13</v>
      </c>
    </row>
    <row r="2" spans="2:6" s="4" customFormat="1" ht="20.25">
      <c r="B2" s="68" t="s">
        <v>748</v>
      </c>
      <c r="F2" s="144" t="s">
        <v>68</v>
      </c>
    </row>
    <row r="3" spans="2:6" s="4" customFormat="1" ht="15.75">
      <c r="B3" s="85" t="s">
        <v>772</v>
      </c>
      <c r="C3" s="101"/>
      <c r="D3" s="101"/>
      <c r="E3" s="101"/>
      <c r="F3" s="98"/>
    </row>
    <row r="4" spans="2:6" s="4" customFormat="1" ht="15.75">
      <c r="B4" s="84" t="s">
        <v>390</v>
      </c>
      <c r="C4" s="97"/>
      <c r="D4" s="97"/>
      <c r="E4" s="97"/>
      <c r="F4" s="85"/>
    </row>
    <row r="5" spans="2:6" ht="15.75">
      <c r="B5" s="102"/>
      <c r="F5" s="103"/>
    </row>
    <row r="6" spans="2:6" ht="31.5">
      <c r="B6" s="72" t="s">
        <v>76</v>
      </c>
      <c r="C6" s="79" t="s">
        <v>77</v>
      </c>
      <c r="D6" s="104" t="s">
        <v>769</v>
      </c>
      <c r="E6" s="104" t="s">
        <v>770</v>
      </c>
      <c r="F6" s="105" t="s">
        <v>28</v>
      </c>
    </row>
    <row r="7" spans="1:6" ht="15.75">
      <c r="A7" s="254"/>
      <c r="B7" s="106" t="s">
        <v>328</v>
      </c>
      <c r="C7" s="107" t="s">
        <v>112</v>
      </c>
      <c r="D7" s="92">
        <f>135441-2400+7016</f>
        <v>140057</v>
      </c>
      <c r="E7" s="92"/>
      <c r="F7" s="93">
        <f>+D7+E7</f>
        <v>140057</v>
      </c>
    </row>
    <row r="8" spans="1:6" ht="15.75">
      <c r="A8" s="254"/>
      <c r="B8" s="82" t="s">
        <v>329</v>
      </c>
      <c r="C8" s="107" t="s">
        <v>113</v>
      </c>
      <c r="D8" s="92">
        <v>2400</v>
      </c>
      <c r="E8" s="92"/>
      <c r="F8" s="93">
        <f>+D8+E8</f>
        <v>2400</v>
      </c>
    </row>
    <row r="9" spans="2:6" ht="15.75">
      <c r="B9" s="108" t="s">
        <v>526</v>
      </c>
      <c r="C9" s="109" t="s">
        <v>114</v>
      </c>
      <c r="D9" s="93">
        <f>SUM(D7:D8)</f>
        <v>142457</v>
      </c>
      <c r="E9" s="93">
        <f>SUM(E7:E8)</f>
        <v>0</v>
      </c>
      <c r="F9" s="93">
        <f>SUM(F7:F8)</f>
        <v>142457</v>
      </c>
    </row>
    <row r="10" spans="2:6" ht="15.75">
      <c r="B10" s="90" t="s">
        <v>553</v>
      </c>
      <c r="C10" s="109" t="s">
        <v>115</v>
      </c>
      <c r="D10" s="92">
        <f>38505+1894+2000+600+1000</f>
        <v>43999</v>
      </c>
      <c r="E10" s="92"/>
      <c r="F10" s="93">
        <f aca="true" t="shared" si="0" ref="F10:F15">+D10+E10</f>
        <v>43999</v>
      </c>
    </row>
    <row r="11" spans="2:6" ht="15.75">
      <c r="B11" s="82" t="s">
        <v>330</v>
      </c>
      <c r="C11" s="107" t="s">
        <v>116</v>
      </c>
      <c r="D11" s="92">
        <f>20+2200+100+2000+100+100+300</f>
        <v>4820</v>
      </c>
      <c r="E11" s="92"/>
      <c r="F11" s="93">
        <f t="shared" si="0"/>
        <v>4820</v>
      </c>
    </row>
    <row r="12" spans="2:6" ht="15.75">
      <c r="B12" s="82" t="s">
        <v>561</v>
      </c>
      <c r="C12" s="107" t="s">
        <v>117</v>
      </c>
      <c r="D12" s="92">
        <f>3600+540+600</f>
        <v>4740</v>
      </c>
      <c r="E12" s="92"/>
      <c r="F12" s="93">
        <f t="shared" si="0"/>
        <v>4740</v>
      </c>
    </row>
    <row r="13" spans="2:6" ht="15.75">
      <c r="B13" s="82" t="s">
        <v>331</v>
      </c>
      <c r="C13" s="107" t="s">
        <v>118</v>
      </c>
      <c r="D13" s="92">
        <f>6800+2400+150+300+1600+1300+4000+3400+600+950+300+1100+330+190+70+264+180+142+200+1</f>
        <v>24277</v>
      </c>
      <c r="E13" s="92"/>
      <c r="F13" s="93">
        <f t="shared" si="0"/>
        <v>24277</v>
      </c>
    </row>
    <row r="14" spans="2:6" ht="15.75">
      <c r="B14" s="82" t="s">
        <v>332</v>
      </c>
      <c r="C14" s="107" t="s">
        <v>119</v>
      </c>
      <c r="D14" s="92">
        <v>240</v>
      </c>
      <c r="E14" s="92"/>
      <c r="F14" s="93">
        <f t="shared" si="0"/>
        <v>240</v>
      </c>
    </row>
    <row r="15" spans="2:6" ht="15.75">
      <c r="B15" s="82" t="s">
        <v>333</v>
      </c>
      <c r="C15" s="107" t="s">
        <v>120</v>
      </c>
      <c r="D15" s="92">
        <f>8400</f>
        <v>8400</v>
      </c>
      <c r="E15" s="92"/>
      <c r="F15" s="93">
        <f t="shared" si="0"/>
        <v>8400</v>
      </c>
    </row>
    <row r="16" spans="2:6" ht="15.75">
      <c r="B16" s="90" t="s">
        <v>525</v>
      </c>
      <c r="C16" s="109" t="s">
        <v>121</v>
      </c>
      <c r="D16" s="93">
        <f>SUM(D11:D15)</f>
        <v>42477</v>
      </c>
      <c r="E16" s="93">
        <f>SUM(E11:E15)</f>
        <v>0</v>
      </c>
      <c r="F16" s="93">
        <f>SUM(F11:F15)</f>
        <v>42477</v>
      </c>
    </row>
    <row r="17" spans="2:6" ht="15.75">
      <c r="B17" s="78" t="s">
        <v>398</v>
      </c>
      <c r="C17" s="109" t="s">
        <v>128</v>
      </c>
      <c r="D17" s="92"/>
      <c r="E17" s="92"/>
      <c r="F17" s="93">
        <f aca="true" t="shared" si="1" ref="F17:F30">+D17+E17</f>
        <v>0</v>
      </c>
    </row>
    <row r="18" spans="2:6" ht="15.75">
      <c r="B18" s="88" t="s">
        <v>554</v>
      </c>
      <c r="C18" s="107" t="s">
        <v>129</v>
      </c>
      <c r="D18" s="92"/>
      <c r="E18" s="92"/>
      <c r="F18" s="93">
        <f t="shared" si="1"/>
        <v>0</v>
      </c>
    </row>
    <row r="19" spans="2:6" ht="15.75">
      <c r="B19" s="88" t="s">
        <v>130</v>
      </c>
      <c r="C19" s="107" t="s">
        <v>131</v>
      </c>
      <c r="D19" s="92"/>
      <c r="E19" s="92"/>
      <c r="F19" s="93">
        <f t="shared" si="1"/>
        <v>0</v>
      </c>
    </row>
    <row r="20" spans="2:6" ht="15.75">
      <c r="B20" s="88" t="s">
        <v>803</v>
      </c>
      <c r="C20" s="107" t="s">
        <v>132</v>
      </c>
      <c r="D20" s="92"/>
      <c r="E20" s="92"/>
      <c r="F20" s="93">
        <f t="shared" si="1"/>
        <v>0</v>
      </c>
    </row>
    <row r="21" spans="2:6" ht="15.75">
      <c r="B21" s="88" t="s">
        <v>802</v>
      </c>
      <c r="C21" s="107" t="s">
        <v>133</v>
      </c>
      <c r="D21" s="92"/>
      <c r="E21" s="92"/>
      <c r="F21" s="93">
        <f t="shared" si="1"/>
        <v>0</v>
      </c>
    </row>
    <row r="22" spans="2:6" ht="15.75">
      <c r="B22" s="88" t="s">
        <v>801</v>
      </c>
      <c r="C22" s="107" t="s">
        <v>134</v>
      </c>
      <c r="D22" s="92"/>
      <c r="E22" s="92"/>
      <c r="F22" s="93">
        <f t="shared" si="1"/>
        <v>0</v>
      </c>
    </row>
    <row r="23" spans="2:6" ht="15.75">
      <c r="B23" s="88" t="s">
        <v>804</v>
      </c>
      <c r="C23" s="107" t="s">
        <v>135</v>
      </c>
      <c r="D23" s="92"/>
      <c r="E23" s="92"/>
      <c r="F23" s="93">
        <f t="shared" si="1"/>
        <v>0</v>
      </c>
    </row>
    <row r="24" spans="2:6" ht="15.75">
      <c r="B24" s="88" t="s">
        <v>799</v>
      </c>
      <c r="C24" s="107" t="s">
        <v>136</v>
      </c>
      <c r="D24" s="92"/>
      <c r="E24" s="92"/>
      <c r="F24" s="93">
        <f t="shared" si="1"/>
        <v>0</v>
      </c>
    </row>
    <row r="25" spans="2:6" ht="15.75">
      <c r="B25" s="88" t="s">
        <v>798</v>
      </c>
      <c r="C25" s="107" t="s">
        <v>137</v>
      </c>
      <c r="D25" s="92"/>
      <c r="E25" s="92"/>
      <c r="F25" s="93">
        <f t="shared" si="1"/>
        <v>0</v>
      </c>
    </row>
    <row r="26" spans="2:6" ht="15.75">
      <c r="B26" s="88" t="s">
        <v>138</v>
      </c>
      <c r="C26" s="107" t="s">
        <v>139</v>
      </c>
      <c r="D26" s="92"/>
      <c r="E26" s="92"/>
      <c r="F26" s="93">
        <f t="shared" si="1"/>
        <v>0</v>
      </c>
    </row>
    <row r="27" spans="2:6" ht="15.75">
      <c r="B27" s="87" t="s">
        <v>140</v>
      </c>
      <c r="C27" s="107" t="s">
        <v>141</v>
      </c>
      <c r="D27" s="92"/>
      <c r="E27" s="92"/>
      <c r="F27" s="93">
        <f t="shared" si="1"/>
        <v>0</v>
      </c>
    </row>
    <row r="28" spans="2:6" ht="15.75">
      <c r="B28" s="88" t="s">
        <v>555</v>
      </c>
      <c r="C28" s="107" t="s">
        <v>142</v>
      </c>
      <c r="D28" s="92"/>
      <c r="E28" s="92"/>
      <c r="F28" s="93">
        <f t="shared" si="1"/>
        <v>0</v>
      </c>
    </row>
    <row r="29" spans="2:6" ht="15.75">
      <c r="B29" s="87" t="s">
        <v>790</v>
      </c>
      <c r="C29" s="107" t="s">
        <v>143</v>
      </c>
      <c r="D29" s="92"/>
      <c r="E29" s="92"/>
      <c r="F29" s="93">
        <f t="shared" si="1"/>
        <v>0</v>
      </c>
    </row>
    <row r="30" spans="2:6" ht="15.75">
      <c r="B30" s="87" t="s">
        <v>791</v>
      </c>
      <c r="C30" s="107" t="s">
        <v>143</v>
      </c>
      <c r="D30" s="92"/>
      <c r="E30" s="92"/>
      <c r="F30" s="93">
        <f t="shared" si="1"/>
        <v>0</v>
      </c>
    </row>
    <row r="31" spans="2:6" s="110" customFormat="1" ht="15.75">
      <c r="B31" s="78" t="s">
        <v>524</v>
      </c>
      <c r="C31" s="109" t="s">
        <v>144</v>
      </c>
      <c r="D31" s="93">
        <f>SUM(D18:D30)</f>
        <v>0</v>
      </c>
      <c r="E31" s="93">
        <f>SUM(E18:E30)</f>
        <v>0</v>
      </c>
      <c r="F31" s="93">
        <f>SUM(F18:F30)</f>
        <v>0</v>
      </c>
    </row>
    <row r="32" spans="2:6" ht="15.75">
      <c r="B32" s="111" t="s">
        <v>523</v>
      </c>
      <c r="C32" s="112" t="s">
        <v>673</v>
      </c>
      <c r="D32" s="113">
        <f>+D31+D17+D16+D10+D9</f>
        <v>228933</v>
      </c>
      <c r="E32" s="113">
        <f>+E31+E17+E16+E10+E9</f>
        <v>0</v>
      </c>
      <c r="F32" s="113">
        <f>+F31+F17+F16+F10+F9</f>
        <v>228933</v>
      </c>
    </row>
    <row r="33" spans="2:9" ht="15.75">
      <c r="B33" s="114" t="s">
        <v>145</v>
      </c>
      <c r="C33" s="107" t="s">
        <v>146</v>
      </c>
      <c r="D33" s="92">
        <v>335</v>
      </c>
      <c r="E33" s="92"/>
      <c r="F33" s="93">
        <f aca="true" t="shared" si="2" ref="F33:F39">+D33+E33</f>
        <v>335</v>
      </c>
      <c r="I33" s="115"/>
    </row>
    <row r="34" spans="2:6" ht="15.75">
      <c r="B34" s="114" t="s">
        <v>556</v>
      </c>
      <c r="C34" s="107" t="s">
        <v>147</v>
      </c>
      <c r="D34" s="92"/>
      <c r="E34" s="92"/>
      <c r="F34" s="93">
        <f t="shared" si="2"/>
        <v>0</v>
      </c>
    </row>
    <row r="35" spans="2:6" ht="15.75">
      <c r="B35" s="114" t="s">
        <v>148</v>
      </c>
      <c r="C35" s="107" t="s">
        <v>149</v>
      </c>
      <c r="D35" s="92">
        <v>748</v>
      </c>
      <c r="E35" s="92"/>
      <c r="F35" s="93">
        <f t="shared" si="2"/>
        <v>748</v>
      </c>
    </row>
    <row r="36" spans="2:6" ht="15.75">
      <c r="B36" s="114" t="s">
        <v>150</v>
      </c>
      <c r="C36" s="107" t="s">
        <v>151</v>
      </c>
      <c r="D36" s="92">
        <v>100</v>
      </c>
      <c r="E36" s="92"/>
      <c r="F36" s="93">
        <f t="shared" si="2"/>
        <v>100</v>
      </c>
    </row>
    <row r="37" spans="2:6" ht="15.75">
      <c r="B37" s="81" t="s">
        <v>152</v>
      </c>
      <c r="C37" s="107" t="s">
        <v>153</v>
      </c>
      <c r="D37" s="92"/>
      <c r="E37" s="92"/>
      <c r="F37" s="93">
        <f t="shared" si="2"/>
        <v>0</v>
      </c>
    </row>
    <row r="38" spans="2:6" ht="15.75">
      <c r="B38" s="81" t="s">
        <v>154</v>
      </c>
      <c r="C38" s="107" t="s">
        <v>155</v>
      </c>
      <c r="D38" s="92"/>
      <c r="E38" s="92"/>
      <c r="F38" s="93">
        <f t="shared" si="2"/>
        <v>0</v>
      </c>
    </row>
    <row r="39" spans="2:6" ht="15.75">
      <c r="B39" s="81" t="s">
        <v>156</v>
      </c>
      <c r="C39" s="107" t="s">
        <v>157</v>
      </c>
      <c r="D39" s="92">
        <f>90+229</f>
        <v>319</v>
      </c>
      <c r="E39" s="92"/>
      <c r="F39" s="93">
        <f t="shared" si="2"/>
        <v>319</v>
      </c>
    </row>
    <row r="40" spans="2:6" s="110" customFormat="1" ht="15.75">
      <c r="B40" s="83" t="s">
        <v>522</v>
      </c>
      <c r="C40" s="109" t="s">
        <v>158</v>
      </c>
      <c r="D40" s="93">
        <f>SUM(D33:D39)</f>
        <v>1502</v>
      </c>
      <c r="E40" s="93">
        <f>SUM(E33:E39)</f>
        <v>0</v>
      </c>
      <c r="F40" s="93">
        <f>SUM(F33:F39)</f>
        <v>1502</v>
      </c>
    </row>
    <row r="41" spans="2:6" ht="15.75">
      <c r="B41" s="80" t="s">
        <v>159</v>
      </c>
      <c r="C41" s="107" t="s">
        <v>160</v>
      </c>
      <c r="D41" s="92"/>
      <c r="E41" s="92"/>
      <c r="F41" s="93">
        <f>+D41+E41</f>
        <v>0</v>
      </c>
    </row>
    <row r="42" spans="2:6" ht="15.75">
      <c r="B42" s="80" t="s">
        <v>161</v>
      </c>
      <c r="C42" s="107" t="s">
        <v>162</v>
      </c>
      <c r="D42" s="92"/>
      <c r="E42" s="92"/>
      <c r="F42" s="93">
        <f>+D42+E42</f>
        <v>0</v>
      </c>
    </row>
    <row r="43" spans="2:6" ht="15.75">
      <c r="B43" s="80" t="s">
        <v>163</v>
      </c>
      <c r="C43" s="107" t="s">
        <v>164</v>
      </c>
      <c r="D43" s="92"/>
      <c r="E43" s="92"/>
      <c r="F43" s="93">
        <f>+D43+E43</f>
        <v>0</v>
      </c>
    </row>
    <row r="44" spans="2:6" ht="15.75">
      <c r="B44" s="80" t="s">
        <v>165</v>
      </c>
      <c r="C44" s="107" t="s">
        <v>166</v>
      </c>
      <c r="D44" s="92"/>
      <c r="E44" s="92"/>
      <c r="F44" s="93">
        <f>+D44+E44</f>
        <v>0</v>
      </c>
    </row>
    <row r="45" spans="2:6" s="110" customFormat="1" ht="15.75">
      <c r="B45" s="90" t="s">
        <v>521</v>
      </c>
      <c r="C45" s="109" t="s">
        <v>167</v>
      </c>
      <c r="D45" s="93">
        <f>SUM(D41:D44)</f>
        <v>0</v>
      </c>
      <c r="E45" s="93">
        <f>SUM(E41:E44)</f>
        <v>0</v>
      </c>
      <c r="F45" s="93">
        <f>SUM(F41:F44)</f>
        <v>0</v>
      </c>
    </row>
    <row r="46" spans="2:6" ht="15.75">
      <c r="B46" s="80" t="s">
        <v>793</v>
      </c>
      <c r="C46" s="107" t="s">
        <v>168</v>
      </c>
      <c r="D46" s="92"/>
      <c r="E46" s="92"/>
      <c r="F46" s="93">
        <f aca="true" t="shared" si="3" ref="F46:F53">+D46+E46</f>
        <v>0</v>
      </c>
    </row>
    <row r="47" spans="2:6" ht="15.75">
      <c r="B47" s="80" t="s">
        <v>794</v>
      </c>
      <c r="C47" s="107" t="s">
        <v>169</v>
      </c>
      <c r="D47" s="92"/>
      <c r="E47" s="92"/>
      <c r="F47" s="93">
        <f t="shared" si="3"/>
        <v>0</v>
      </c>
    </row>
    <row r="48" spans="2:6" ht="15.75">
      <c r="B48" s="80" t="s">
        <v>795</v>
      </c>
      <c r="C48" s="107" t="s">
        <v>170</v>
      </c>
      <c r="D48" s="92"/>
      <c r="E48" s="92"/>
      <c r="F48" s="93">
        <f t="shared" si="3"/>
        <v>0</v>
      </c>
    </row>
    <row r="49" spans="2:6" ht="15.75">
      <c r="B49" s="80" t="s">
        <v>805</v>
      </c>
      <c r="C49" s="107" t="s">
        <v>171</v>
      </c>
      <c r="D49" s="92"/>
      <c r="E49" s="92"/>
      <c r="F49" s="93">
        <f t="shared" si="3"/>
        <v>0</v>
      </c>
    </row>
    <row r="50" spans="2:6" ht="15.75">
      <c r="B50" s="80" t="s">
        <v>796</v>
      </c>
      <c r="C50" s="107" t="s">
        <v>172</v>
      </c>
      <c r="D50" s="92"/>
      <c r="E50" s="92"/>
      <c r="F50" s="93">
        <f t="shared" si="3"/>
        <v>0</v>
      </c>
    </row>
    <row r="51" spans="2:6" ht="15.75">
      <c r="B51" s="80" t="s">
        <v>797</v>
      </c>
      <c r="C51" s="107" t="s">
        <v>173</v>
      </c>
      <c r="D51" s="92"/>
      <c r="E51" s="92"/>
      <c r="F51" s="93">
        <f t="shared" si="3"/>
        <v>0</v>
      </c>
    </row>
    <row r="52" spans="2:6" ht="15.75">
      <c r="B52" s="80" t="s">
        <v>174</v>
      </c>
      <c r="C52" s="107" t="s">
        <v>175</v>
      </c>
      <c r="D52" s="92"/>
      <c r="E52" s="92"/>
      <c r="F52" s="93">
        <f t="shared" si="3"/>
        <v>0</v>
      </c>
    </row>
    <row r="53" spans="2:6" ht="15.75">
      <c r="B53" s="80" t="s">
        <v>557</v>
      </c>
      <c r="C53" s="107" t="s">
        <v>176</v>
      </c>
      <c r="D53" s="92"/>
      <c r="E53" s="92"/>
      <c r="F53" s="93">
        <f t="shared" si="3"/>
        <v>0</v>
      </c>
    </row>
    <row r="54" spans="2:6" s="110" customFormat="1" ht="15.75">
      <c r="B54" s="78" t="s">
        <v>520</v>
      </c>
      <c r="C54" s="109" t="s">
        <v>177</v>
      </c>
      <c r="D54" s="93">
        <f>SUM(D46:D53)</f>
        <v>0</v>
      </c>
      <c r="E54" s="93">
        <f>SUM(E46:E53)</f>
        <v>0</v>
      </c>
      <c r="F54" s="93">
        <f>SUM(F46:F53)</f>
        <v>0</v>
      </c>
    </row>
    <row r="55" spans="2:6" ht="15.75">
      <c r="B55" s="111" t="s">
        <v>519</v>
      </c>
      <c r="C55" s="112" t="s">
        <v>674</v>
      </c>
      <c r="D55" s="113">
        <f>+D54+D45+D40</f>
        <v>1502</v>
      </c>
      <c r="E55" s="113">
        <f>+E54+E45+E40</f>
        <v>0</v>
      </c>
      <c r="F55" s="113">
        <f>+F54+F45+F40</f>
        <v>1502</v>
      </c>
    </row>
    <row r="56" spans="2:6" ht="15.75">
      <c r="B56" s="116" t="s">
        <v>518</v>
      </c>
      <c r="C56" s="117" t="s">
        <v>675</v>
      </c>
      <c r="D56" s="118">
        <f>+D54+D45+D40+D31+D17+D16+D10+D9</f>
        <v>230435</v>
      </c>
      <c r="E56" s="118">
        <f>+E54+E45+E40+E31+E17+E16+E10+E9</f>
        <v>0</v>
      </c>
      <c r="F56" s="118">
        <f>+F54+F45+F40+F31+F17+F16+F10+F9</f>
        <v>230435</v>
      </c>
    </row>
    <row r="57" spans="2:25" ht="15.75">
      <c r="B57" s="125" t="s">
        <v>542</v>
      </c>
      <c r="C57" s="90" t="s">
        <v>204</v>
      </c>
      <c r="D57" s="188"/>
      <c r="E57" s="188"/>
      <c r="F57" s="93">
        <f>+D57+E57</f>
        <v>0</v>
      </c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0"/>
      <c r="Y57" s="120"/>
    </row>
    <row r="58" spans="2:25" ht="15.75">
      <c r="B58" s="125" t="s">
        <v>547</v>
      </c>
      <c r="C58" s="90" t="s">
        <v>214</v>
      </c>
      <c r="D58" s="188"/>
      <c r="E58" s="188"/>
      <c r="F58" s="93">
        <f>+D58+E58</f>
        <v>0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0"/>
      <c r="Y58" s="120"/>
    </row>
    <row r="59" spans="2:25" ht="15.75">
      <c r="B59" s="80" t="s">
        <v>215</v>
      </c>
      <c r="C59" s="82" t="s">
        <v>216</v>
      </c>
      <c r="D59" s="188"/>
      <c r="E59" s="188"/>
      <c r="F59" s="93">
        <f>+D59+E59</f>
        <v>0</v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20"/>
      <c r="Y59" s="120"/>
    </row>
    <row r="60" spans="2:25" ht="15.75">
      <c r="B60" s="128" t="s">
        <v>517</v>
      </c>
      <c r="C60" s="129" t="s">
        <v>217</v>
      </c>
      <c r="D60" s="130">
        <f>+D59+D58+D57</f>
        <v>0</v>
      </c>
      <c r="E60" s="130">
        <f>+E59+E58+E57</f>
        <v>0</v>
      </c>
      <c r="F60" s="130">
        <f>+F59+F58+F57</f>
        <v>0</v>
      </c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0"/>
      <c r="Y60" s="120"/>
    </row>
    <row r="61" spans="2:25" ht="15.75">
      <c r="B61" s="75" t="s">
        <v>771</v>
      </c>
      <c r="C61" s="75" t="s">
        <v>671</v>
      </c>
      <c r="D61" s="131">
        <f>+D56+D60</f>
        <v>230435</v>
      </c>
      <c r="E61" s="131">
        <f>+E56+E60</f>
        <v>0</v>
      </c>
      <c r="F61" s="131">
        <f>+F56+F60</f>
        <v>230435</v>
      </c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</row>
    <row r="62" spans="2:25" ht="15.75">
      <c r="B62" s="4"/>
      <c r="C62" s="132"/>
      <c r="D62" s="133"/>
      <c r="E62" s="133"/>
      <c r="F62" s="134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</row>
    <row r="63" spans="2:25" ht="15.75">
      <c r="B63" s="4"/>
      <c r="C63" s="132"/>
      <c r="D63" s="133"/>
      <c r="E63" s="133"/>
      <c r="F63" s="134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</row>
    <row r="64" spans="2:25" ht="31.5">
      <c r="B64" s="72" t="s">
        <v>76</v>
      </c>
      <c r="C64" s="79" t="s">
        <v>31</v>
      </c>
      <c r="D64" s="135" t="s">
        <v>769</v>
      </c>
      <c r="E64" s="135" t="s">
        <v>770</v>
      </c>
      <c r="F64" s="136" t="s">
        <v>28</v>
      </c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</row>
    <row r="65" spans="2:25" ht="15.75">
      <c r="B65" s="90" t="s">
        <v>620</v>
      </c>
      <c r="C65" s="83" t="s">
        <v>230</v>
      </c>
      <c r="D65" s="93"/>
      <c r="E65" s="93"/>
      <c r="F65" s="93">
        <f aca="true" t="shared" si="4" ref="F65:F70">+E65+D65</f>
        <v>0</v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</row>
    <row r="66" spans="2:25" ht="15.75">
      <c r="B66" s="82" t="s">
        <v>231</v>
      </c>
      <c r="C66" s="81" t="s">
        <v>232</v>
      </c>
      <c r="D66" s="93"/>
      <c r="E66" s="93"/>
      <c r="F66" s="93">
        <f t="shared" si="4"/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</row>
    <row r="67" spans="2:25" ht="15.75">
      <c r="B67" s="82" t="s">
        <v>768</v>
      </c>
      <c r="C67" s="81" t="s">
        <v>233</v>
      </c>
      <c r="D67" s="93"/>
      <c r="E67" s="93"/>
      <c r="F67" s="93">
        <f t="shared" si="4"/>
        <v>0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</row>
    <row r="68" spans="2:25" ht="31.5">
      <c r="B68" s="82" t="s">
        <v>766</v>
      </c>
      <c r="C68" s="81" t="s">
        <v>234</v>
      </c>
      <c r="D68" s="93"/>
      <c r="E68" s="93"/>
      <c r="F68" s="93">
        <f t="shared" si="4"/>
        <v>0</v>
      </c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</row>
    <row r="69" spans="2:25" ht="31.5">
      <c r="B69" s="82" t="s">
        <v>767</v>
      </c>
      <c r="C69" s="81" t="s">
        <v>235</v>
      </c>
      <c r="D69" s="93"/>
      <c r="E69" s="93"/>
      <c r="F69" s="93">
        <f t="shared" si="4"/>
        <v>0</v>
      </c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</row>
    <row r="70" spans="2:25" ht="15.75">
      <c r="B70" s="82" t="s">
        <v>572</v>
      </c>
      <c r="C70" s="81" t="s">
        <v>236</v>
      </c>
      <c r="D70" s="92">
        <v>4911</v>
      </c>
      <c r="E70" s="92"/>
      <c r="F70" s="93">
        <f t="shared" si="4"/>
        <v>4911</v>
      </c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</row>
    <row r="71" spans="2:25" ht="15.75">
      <c r="B71" s="90" t="s">
        <v>527</v>
      </c>
      <c r="C71" s="83" t="s">
        <v>237</v>
      </c>
      <c r="D71" s="93">
        <f>+D70+D69+D68+D67+D66+D65</f>
        <v>4911</v>
      </c>
      <c r="E71" s="93">
        <f>+E70+E69+E68+E67+E66+E65</f>
        <v>0</v>
      </c>
      <c r="F71" s="93">
        <f>+F70+F69+F68+F67+F66+F65</f>
        <v>4911</v>
      </c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</row>
    <row r="72" spans="2:25" ht="15.75">
      <c r="B72" s="90" t="s">
        <v>622</v>
      </c>
      <c r="C72" s="83" t="s">
        <v>242</v>
      </c>
      <c r="D72" s="92"/>
      <c r="E72" s="92"/>
      <c r="F72" s="93">
        <f aca="true" t="shared" si="5" ref="F72:F78">+E72+D72</f>
        <v>0</v>
      </c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</row>
    <row r="73" spans="2:25" ht="15.75">
      <c r="B73" s="82" t="s">
        <v>623</v>
      </c>
      <c r="C73" s="81" t="s">
        <v>243</v>
      </c>
      <c r="D73" s="92"/>
      <c r="E73" s="92"/>
      <c r="F73" s="93">
        <f t="shared" si="5"/>
        <v>0</v>
      </c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</row>
    <row r="74" spans="2:25" ht="15.75">
      <c r="B74" s="82" t="s">
        <v>573</v>
      </c>
      <c r="C74" s="81" t="s">
        <v>244</v>
      </c>
      <c r="D74" s="92"/>
      <c r="E74" s="92"/>
      <c r="F74" s="93">
        <f t="shared" si="5"/>
        <v>0</v>
      </c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</row>
    <row r="75" spans="2:25" ht="15.75">
      <c r="B75" s="82" t="s">
        <v>574</v>
      </c>
      <c r="C75" s="81" t="s">
        <v>245</v>
      </c>
      <c r="D75" s="92"/>
      <c r="E75" s="92"/>
      <c r="F75" s="93">
        <f t="shared" si="5"/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</row>
    <row r="76" spans="2:25" ht="15.75">
      <c r="B76" s="82" t="s">
        <v>575</v>
      </c>
      <c r="C76" s="81" t="s">
        <v>246</v>
      </c>
      <c r="D76" s="92"/>
      <c r="E76" s="92"/>
      <c r="F76" s="93">
        <f t="shared" si="5"/>
        <v>0</v>
      </c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2:25" ht="15.75">
      <c r="B77" s="82" t="s">
        <v>624</v>
      </c>
      <c r="C77" s="81" t="s">
        <v>258</v>
      </c>
      <c r="D77" s="92"/>
      <c r="E77" s="92"/>
      <c r="F77" s="93">
        <f t="shared" si="5"/>
        <v>0</v>
      </c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2:25" ht="15.75">
      <c r="B78" s="82" t="s">
        <v>578</v>
      </c>
      <c r="C78" s="81" t="s">
        <v>259</v>
      </c>
      <c r="D78" s="92"/>
      <c r="E78" s="92"/>
      <c r="F78" s="93">
        <f t="shared" si="5"/>
        <v>0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2:25" ht="15.75">
      <c r="B79" s="90" t="s">
        <v>434</v>
      </c>
      <c r="C79" s="83" t="s">
        <v>260</v>
      </c>
      <c r="D79" s="93">
        <f>SUM(D73:D78)</f>
        <v>0</v>
      </c>
      <c r="E79" s="93">
        <f>SUM(E73:E78)</f>
        <v>0</v>
      </c>
      <c r="F79" s="93">
        <f>SUM(F73:F78)</f>
        <v>0</v>
      </c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2:25" ht="15.75">
      <c r="B80" s="80" t="s">
        <v>261</v>
      </c>
      <c r="C80" s="81" t="s">
        <v>262</v>
      </c>
      <c r="D80" s="92"/>
      <c r="E80" s="92"/>
      <c r="F80" s="93">
        <f aca="true" t="shared" si="6" ref="F80:F89">+E80+D80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2:25" ht="15.75">
      <c r="B81" s="80" t="s">
        <v>579</v>
      </c>
      <c r="C81" s="81" t="s">
        <v>263</v>
      </c>
      <c r="D81" s="92">
        <v>9195</v>
      </c>
      <c r="E81" s="92"/>
      <c r="F81" s="93">
        <f t="shared" si="6"/>
        <v>9195</v>
      </c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2:25" ht="15.75">
      <c r="B82" s="80" t="s">
        <v>580</v>
      </c>
      <c r="C82" s="81" t="s">
        <v>264</v>
      </c>
      <c r="D82" s="92"/>
      <c r="E82" s="92"/>
      <c r="F82" s="93">
        <f t="shared" si="6"/>
        <v>0</v>
      </c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2:25" ht="15.75">
      <c r="B83" s="80" t="s">
        <v>581</v>
      </c>
      <c r="C83" s="81" t="s">
        <v>265</v>
      </c>
      <c r="D83" s="92"/>
      <c r="E83" s="92"/>
      <c r="F83" s="93">
        <f t="shared" si="6"/>
        <v>0</v>
      </c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2:25" ht="15.75">
      <c r="B84" s="80" t="s">
        <v>266</v>
      </c>
      <c r="C84" s="81" t="s">
        <v>267</v>
      </c>
      <c r="D84" s="92"/>
      <c r="E84" s="92"/>
      <c r="F84" s="93">
        <f t="shared" si="6"/>
        <v>0</v>
      </c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2:25" ht="15.75">
      <c r="B85" s="80" t="s">
        <v>268</v>
      </c>
      <c r="C85" s="81" t="s">
        <v>269</v>
      </c>
      <c r="D85" s="92">
        <v>2429</v>
      </c>
      <c r="E85" s="92"/>
      <c r="F85" s="93">
        <f t="shared" si="6"/>
        <v>2429</v>
      </c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2:25" ht="15.75">
      <c r="B86" s="80" t="s">
        <v>270</v>
      </c>
      <c r="C86" s="81" t="s">
        <v>271</v>
      </c>
      <c r="D86" s="92"/>
      <c r="E86" s="92"/>
      <c r="F86" s="93">
        <f t="shared" si="6"/>
        <v>0</v>
      </c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</row>
    <row r="87" spans="2:25" ht="15.75">
      <c r="B87" s="80" t="s">
        <v>582</v>
      </c>
      <c r="C87" s="81" t="s">
        <v>272</v>
      </c>
      <c r="D87" s="92"/>
      <c r="E87" s="92"/>
      <c r="F87" s="93">
        <f t="shared" si="6"/>
        <v>0</v>
      </c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</row>
    <row r="88" spans="2:25" ht="15.75">
      <c r="B88" s="80" t="s">
        <v>583</v>
      </c>
      <c r="C88" s="81" t="s">
        <v>273</v>
      </c>
      <c r="D88" s="92"/>
      <c r="E88" s="92"/>
      <c r="F88" s="93">
        <f t="shared" si="6"/>
        <v>0</v>
      </c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</row>
    <row r="89" spans="2:25" ht="15.75">
      <c r="B89" s="80" t="s">
        <v>584</v>
      </c>
      <c r="C89" s="81" t="s">
        <v>274</v>
      </c>
      <c r="D89" s="92"/>
      <c r="E89" s="92"/>
      <c r="F89" s="93">
        <f t="shared" si="6"/>
        <v>0</v>
      </c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</row>
    <row r="90" spans="2:25" ht="15.75">
      <c r="B90" s="78" t="s">
        <v>435</v>
      </c>
      <c r="C90" s="83" t="s">
        <v>275</v>
      </c>
      <c r="D90" s="93">
        <f>SUM(D80:D89)</f>
        <v>11624</v>
      </c>
      <c r="E90" s="93">
        <f>SUM(E80:E89)</f>
        <v>0</v>
      </c>
      <c r="F90" s="93">
        <f>SUM(F80:F89)</f>
        <v>11624</v>
      </c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2:25" ht="15.75">
      <c r="B91" s="80" t="s">
        <v>585</v>
      </c>
      <c r="C91" s="81" t="s">
        <v>276</v>
      </c>
      <c r="D91" s="92"/>
      <c r="E91" s="92"/>
      <c r="F91" s="93">
        <f>+E91+D91</f>
        <v>0</v>
      </c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</row>
    <row r="92" spans="2:25" ht="15.75">
      <c r="B92" s="80" t="s">
        <v>586</v>
      </c>
      <c r="C92" s="81" t="s">
        <v>277</v>
      </c>
      <c r="D92" s="92"/>
      <c r="E92" s="92"/>
      <c r="F92" s="93">
        <f>+E92+D92</f>
        <v>0</v>
      </c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</row>
    <row r="93" spans="2:25" ht="15.75">
      <c r="B93" s="80" t="s">
        <v>278</v>
      </c>
      <c r="C93" s="81" t="s">
        <v>279</v>
      </c>
      <c r="D93" s="92"/>
      <c r="E93" s="92"/>
      <c r="F93" s="93">
        <f>+E93+D93</f>
        <v>0</v>
      </c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</row>
    <row r="94" spans="2:25" ht="15.75">
      <c r="B94" s="80" t="s">
        <v>587</v>
      </c>
      <c r="C94" s="81" t="s">
        <v>280</v>
      </c>
      <c r="D94" s="92"/>
      <c r="E94" s="92"/>
      <c r="F94" s="93">
        <f>+E94+D94</f>
        <v>0</v>
      </c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</row>
    <row r="95" spans="2:25" ht="15.75">
      <c r="B95" s="80" t="s">
        <v>281</v>
      </c>
      <c r="C95" s="81" t="s">
        <v>282</v>
      </c>
      <c r="D95" s="92"/>
      <c r="E95" s="92"/>
      <c r="F95" s="93">
        <f>+E95+D95</f>
        <v>0</v>
      </c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</row>
    <row r="96" spans="2:25" ht="15.75">
      <c r="B96" s="90" t="s">
        <v>693</v>
      </c>
      <c r="C96" s="83" t="s">
        <v>283</v>
      </c>
      <c r="D96" s="93">
        <f>SUM(D91:D95)</f>
        <v>0</v>
      </c>
      <c r="E96" s="93">
        <f>SUM(E91:E95)</f>
        <v>0</v>
      </c>
      <c r="F96" s="93">
        <f>SUM(F91:F95)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</row>
    <row r="97" spans="2:25" ht="15.75">
      <c r="B97" s="90" t="s">
        <v>628</v>
      </c>
      <c r="C97" s="83" t="s">
        <v>286</v>
      </c>
      <c r="D97" s="92"/>
      <c r="E97" s="92"/>
      <c r="F97" s="93">
        <f>+E97+D97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</row>
    <row r="98" spans="2:25" ht="15.75">
      <c r="B98" s="80" t="s">
        <v>808</v>
      </c>
      <c r="C98" s="81" t="s">
        <v>287</v>
      </c>
      <c r="D98" s="92"/>
      <c r="E98" s="92"/>
      <c r="F98" s="93">
        <f>+E98+D98</f>
        <v>0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</row>
    <row r="99" spans="2:25" ht="15.75">
      <c r="B99" s="82" t="s">
        <v>807</v>
      </c>
      <c r="C99" s="81" t="s">
        <v>288</v>
      </c>
      <c r="D99" s="92"/>
      <c r="E99" s="92"/>
      <c r="F99" s="93">
        <f>+E99+D99</f>
        <v>0</v>
      </c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</row>
    <row r="100" spans="2:25" ht="15.75">
      <c r="B100" s="80" t="s">
        <v>612</v>
      </c>
      <c r="C100" s="81" t="s">
        <v>289</v>
      </c>
      <c r="D100" s="92"/>
      <c r="E100" s="92"/>
      <c r="F100" s="93">
        <f>+E100+D100</f>
        <v>0</v>
      </c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</row>
    <row r="101" spans="2:25" ht="15.75">
      <c r="B101" s="90" t="s">
        <v>512</v>
      </c>
      <c r="C101" s="83" t="s">
        <v>290</v>
      </c>
      <c r="D101" s="93">
        <f>SUM(D98:D100)</f>
        <v>0</v>
      </c>
      <c r="E101" s="93">
        <f>SUM(E98:E100)</f>
        <v>0</v>
      </c>
      <c r="F101" s="93">
        <f>SUM(F98:F100)</f>
        <v>0</v>
      </c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</row>
    <row r="102" spans="2:25" ht="15.75">
      <c r="B102" s="137" t="s">
        <v>516</v>
      </c>
      <c r="C102" s="116" t="s">
        <v>672</v>
      </c>
      <c r="D102" s="118">
        <f>+D101+D97+D96+D90+D79+D72+D71</f>
        <v>16535</v>
      </c>
      <c r="E102" s="118">
        <f>+E101+E97+E96+E90+E79+E72+E71</f>
        <v>0</v>
      </c>
      <c r="F102" s="118">
        <f>+F101+F97+F96+F90+F79+F72+F71</f>
        <v>16535</v>
      </c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</row>
    <row r="103" spans="2:25" ht="15.75">
      <c r="B103" s="138" t="s">
        <v>668</v>
      </c>
      <c r="C103" s="139"/>
      <c r="D103" s="140">
        <f>+D97+D90+D79+D71-D32</f>
        <v>-212398</v>
      </c>
      <c r="E103" s="140">
        <f>+E97+E90+E79+E71-E32</f>
        <v>0</v>
      </c>
      <c r="F103" s="140">
        <f aca="true" t="shared" si="7" ref="F103:F110">+E103+D103</f>
        <v>-212398</v>
      </c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</row>
    <row r="104" spans="2:25" ht="15.75">
      <c r="B104" s="138" t="s">
        <v>669</v>
      </c>
      <c r="C104" s="139"/>
      <c r="D104" s="140">
        <f>+D101+D96+D72-D55</f>
        <v>-1502</v>
      </c>
      <c r="E104" s="140">
        <f>+E101+E96+E72-E55</f>
        <v>0</v>
      </c>
      <c r="F104" s="140">
        <f t="shared" si="7"/>
        <v>-1502</v>
      </c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</row>
    <row r="105" spans="2:6" ht="15.75">
      <c r="B105" s="78" t="s">
        <v>631</v>
      </c>
      <c r="C105" s="90" t="s">
        <v>295</v>
      </c>
      <c r="D105" s="92"/>
      <c r="E105" s="92"/>
      <c r="F105" s="93">
        <f t="shared" si="7"/>
        <v>0</v>
      </c>
    </row>
    <row r="106" spans="2:6" ht="15.75">
      <c r="B106" s="125" t="s">
        <v>632</v>
      </c>
      <c r="C106" s="90" t="s">
        <v>302</v>
      </c>
      <c r="D106" s="92"/>
      <c r="E106" s="92"/>
      <c r="F106" s="93">
        <f t="shared" si="7"/>
        <v>0</v>
      </c>
    </row>
    <row r="107" spans="2:6" ht="15.75">
      <c r="B107" s="82" t="s">
        <v>788</v>
      </c>
      <c r="C107" s="82" t="s">
        <v>303</v>
      </c>
      <c r="D107" s="92"/>
      <c r="E107" s="92"/>
      <c r="F107" s="93">
        <f t="shared" si="7"/>
        <v>0</v>
      </c>
    </row>
    <row r="108" spans="2:6" ht="15.75">
      <c r="B108" s="82" t="s">
        <v>789</v>
      </c>
      <c r="C108" s="82" t="s">
        <v>303</v>
      </c>
      <c r="D108" s="92"/>
      <c r="E108" s="92"/>
      <c r="F108" s="93">
        <f t="shared" si="7"/>
        <v>0</v>
      </c>
    </row>
    <row r="109" spans="2:6" ht="15.75">
      <c r="B109" s="82" t="s">
        <v>786</v>
      </c>
      <c r="C109" s="82" t="s">
        <v>304</v>
      </c>
      <c r="D109" s="92"/>
      <c r="E109" s="92"/>
      <c r="F109" s="93">
        <f t="shared" si="7"/>
        <v>0</v>
      </c>
    </row>
    <row r="110" spans="2:6" ht="15.75">
      <c r="B110" s="82" t="s">
        <v>787</v>
      </c>
      <c r="C110" s="82" t="s">
        <v>304</v>
      </c>
      <c r="D110" s="92"/>
      <c r="E110" s="92"/>
      <c r="F110" s="93">
        <f t="shared" si="7"/>
        <v>0</v>
      </c>
    </row>
    <row r="111" spans="2:6" ht="15.75">
      <c r="B111" s="90" t="s">
        <v>514</v>
      </c>
      <c r="C111" s="90" t="s">
        <v>305</v>
      </c>
      <c r="D111" s="93">
        <f>SUM(D107:D110)</f>
        <v>0</v>
      </c>
      <c r="E111" s="93">
        <f>SUM(E107:E110)</f>
        <v>0</v>
      </c>
      <c r="F111" s="93">
        <f>SUM(F107:F110)</f>
        <v>0</v>
      </c>
    </row>
    <row r="112" spans="2:6" ht="15.75">
      <c r="B112" s="123" t="s">
        <v>306</v>
      </c>
      <c r="C112" s="82" t="s">
        <v>307</v>
      </c>
      <c r="D112" s="92"/>
      <c r="E112" s="92"/>
      <c r="F112" s="93">
        <f aca="true" t="shared" si="8" ref="F112:F118">+E112+D112</f>
        <v>0</v>
      </c>
    </row>
    <row r="113" spans="2:6" ht="15.75">
      <c r="B113" s="123" t="s">
        <v>308</v>
      </c>
      <c r="C113" s="82" t="s">
        <v>309</v>
      </c>
      <c r="D113" s="92"/>
      <c r="E113" s="92"/>
      <c r="F113" s="93">
        <f t="shared" si="8"/>
        <v>0</v>
      </c>
    </row>
    <row r="114" spans="2:6" ht="15.75">
      <c r="B114" s="123" t="s">
        <v>310</v>
      </c>
      <c r="C114" s="82" t="s">
        <v>311</v>
      </c>
      <c r="D114" s="92">
        <f>137766+71554+4974-394</f>
        <v>213900</v>
      </c>
      <c r="E114" s="92"/>
      <c r="F114" s="93">
        <f t="shared" si="8"/>
        <v>213900</v>
      </c>
    </row>
    <row r="115" spans="2:6" s="208" customFormat="1" ht="15.75">
      <c r="B115" s="204" t="s">
        <v>366</v>
      </c>
      <c r="C115" s="171"/>
      <c r="D115" s="151">
        <f>137766+4975</f>
        <v>142741</v>
      </c>
      <c r="E115" s="151"/>
      <c r="F115" s="173">
        <f t="shared" si="8"/>
        <v>142741</v>
      </c>
    </row>
    <row r="116" spans="2:6" s="208" customFormat="1" ht="15.75">
      <c r="B116" s="206" t="s">
        <v>356</v>
      </c>
      <c r="C116" s="171"/>
      <c r="D116" s="151">
        <f>+D114-D115</f>
        <v>71159</v>
      </c>
      <c r="E116" s="151">
        <f>+E114-E115</f>
        <v>0</v>
      </c>
      <c r="F116" s="173">
        <f t="shared" si="8"/>
        <v>71159</v>
      </c>
    </row>
    <row r="117" spans="2:6" ht="15.75">
      <c r="B117" s="123" t="s">
        <v>312</v>
      </c>
      <c r="C117" s="82" t="s">
        <v>313</v>
      </c>
      <c r="D117" s="92"/>
      <c r="E117" s="92"/>
      <c r="F117" s="93">
        <f t="shared" si="8"/>
        <v>0</v>
      </c>
    </row>
    <row r="118" spans="2:6" ht="15.75">
      <c r="B118" s="80" t="s">
        <v>615</v>
      </c>
      <c r="C118" s="82" t="s">
        <v>314</v>
      </c>
      <c r="D118" s="92"/>
      <c r="E118" s="92"/>
      <c r="F118" s="93">
        <f t="shared" si="8"/>
        <v>0</v>
      </c>
    </row>
    <row r="119" spans="2:6" ht="15.75">
      <c r="B119" s="78" t="s">
        <v>428</v>
      </c>
      <c r="C119" s="90" t="s">
        <v>316</v>
      </c>
      <c r="D119" s="93">
        <f>SUM(D112:D118)+D111+D106+D105-D115-D116</f>
        <v>213900</v>
      </c>
      <c r="E119" s="93">
        <f>SUM(E112:E118)+E111+E106+E105-E115-E116</f>
        <v>0</v>
      </c>
      <c r="F119" s="93">
        <f>SUM(F112:F118)+F111+F106+F105-F115-F116</f>
        <v>213900</v>
      </c>
    </row>
    <row r="120" spans="2:6" ht="15.75">
      <c r="B120" s="123" t="s">
        <v>635</v>
      </c>
      <c r="C120" s="82" t="s">
        <v>324</v>
      </c>
      <c r="D120" s="92"/>
      <c r="E120" s="92"/>
      <c r="F120" s="93">
        <f>+E120+D120</f>
        <v>0</v>
      </c>
    </row>
    <row r="121" spans="2:6" ht="15.75">
      <c r="B121" s="80" t="s">
        <v>325</v>
      </c>
      <c r="C121" s="82" t="s">
        <v>326</v>
      </c>
      <c r="D121" s="92"/>
      <c r="E121" s="92"/>
      <c r="F121" s="93">
        <f>+E121+D121</f>
        <v>0</v>
      </c>
    </row>
    <row r="122" spans="2:6" ht="15.75">
      <c r="B122" s="128" t="s">
        <v>515</v>
      </c>
      <c r="C122" s="129" t="s">
        <v>327</v>
      </c>
      <c r="D122" s="118">
        <f>+D121+D120+D119</f>
        <v>213900</v>
      </c>
      <c r="E122" s="118">
        <f>+E121+E120+E119</f>
        <v>0</v>
      </c>
      <c r="F122" s="118">
        <f>+F121+F120+F119</f>
        <v>213900</v>
      </c>
    </row>
    <row r="123" spans="2:6" ht="15.75">
      <c r="B123" s="75" t="s">
        <v>654</v>
      </c>
      <c r="C123" s="75" t="s">
        <v>670</v>
      </c>
      <c r="D123" s="131">
        <f>+D102+D122</f>
        <v>230435</v>
      </c>
      <c r="E123" s="131">
        <f>+E102+E122</f>
        <v>0</v>
      </c>
      <c r="F123" s="131">
        <f>+F102+F122</f>
        <v>230435</v>
      </c>
    </row>
    <row r="124" spans="2:6" ht="15.75">
      <c r="B124" s="4"/>
      <c r="C124" s="4"/>
      <c r="D124" s="141"/>
      <c r="E124" s="141"/>
      <c r="F124" s="142"/>
    </row>
    <row r="125" spans="2:6" ht="15.75">
      <c r="B125" s="74" t="s">
        <v>676</v>
      </c>
      <c r="C125" s="74"/>
      <c r="D125" s="93">
        <f>+D102-D56</f>
        <v>-213900</v>
      </c>
      <c r="E125" s="93">
        <f>+E102-E56</f>
        <v>0</v>
      </c>
      <c r="F125" s="93">
        <f>+F102-F56</f>
        <v>-213900</v>
      </c>
    </row>
    <row r="126" spans="2:6" ht="15.75">
      <c r="B126" s="74" t="s">
        <v>746</v>
      </c>
      <c r="C126" s="74"/>
      <c r="D126" s="93">
        <f>+D122-D60</f>
        <v>213900</v>
      </c>
      <c r="E126" s="93">
        <f>+E122-E60</f>
        <v>0</v>
      </c>
      <c r="F126" s="93">
        <f>+F122-F60</f>
        <v>213900</v>
      </c>
    </row>
    <row r="127" spans="2:6" ht="15.75">
      <c r="B127" s="4"/>
      <c r="C127" s="4"/>
      <c r="D127" s="141"/>
      <c r="E127" s="141"/>
      <c r="F127" s="142"/>
    </row>
    <row r="128" spans="2:6" ht="15.75">
      <c r="B128" s="143" t="s">
        <v>756</v>
      </c>
      <c r="C128" s="4"/>
      <c r="D128" s="141">
        <f>+D123-D61</f>
        <v>0</v>
      </c>
      <c r="E128" s="141">
        <f>+E123-E61</f>
        <v>0</v>
      </c>
      <c r="F128" s="141">
        <f>+F123-F61</f>
        <v>0</v>
      </c>
    </row>
    <row r="129" spans="2:6" ht="15.75">
      <c r="B129" s="4"/>
      <c r="C129" s="4"/>
      <c r="D129" s="141"/>
      <c r="E129" s="141"/>
      <c r="F129" s="142"/>
    </row>
    <row r="130" spans="2:6" ht="15.75">
      <c r="B130" s="4"/>
      <c r="C130" s="4"/>
      <c r="D130" s="141"/>
      <c r="E130" s="141"/>
      <c r="F130" s="142"/>
    </row>
    <row r="131" spans="2:6" ht="15.75">
      <c r="B131" s="4"/>
      <c r="C131" s="4"/>
      <c r="D131" s="141"/>
      <c r="E131" s="141"/>
      <c r="F131" s="142"/>
    </row>
    <row r="132" spans="2:6" ht="15.75">
      <c r="B132" s="4"/>
      <c r="C132" s="4"/>
      <c r="D132" s="141"/>
      <c r="E132" s="141"/>
      <c r="F132" s="142"/>
    </row>
    <row r="133" spans="2:6" ht="15.75">
      <c r="B133" s="4"/>
      <c r="C133" s="4"/>
      <c r="D133" s="141"/>
      <c r="E133" s="141"/>
      <c r="F133" s="142"/>
    </row>
    <row r="134" spans="2:6" ht="15.75">
      <c r="B134" s="4"/>
      <c r="C134" s="4"/>
      <c r="D134" s="141"/>
      <c r="E134" s="141"/>
      <c r="F134" s="142"/>
    </row>
    <row r="135" spans="2:6" ht="15.75">
      <c r="B135" s="4"/>
      <c r="C135" s="4"/>
      <c r="D135" s="141"/>
      <c r="E135" s="141"/>
      <c r="F135" s="142"/>
    </row>
    <row r="136" spans="2:6" ht="15.75">
      <c r="B136" s="4"/>
      <c r="C136" s="4"/>
      <c r="D136" s="141"/>
      <c r="E136" s="141"/>
      <c r="F136" s="142"/>
    </row>
    <row r="137" spans="2:6" ht="15.75">
      <c r="B137" s="4"/>
      <c r="C137" s="4"/>
      <c r="D137" s="141"/>
      <c r="E137" s="141"/>
      <c r="F137" s="142"/>
    </row>
    <row r="138" spans="2:6" ht="15.75">
      <c r="B138" s="4"/>
      <c r="C138" s="4"/>
      <c r="D138" s="141"/>
      <c r="E138" s="141"/>
      <c r="F138" s="142"/>
    </row>
    <row r="139" spans="2:6" ht="15.75">
      <c r="B139" s="4"/>
      <c r="C139" s="4"/>
      <c r="D139" s="141"/>
      <c r="E139" s="141"/>
      <c r="F139" s="142"/>
    </row>
    <row r="140" spans="2:6" ht="15.75">
      <c r="B140" s="4"/>
      <c r="C140" s="4"/>
      <c r="D140" s="141"/>
      <c r="E140" s="141"/>
      <c r="F140" s="142"/>
    </row>
    <row r="141" spans="2:6" ht="15.75">
      <c r="B141" s="4"/>
      <c r="C141" s="4"/>
      <c r="D141" s="141"/>
      <c r="E141" s="141"/>
      <c r="F141" s="142"/>
    </row>
    <row r="142" spans="2:6" ht="15.75">
      <c r="B142" s="4"/>
      <c r="C142" s="4"/>
      <c r="D142" s="141"/>
      <c r="E142" s="141"/>
      <c r="F142" s="142"/>
    </row>
    <row r="143" spans="2:6" ht="15.75">
      <c r="B143" s="4"/>
      <c r="C143" s="4"/>
      <c r="D143" s="141"/>
      <c r="E143" s="141"/>
      <c r="F143" s="142"/>
    </row>
    <row r="144" spans="2:6" ht="15.75">
      <c r="B144" s="4"/>
      <c r="C144" s="4"/>
      <c r="D144" s="141"/>
      <c r="E144" s="141"/>
      <c r="F144" s="142"/>
    </row>
    <row r="145" spans="2:6" ht="15.75">
      <c r="B145" s="4"/>
      <c r="C145" s="4"/>
      <c r="D145" s="141"/>
      <c r="E145" s="141"/>
      <c r="F145" s="142"/>
    </row>
    <row r="146" spans="2:6" ht="15.75">
      <c r="B146" s="4"/>
      <c r="C146" s="4"/>
      <c r="D146" s="141"/>
      <c r="E146" s="141"/>
      <c r="F146" s="142"/>
    </row>
    <row r="147" spans="2:6" ht="15.75">
      <c r="B147" s="4"/>
      <c r="C147" s="4"/>
      <c r="D147" s="141"/>
      <c r="E147" s="141"/>
      <c r="F147" s="142"/>
    </row>
    <row r="148" spans="2:6" ht="15.75">
      <c r="B148" s="4"/>
      <c r="C148" s="4"/>
      <c r="D148" s="141"/>
      <c r="E148" s="141"/>
      <c r="F148" s="142"/>
    </row>
    <row r="149" spans="2:6" ht="15.75">
      <c r="B149" s="4"/>
      <c r="C149" s="4"/>
      <c r="D149" s="141"/>
      <c r="E149" s="141"/>
      <c r="F149" s="142"/>
    </row>
    <row r="150" spans="2:6" ht="15.75">
      <c r="B150" s="4"/>
      <c r="C150" s="4"/>
      <c r="D150" s="141"/>
      <c r="E150" s="141"/>
      <c r="F150" s="142"/>
    </row>
    <row r="151" spans="2:6" ht="15.75">
      <c r="B151" s="4"/>
      <c r="C151" s="4"/>
      <c r="D151" s="141"/>
      <c r="E151" s="141"/>
      <c r="F151" s="142"/>
    </row>
    <row r="152" spans="2:6" ht="15.75">
      <c r="B152" s="4"/>
      <c r="C152" s="4"/>
      <c r="D152" s="141"/>
      <c r="E152" s="141"/>
      <c r="F152" s="142"/>
    </row>
    <row r="153" spans="2:6" ht="15.75">
      <c r="B153" s="4"/>
      <c r="C153" s="4"/>
      <c r="D153" s="141"/>
      <c r="E153" s="141"/>
      <c r="F153" s="142"/>
    </row>
    <row r="154" spans="2:6" ht="15.75">
      <c r="B154" s="4"/>
      <c r="C154" s="4"/>
      <c r="D154" s="141"/>
      <c r="E154" s="141"/>
      <c r="F154" s="142"/>
    </row>
    <row r="155" spans="2:6" ht="15.75">
      <c r="B155" s="4"/>
      <c r="C155" s="4"/>
      <c r="D155" s="141"/>
      <c r="E155" s="141"/>
      <c r="F155" s="142"/>
    </row>
    <row r="156" spans="2:6" ht="15.75">
      <c r="B156" s="4"/>
      <c r="C156" s="4"/>
      <c r="D156" s="141"/>
      <c r="E156" s="141"/>
      <c r="F156" s="142"/>
    </row>
    <row r="157" spans="2:6" ht="15.75">
      <c r="B157" s="4"/>
      <c r="C157" s="4"/>
      <c r="D157" s="141"/>
      <c r="E157" s="141"/>
      <c r="F157" s="142"/>
    </row>
    <row r="158" spans="2:6" ht="15.75">
      <c r="B158" s="4"/>
      <c r="C158" s="4"/>
      <c r="D158" s="141"/>
      <c r="E158" s="141"/>
      <c r="F158" s="142"/>
    </row>
    <row r="159" spans="2:6" ht="15.75">
      <c r="B159" s="4"/>
      <c r="C159" s="4"/>
      <c r="D159" s="141"/>
      <c r="E159" s="141"/>
      <c r="F159" s="142"/>
    </row>
    <row r="160" spans="2:6" ht="15.75">
      <c r="B160" s="4"/>
      <c r="C160" s="4"/>
      <c r="D160" s="141"/>
      <c r="E160" s="141"/>
      <c r="F160" s="142"/>
    </row>
    <row r="161" spans="2:6" ht="15.75">
      <c r="B161" s="4"/>
      <c r="C161" s="4"/>
      <c r="D161" s="141"/>
      <c r="E161" s="141"/>
      <c r="F161" s="142"/>
    </row>
    <row r="162" spans="2:6" ht="15.75">
      <c r="B162" s="4"/>
      <c r="C162" s="4"/>
      <c r="D162" s="141"/>
      <c r="E162" s="141"/>
      <c r="F162" s="142"/>
    </row>
    <row r="163" spans="2:6" ht="15.75">
      <c r="B163" s="4"/>
      <c r="C163" s="4"/>
      <c r="D163" s="141"/>
      <c r="E163" s="141"/>
      <c r="F163" s="142"/>
    </row>
    <row r="164" spans="2:6" ht="15.75">
      <c r="B164" s="4"/>
      <c r="C164" s="4"/>
      <c r="D164" s="141"/>
      <c r="E164" s="141"/>
      <c r="F164" s="142"/>
    </row>
    <row r="165" spans="2:6" ht="15.75">
      <c r="B165" s="4"/>
      <c r="C165" s="4"/>
      <c r="D165" s="141"/>
      <c r="E165" s="141"/>
      <c r="F165" s="142"/>
    </row>
    <row r="166" spans="2:6" ht="15.75">
      <c r="B166" s="4"/>
      <c r="C166" s="4"/>
      <c r="D166" s="141"/>
      <c r="E166" s="141"/>
      <c r="F166" s="142"/>
    </row>
    <row r="167" spans="2:6" ht="15.75">
      <c r="B167" s="4"/>
      <c r="C167" s="4"/>
      <c r="D167" s="141"/>
      <c r="E167" s="141"/>
      <c r="F167" s="142"/>
    </row>
    <row r="168" spans="2:6" ht="15.75">
      <c r="B168" s="4"/>
      <c r="C168" s="4"/>
      <c r="D168" s="141"/>
      <c r="E168" s="141"/>
      <c r="F168" s="142"/>
    </row>
    <row r="169" spans="2:6" ht="15.75">
      <c r="B169" s="4"/>
      <c r="C169" s="4"/>
      <c r="D169" s="141"/>
      <c r="E169" s="141"/>
      <c r="F169" s="142"/>
    </row>
    <row r="170" spans="2:6" ht="15.75">
      <c r="B170" s="4"/>
      <c r="C170" s="4"/>
      <c r="D170" s="141"/>
      <c r="E170" s="141"/>
      <c r="F170" s="142"/>
    </row>
    <row r="171" spans="2:6" ht="15.75">
      <c r="B171" s="4"/>
      <c r="C171" s="4"/>
      <c r="D171" s="141"/>
      <c r="E171" s="141"/>
      <c r="F171" s="142"/>
    </row>
    <row r="172" spans="2:6" ht="15.75">
      <c r="B172" s="4"/>
      <c r="C172" s="4"/>
      <c r="D172" s="141"/>
      <c r="E172" s="141"/>
      <c r="F172" s="142"/>
    </row>
    <row r="173" spans="2:6" ht="15.75">
      <c r="B173" s="4"/>
      <c r="C173" s="4"/>
      <c r="D173" s="141"/>
      <c r="E173" s="141"/>
      <c r="F173" s="142"/>
    </row>
    <row r="174" spans="2:6" ht="15.75">
      <c r="B174" s="4"/>
      <c r="C174" s="4"/>
      <c r="D174" s="141"/>
      <c r="E174" s="141"/>
      <c r="F174" s="142"/>
    </row>
    <row r="175" spans="2:6" ht="15.75">
      <c r="B175" s="4"/>
      <c r="C175" s="4"/>
      <c r="D175" s="141"/>
      <c r="E175" s="141"/>
      <c r="F175" s="142"/>
    </row>
    <row r="176" spans="2:6" ht="15.75">
      <c r="B176" s="4"/>
      <c r="C176" s="4"/>
      <c r="D176" s="141"/>
      <c r="E176" s="141"/>
      <c r="F176" s="142"/>
    </row>
    <row r="177" spans="2:6" ht="15.75">
      <c r="B177" s="4"/>
      <c r="C177" s="4"/>
      <c r="D177" s="141"/>
      <c r="E177" s="141"/>
      <c r="F177" s="142"/>
    </row>
    <row r="178" spans="2:6" ht="15.75">
      <c r="B178" s="4"/>
      <c r="C178" s="4"/>
      <c r="D178" s="141"/>
      <c r="E178" s="141"/>
      <c r="F178" s="142"/>
    </row>
    <row r="179" spans="2:6" ht="15.75">
      <c r="B179" s="4"/>
      <c r="C179" s="4"/>
      <c r="D179" s="141"/>
      <c r="E179" s="141"/>
      <c r="F179" s="142"/>
    </row>
    <row r="180" spans="2:6" ht="15.75">
      <c r="B180" s="4"/>
      <c r="C180" s="4"/>
      <c r="D180" s="141"/>
      <c r="E180" s="141"/>
      <c r="F180" s="142"/>
    </row>
    <row r="181" spans="2:6" ht="15.75">
      <c r="B181" s="4"/>
      <c r="C181" s="4"/>
      <c r="D181" s="141"/>
      <c r="E181" s="141"/>
      <c r="F181" s="142"/>
    </row>
    <row r="182" spans="2:6" ht="15.75">
      <c r="B182" s="4"/>
      <c r="C182" s="4"/>
      <c r="D182" s="141"/>
      <c r="E182" s="141"/>
      <c r="F182" s="142"/>
    </row>
    <row r="183" spans="2:6" ht="15.75">
      <c r="B183" s="4"/>
      <c r="C183" s="4"/>
      <c r="D183" s="141"/>
      <c r="E183" s="141"/>
      <c r="F183" s="142"/>
    </row>
    <row r="184" spans="2:6" ht="15.75">
      <c r="B184" s="4"/>
      <c r="C184" s="4"/>
      <c r="D184" s="141"/>
      <c r="E184" s="141"/>
      <c r="F184" s="142"/>
    </row>
    <row r="185" spans="2:6" ht="15.75">
      <c r="B185" s="4"/>
      <c r="C185" s="4"/>
      <c r="D185" s="141"/>
      <c r="E185" s="141"/>
      <c r="F185" s="142"/>
    </row>
    <row r="186" spans="2:6" ht="15.75">
      <c r="B186" s="4"/>
      <c r="C186" s="4"/>
      <c r="D186" s="141"/>
      <c r="E186" s="141"/>
      <c r="F186" s="142"/>
    </row>
    <row r="187" spans="2:6" ht="15.75">
      <c r="B187" s="4"/>
      <c r="C187" s="4"/>
      <c r="D187" s="4"/>
      <c r="E187" s="4"/>
      <c r="F187" s="3"/>
    </row>
    <row r="188" spans="2:6" ht="15.75">
      <c r="B188" s="4"/>
      <c r="C188" s="4"/>
      <c r="D188" s="4"/>
      <c r="E188" s="4"/>
      <c r="F188" s="3"/>
    </row>
    <row r="189" spans="2:6" ht="15.75">
      <c r="B189" s="4"/>
      <c r="C189" s="4"/>
      <c r="D189" s="4"/>
      <c r="E189" s="4"/>
      <c r="F189" s="3"/>
    </row>
    <row r="190" spans="2:6" ht="15.75">
      <c r="B190" s="4"/>
      <c r="C190" s="4"/>
      <c r="D190" s="4"/>
      <c r="E190" s="4"/>
      <c r="F190" s="3"/>
    </row>
    <row r="191" spans="2:6" ht="15.75">
      <c r="B191" s="4"/>
      <c r="C191" s="4"/>
      <c r="D191" s="4"/>
      <c r="E191" s="4"/>
      <c r="F191" s="3"/>
    </row>
    <row r="192" spans="2:6" ht="15.75">
      <c r="B192" s="4"/>
      <c r="C192" s="4"/>
      <c r="D192" s="4"/>
      <c r="E192" s="4"/>
      <c r="F192" s="3"/>
    </row>
    <row r="193" spans="2:6" ht="15.75">
      <c r="B193" s="4"/>
      <c r="C193" s="4"/>
      <c r="D193" s="4"/>
      <c r="E193" s="4"/>
      <c r="F193" s="3"/>
    </row>
    <row r="194" spans="2:6" ht="15.75">
      <c r="B194" s="4"/>
      <c r="C194" s="4"/>
      <c r="D194" s="4"/>
      <c r="E194" s="4"/>
      <c r="F194" s="3"/>
    </row>
    <row r="195" spans="2:6" ht="15.75">
      <c r="B195" s="4"/>
      <c r="C195" s="4"/>
      <c r="D195" s="4"/>
      <c r="E195" s="4"/>
      <c r="F195" s="3"/>
    </row>
    <row r="196" spans="2:6" ht="15.75">
      <c r="B196" s="4"/>
      <c r="C196" s="4"/>
      <c r="D196" s="4"/>
      <c r="E196" s="4"/>
      <c r="F196" s="3"/>
    </row>
    <row r="197" spans="2:6" ht="15.75">
      <c r="B197" s="4"/>
      <c r="C197" s="4"/>
      <c r="D197" s="4"/>
      <c r="E197" s="4"/>
      <c r="F197" s="3"/>
    </row>
    <row r="198" spans="2:6" ht="15.75">
      <c r="B198" s="4"/>
      <c r="C198" s="4"/>
      <c r="D198" s="4"/>
      <c r="E198" s="4"/>
      <c r="F198" s="3"/>
    </row>
    <row r="199" spans="2:6" ht="15.75">
      <c r="B199" s="4"/>
      <c r="C199" s="4"/>
      <c r="D199" s="4"/>
      <c r="E199" s="4"/>
      <c r="F199" s="3"/>
    </row>
    <row r="200" spans="2:6" ht="15.75">
      <c r="B200" s="4"/>
      <c r="C200" s="4"/>
      <c r="D200" s="4"/>
      <c r="E200" s="4"/>
      <c r="F200" s="3"/>
    </row>
    <row r="201" spans="2:6" ht="15.75">
      <c r="B201" s="4"/>
      <c r="C201" s="4"/>
      <c r="D201" s="4"/>
      <c r="E201" s="4"/>
      <c r="F201" s="3"/>
    </row>
    <row r="202" spans="2:6" ht="15.75">
      <c r="B202" s="4"/>
      <c r="C202" s="4"/>
      <c r="D202" s="4"/>
      <c r="E202" s="4"/>
      <c r="F202" s="3"/>
    </row>
    <row r="203" spans="2:6" ht="15.75">
      <c r="B203" s="4"/>
      <c r="C203" s="4"/>
      <c r="D203" s="4"/>
      <c r="E203" s="4"/>
      <c r="F203" s="3"/>
    </row>
    <row r="204" spans="2:6" ht="15.75">
      <c r="B204" s="4"/>
      <c r="C204" s="4"/>
      <c r="D204" s="4"/>
      <c r="E204" s="4"/>
      <c r="F204" s="3"/>
    </row>
    <row r="205" spans="2:6" ht="15.75">
      <c r="B205" s="4"/>
      <c r="C205" s="4"/>
      <c r="D205" s="4"/>
      <c r="E205" s="4"/>
      <c r="F205" s="3"/>
    </row>
    <row r="206" spans="2:6" ht="15.75">
      <c r="B206" s="4"/>
      <c r="C206" s="4"/>
      <c r="D206" s="4"/>
      <c r="E206" s="4"/>
      <c r="F206" s="3"/>
    </row>
    <row r="207" spans="2:6" ht="15.75">
      <c r="B207" s="4"/>
      <c r="C207" s="4"/>
      <c r="D207" s="4"/>
      <c r="E207" s="4"/>
      <c r="F207" s="3"/>
    </row>
    <row r="208" spans="2:6" ht="15.75">
      <c r="B208" s="4"/>
      <c r="C208" s="4"/>
      <c r="D208" s="4"/>
      <c r="E208" s="4"/>
      <c r="F208" s="3"/>
    </row>
    <row r="209" spans="2:6" ht="15.75">
      <c r="B209" s="4"/>
      <c r="C209" s="4"/>
      <c r="D209" s="4"/>
      <c r="E209" s="4"/>
      <c r="F209" s="3"/>
    </row>
    <row r="210" spans="2:6" ht="15.75">
      <c r="B210" s="4"/>
      <c r="C210" s="4"/>
      <c r="D210" s="4"/>
      <c r="E210" s="4"/>
      <c r="F210" s="3"/>
    </row>
    <row r="211" spans="2:6" ht="15.75">
      <c r="B211" s="4"/>
      <c r="C211" s="4"/>
      <c r="D211" s="4"/>
      <c r="E211" s="4"/>
      <c r="F211" s="3"/>
    </row>
    <row r="212" spans="2:6" ht="15.75">
      <c r="B212" s="4"/>
      <c r="C212" s="4"/>
      <c r="D212" s="4"/>
      <c r="E212" s="4"/>
      <c r="F212" s="3"/>
    </row>
    <row r="213" spans="2:6" ht="15.75">
      <c r="B213" s="4"/>
      <c r="C213" s="4"/>
      <c r="D213" s="4"/>
      <c r="E213" s="4"/>
      <c r="F213" s="3"/>
    </row>
    <row r="214" spans="2:6" ht="15.75">
      <c r="B214" s="4"/>
      <c r="C214" s="4"/>
      <c r="D214" s="4"/>
      <c r="E214" s="4"/>
      <c r="F214" s="3"/>
    </row>
    <row r="215" spans="2:6" ht="15.75">
      <c r="B215" s="4"/>
      <c r="C215" s="4"/>
      <c r="D215" s="4"/>
      <c r="E215" s="4"/>
      <c r="F215" s="3"/>
    </row>
    <row r="216" spans="2:6" ht="15.75">
      <c r="B216" s="4"/>
      <c r="C216" s="4"/>
      <c r="D216" s="4"/>
      <c r="E216" s="4"/>
      <c r="F216" s="3"/>
    </row>
    <row r="217" spans="2:6" ht="15.75">
      <c r="B217" s="4"/>
      <c r="C217" s="4"/>
      <c r="D217" s="4"/>
      <c r="E217" s="4"/>
      <c r="F217" s="3"/>
    </row>
    <row r="218" spans="2:6" ht="15.75">
      <c r="B218" s="4"/>
      <c r="C218" s="4"/>
      <c r="D218" s="4"/>
      <c r="E218" s="4"/>
      <c r="F218" s="3"/>
    </row>
    <row r="219" spans="2:6" ht="15.75">
      <c r="B219" s="4"/>
      <c r="C219" s="4"/>
      <c r="D219" s="4"/>
      <c r="E219" s="4"/>
      <c r="F219" s="3"/>
    </row>
    <row r="220" spans="2:6" ht="15.75">
      <c r="B220" s="4"/>
      <c r="C220" s="4"/>
      <c r="D220" s="4"/>
      <c r="E220" s="4"/>
      <c r="F220" s="3"/>
    </row>
    <row r="221" spans="2:6" ht="15.75">
      <c r="B221" s="4"/>
      <c r="C221" s="4"/>
      <c r="D221" s="4"/>
      <c r="E221" s="4"/>
      <c r="F221" s="3"/>
    </row>
    <row r="222" spans="2:6" ht="15.75">
      <c r="B222" s="4"/>
      <c r="C222" s="4"/>
      <c r="D222" s="4"/>
      <c r="E222" s="4"/>
      <c r="F222" s="3"/>
    </row>
    <row r="223" spans="2:6" ht="15.75">
      <c r="B223" s="4"/>
      <c r="C223" s="4"/>
      <c r="D223" s="4"/>
      <c r="E223" s="4"/>
      <c r="F223" s="3"/>
    </row>
    <row r="224" spans="2:6" ht="15.75">
      <c r="B224" s="4"/>
      <c r="C224" s="4"/>
      <c r="D224" s="4"/>
      <c r="E224" s="4"/>
      <c r="F224" s="3"/>
    </row>
    <row r="225" spans="2:6" ht="15.75">
      <c r="B225" s="4"/>
      <c r="C225" s="4"/>
      <c r="D225" s="4"/>
      <c r="E225" s="4"/>
      <c r="F225" s="3"/>
    </row>
    <row r="226" spans="2:6" ht="15.75">
      <c r="B226" s="4"/>
      <c r="C226" s="4"/>
      <c r="D226" s="4"/>
      <c r="E226" s="4"/>
      <c r="F226" s="3"/>
    </row>
    <row r="227" spans="2:6" ht="15.75">
      <c r="B227" s="4"/>
      <c r="C227" s="4"/>
      <c r="D227" s="4"/>
      <c r="E227" s="4"/>
      <c r="F227" s="3"/>
    </row>
    <row r="228" spans="2:6" ht="15.75">
      <c r="B228" s="4"/>
      <c r="C228" s="4"/>
      <c r="D228" s="4"/>
      <c r="E228" s="4"/>
      <c r="F228" s="3"/>
    </row>
    <row r="229" spans="2:6" ht="15.75">
      <c r="B229" s="4"/>
      <c r="C229" s="4"/>
      <c r="D229" s="4"/>
      <c r="E229" s="4"/>
      <c r="F229" s="3"/>
    </row>
    <row r="230" spans="2:6" ht="15.75">
      <c r="B230" s="4"/>
      <c r="C230" s="4"/>
      <c r="D230" s="4"/>
      <c r="E230" s="4"/>
      <c r="F230" s="3"/>
    </row>
    <row r="231" spans="2:6" ht="15.75">
      <c r="B231" s="4"/>
      <c r="C231" s="4"/>
      <c r="D231" s="4"/>
      <c r="E231" s="4"/>
      <c r="F231" s="3"/>
    </row>
    <row r="232" spans="2:6" ht="15.75">
      <c r="B232" s="4"/>
      <c r="C232" s="4"/>
      <c r="D232" s="4"/>
      <c r="E232" s="4"/>
      <c r="F232" s="3"/>
    </row>
    <row r="233" spans="2:6" ht="15.75">
      <c r="B233" s="4"/>
      <c r="C233" s="4"/>
      <c r="D233" s="4"/>
      <c r="E233" s="4"/>
      <c r="F233" s="3"/>
    </row>
    <row r="234" spans="2:6" ht="15.75">
      <c r="B234" s="4"/>
      <c r="C234" s="4"/>
      <c r="D234" s="4"/>
      <c r="E234" s="4"/>
      <c r="F234" s="3"/>
    </row>
    <row r="235" spans="2:6" ht="15.75">
      <c r="B235" s="4"/>
      <c r="C235" s="4"/>
      <c r="D235" s="4"/>
      <c r="E235" s="4"/>
      <c r="F235" s="3"/>
    </row>
    <row r="236" spans="2:6" ht="15.75">
      <c r="B236" s="4"/>
      <c r="C236" s="4"/>
      <c r="D236" s="4"/>
      <c r="E236" s="4"/>
      <c r="F236" s="3"/>
    </row>
    <row r="237" spans="2:6" ht="15.75">
      <c r="B237" s="4"/>
      <c r="C237" s="4"/>
      <c r="D237" s="4"/>
      <c r="E237" s="4"/>
      <c r="F237" s="3"/>
    </row>
    <row r="238" spans="2:6" ht="15.75">
      <c r="B238" s="4"/>
      <c r="C238" s="4"/>
      <c r="D238" s="4"/>
      <c r="E238" s="4"/>
      <c r="F238" s="3"/>
    </row>
    <row r="239" spans="2:6" ht="15.75">
      <c r="B239" s="4"/>
      <c r="C239" s="4"/>
      <c r="D239" s="4"/>
      <c r="E239" s="4"/>
      <c r="F239" s="3"/>
    </row>
    <row r="240" spans="2:6" ht="15.75">
      <c r="B240" s="4"/>
      <c r="C240" s="4"/>
      <c r="D240" s="4"/>
      <c r="E240" s="4"/>
      <c r="F240" s="3"/>
    </row>
    <row r="241" spans="2:6" ht="15.75">
      <c r="B241" s="4"/>
      <c r="C241" s="4"/>
      <c r="D241" s="4"/>
      <c r="E241" s="4"/>
      <c r="F241" s="3"/>
    </row>
    <row r="242" spans="2:6" ht="15.75">
      <c r="B242" s="4"/>
      <c r="C242" s="4"/>
      <c r="D242" s="4"/>
      <c r="E242" s="4"/>
      <c r="F242" s="3"/>
    </row>
    <row r="243" spans="2:6" ht="15.75">
      <c r="B243" s="4"/>
      <c r="C243" s="4"/>
      <c r="D243" s="4"/>
      <c r="E243" s="4"/>
      <c r="F243" s="3"/>
    </row>
    <row r="244" spans="2:6" ht="15.75">
      <c r="B244" s="4"/>
      <c r="C244" s="4"/>
      <c r="D244" s="4"/>
      <c r="E244" s="4"/>
      <c r="F244" s="3"/>
    </row>
    <row r="245" spans="2:6" ht="15.75">
      <c r="B245" s="4"/>
      <c r="C245" s="4"/>
      <c r="D245" s="4"/>
      <c r="E245" s="4"/>
      <c r="F245" s="3"/>
    </row>
    <row r="246" spans="2:6" ht="15.75">
      <c r="B246" s="4"/>
      <c r="C246" s="4"/>
      <c r="D246" s="4"/>
      <c r="E246" s="4"/>
      <c r="F246" s="3"/>
    </row>
    <row r="247" spans="2:6" ht="15.75">
      <c r="B247" s="4"/>
      <c r="C247" s="4"/>
      <c r="D247" s="4"/>
      <c r="E247" s="4"/>
      <c r="F247" s="3"/>
    </row>
    <row r="248" spans="2:6" ht="15.75">
      <c r="B248" s="4"/>
      <c r="C248" s="4"/>
      <c r="D248" s="4"/>
      <c r="E248" s="4"/>
      <c r="F248" s="3"/>
    </row>
    <row r="249" spans="2:6" ht="15.75">
      <c r="B249" s="4"/>
      <c r="C249" s="4"/>
      <c r="D249" s="4"/>
      <c r="E249" s="4"/>
      <c r="F249" s="3"/>
    </row>
    <row r="250" spans="2:6" ht="15.75">
      <c r="B250" s="4"/>
      <c r="C250" s="4"/>
      <c r="D250" s="4"/>
      <c r="E250" s="4"/>
      <c r="F250" s="3"/>
    </row>
    <row r="251" spans="2:6" ht="15.75">
      <c r="B251" s="4"/>
      <c r="C251" s="4"/>
      <c r="D251" s="4"/>
      <c r="E251" s="4"/>
      <c r="F251" s="3"/>
    </row>
    <row r="252" spans="2:6" ht="15.75">
      <c r="B252" s="4"/>
      <c r="C252" s="4"/>
      <c r="D252" s="4"/>
      <c r="E252" s="4"/>
      <c r="F252" s="3"/>
    </row>
  </sheetData>
  <sheetProtection/>
  <printOptions horizontalCentered="1"/>
  <pageMargins left="0.6692913385826772" right="0.3937007874015748" top="0.5905511811023623" bottom="0.5118110236220472" header="0.31496062992125984" footer="0.31496062992125984"/>
  <pageSetup horizontalDpi="300" verticalDpi="300" orientation="portrait" paperSize="9" scale="70" r:id="rId1"/>
  <headerFooter alignWithMargins="0">
    <oddFooter>&amp;R&amp;P</oddFooter>
  </headerFooter>
  <rowBreaks count="1" manualBreakCount="1">
    <brk id="63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Polgármesteri Hivatal</cp:lastModifiedBy>
  <cp:lastPrinted>2014-02-26T12:34:54Z</cp:lastPrinted>
  <dcterms:created xsi:type="dcterms:W3CDTF">2014-01-03T21:48:14Z</dcterms:created>
  <dcterms:modified xsi:type="dcterms:W3CDTF">2014-03-03T13:13:23Z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