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" sheetId="1" r:id="rId1"/>
    <sheet name="Mérleg (2)" sheetId="2" r:id="rId2"/>
    <sheet name="Bevételek (2)" sheetId="3" r:id="rId3"/>
    <sheet name="Köt.önként v. bevétel  (2)" sheetId="4" r:id="rId4"/>
    <sheet name="Korm.funkciók (2)" sheetId="5" r:id="rId5"/>
    <sheet name="Köt. önként v. kiadás (2)" sheetId="6" r:id="rId6"/>
    <sheet name="ellátottak juttatásai " sheetId="7" r:id="rId7"/>
    <sheet name="Pe. átadások" sheetId="8" r:id="rId8"/>
    <sheet name="Beruházások (2)" sheetId="9" r:id="rId9"/>
    <sheet name="9.felújítás" sheetId="10" r:id="rId10"/>
    <sheet name="10.közgazd. mérleg (2)" sheetId="11" r:id="rId11"/>
    <sheet name="11.előirányzat felh.ü. (2)" sheetId="12" r:id="rId12"/>
    <sheet name="12.részvények" sheetId="13" r:id="rId13"/>
    <sheet name="13.Közvtett tám." sheetId="14" r:id="rId14"/>
    <sheet name="14.Adósságot" sheetId="15" r:id="rId15"/>
    <sheet name="Munka2" sheetId="16" r:id="rId16"/>
  </sheets>
  <definedNames>
    <definedName name="_xlnm.Print_Area" localSheetId="8">'Beruházások (2)'!$A$1:$C$40</definedName>
    <definedName name="_xlnm.Print_Area" localSheetId="3">'Köt.önként v. bevétel  (2)'!$A$1:$G$24</definedName>
  </definedNames>
  <calcPr fullCalcOnLoad="1"/>
</workbook>
</file>

<file path=xl/sharedStrings.xml><?xml version="1.0" encoding="utf-8"?>
<sst xmlns="http://schemas.openxmlformats.org/spreadsheetml/2006/main" count="881" uniqueCount="517">
  <si>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</si>
  <si>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</si>
  <si>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</si>
  <si>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</si>
  <si>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</si>
  <si>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</si>
  <si>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</si>
  <si>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</si>
  <si>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</si>
  <si>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</si>
  <si>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</si>
  <si>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</si>
  <si>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</si>
  <si>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</si>
  <si>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</si>
  <si>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</si>
  <si>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</si>
  <si>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</si>
  <si>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</si>
  <si>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</si>
  <si>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</si>
  <si>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</si>
  <si>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</si>
  <si>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</si>
  <si>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</si>
  <si>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</si>
  <si>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</si>
  <si>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</si>
  <si>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</si>
  <si>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</si>
  <si>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</si>
  <si>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</si>
  <si>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</si>
  <si>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</si>
  <si>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</si>
  <si>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</si>
  <si>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</si>
  <si>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</si>
  <si>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</si>
  <si>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</si>
  <si>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</si>
  <si>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</si>
  <si>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</si>
  <si>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</si>
  <si>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</si>
  <si>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</si>
  <si>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</si>
  <si>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</si>
  <si>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</si>
  <si>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</si>
  <si>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</si>
  <si>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</si>
  <si>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</si>
  <si>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</si>
  <si>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</si>
  <si>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</si>
  <si>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</si>
  <si>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</si>
  <si>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</si>
  <si>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</si>
  <si>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</si>
  <si>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</si>
  <si>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</si>
  <si>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</si>
  <si>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</si>
  <si>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</si>
  <si>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</si>
  <si>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</si>
  <si>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</si>
  <si>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</si>
  <si>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</si>
  <si>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</si>
  <si>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</si>
  <si>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</si>
  <si>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</si>
  <si>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</si>
  <si>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</si>
  <si>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</si>
  <si>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</si>
  <si>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</si>
  <si>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</si>
  <si>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</si>
  <si>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</si>
  <si>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</si>
  <si>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</si>
  <si>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</si>
  <si>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</si>
  <si>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</si>
  <si>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</si>
  <si>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</si>
  <si>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</si>
  <si>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</si>
  <si>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</si>
  <si>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</si>
  <si>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</si>
  <si>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</si>
  <si>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</si>
  <si>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</si>
  <si>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</si>
  <si>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</si>
  <si>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</si>
  <si>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</si>
  <si>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</si>
  <si>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</si>
  <si>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</si>
  <si>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</si>
  <si>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</si>
  <si>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</si>
  <si>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</si>
  <si>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</si>
  <si>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</si>
  <si>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</si>
  <si>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</si>
  <si>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</si>
  <si>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</si>
  <si>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</si>
  <si>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</si>
  <si>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</si>
  <si>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</si>
  <si>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</si>
  <si>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</si>
  <si>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</si>
  <si>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</si>
  <si>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</si>
  <si>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</si>
  <si>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</si>
  <si>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</si>
  <si>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</si>
  <si>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</si>
  <si>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</si>
  <si>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</si>
  <si>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</si>
  <si>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</si>
  <si>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Működési célú központosított előirányzatok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</si>
  <si>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</si>
  <si>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</si>
  <si>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</si>
  <si>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</si>
  <si>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</si>
  <si>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</si>
  <si>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</si>
  <si>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</si>
  <si>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</si>
  <si>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</si>
  <si>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</si>
  <si>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</si>
  <si>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</si>
  <si>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</si>
  <si>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</si>
  <si>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</si>
  <si>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</si>
  <si>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</si>
  <si>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</si>
  <si>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</si>
  <si>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</si>
  <si>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</si>
  <si>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</si>
  <si>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</si>
  <si>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</si>
  <si>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</si>
  <si>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</si>
  <si>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</si>
  <si>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</si>
  <si>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</si>
  <si>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</si>
  <si>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</si>
  <si>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</si>
  <si>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</si>
  <si>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</si>
  <si>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</si>
  <si>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</si>
  <si>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</si>
  <si>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</si>
  <si>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</si>
  <si>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</si>
  <si>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</si>
  <si>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</si>
  <si>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</si>
  <si>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</si>
  <si>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</si>
  <si>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</si>
  <si>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</si>
  <si>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</si>
  <si>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</si>
  <si>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</si>
  <si>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</si>
  <si>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</si>
  <si>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</si>
  <si>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</si>
  <si>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</si>
  <si>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</si>
  <si>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</si>
  <si>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</si>
  <si>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</si>
  <si>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</si>
  <si>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</si>
  <si>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</si>
  <si>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</si>
  <si>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</si>
  <si>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</si>
  <si>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</si>
  <si>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</si>
  <si>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</si>
  <si>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</si>
  <si>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</si>
  <si>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</si>
  <si>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</si>
  <si>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FELHALMOZÁSI CÉLÚ ÁTVETT PÉNZESZKÖZÖK ÖSSZESEN:</t>
  </si>
  <si>
    <t>Előző évi költségvetési maradvány igénybevétele</t>
  </si>
  <si>
    <t>Felhalmozási célú visszatérítendő támogatások, kölcsönök visszatérülése államháztartáson kívülről</t>
  </si>
  <si>
    <t>települési önkormányzatok nyilvános könyvtári és közművelődési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</si>
  <si>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</si>
  <si>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</si>
  <si>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</si>
  <si>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</si>
  <si>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</si>
  <si>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</si>
  <si>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</si>
  <si>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</si>
  <si>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A Képviselő-testület döntésén alapuló szociális ellátások:</t>
  </si>
  <si>
    <t>Időskorúak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</si>
  <si>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</si>
  <si>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</si>
  <si>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</si>
  <si>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</si>
  <si>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</si>
  <si>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</si>
  <si>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</si>
  <si>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</si>
  <si>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</si>
  <si>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</si>
  <si>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</si>
  <si>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</si>
  <si>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</si>
  <si>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</si>
  <si>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</si>
  <si>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</si>
  <si>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</si>
  <si>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</si>
  <si>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</si>
  <si>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</si>
  <si>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</si>
  <si>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</si>
  <si>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</si>
  <si>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</si>
  <si>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</si>
  <si>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</si>
  <si>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</si>
  <si>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</si>
  <si>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</si>
  <si>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</si>
  <si>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</si>
  <si>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</si>
  <si>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</si>
  <si>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</si>
  <si>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</si>
  <si>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</si>
  <si>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</si>
  <si>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</si>
  <si>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</si>
  <si>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</si>
  <si>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</si>
  <si>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</si>
  <si>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</si>
  <si>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</si>
  <si>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</si>
  <si>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</si>
  <si>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</si>
  <si>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</si>
  <si>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</si>
  <si>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</si>
  <si>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</si>
  <si>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</si>
  <si>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</si>
  <si>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</si>
  <si>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</si>
  <si>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</si>
  <si>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</si>
  <si>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</si>
  <si>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</si>
  <si>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</si>
  <si>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</si>
  <si>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</si>
  <si>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</si>
  <si>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</si>
  <si>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</si>
  <si>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</si>
  <si>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</si>
  <si>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</si>
  <si>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</si>
  <si>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</si>
  <si>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</si>
  <si>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</si>
  <si>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</si>
  <si>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</si>
  <si>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</si>
  <si>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</si>
  <si>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</si>
  <si>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</si>
  <si>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</si>
  <si>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</si>
  <si>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</si>
  <si>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</si>
  <si>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</si>
  <si>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</si>
  <si>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</si>
  <si>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</si>
  <si>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</si>
  <si>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</si>
  <si>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</si>
  <si>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</si>
  <si>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</si>
  <si>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</si>
  <si>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</si>
  <si>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</si>
  <si>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</si>
  <si>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</si>
  <si>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</si>
  <si>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</si>
  <si>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</si>
  <si>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</si>
  <si>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</si>
  <si>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</si>
  <si>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</si>
  <si>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</si>
  <si>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</si>
  <si>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</si>
  <si>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</si>
  <si>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</si>
  <si>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</si>
  <si>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</si>
  <si>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</si>
  <si>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</si>
  <si>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</si>
  <si>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</si>
  <si>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</si>
  <si>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</si>
  <si>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</si>
  <si>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</si>
  <si>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</si>
  <si>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2016. év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</si>
  <si>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</si>
  <si>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</si>
  <si>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</si>
  <si>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</si>
  <si>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>Intézményen kívüli gyermekétkeztetés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</si>
  <si>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</si>
  <si>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</si>
  <si>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</si>
  <si>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</si>
  <si>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</si>
  <si>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</si>
  <si>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</si>
  <si>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Inntézményen kívüli gyermekétkeztetés</t>
  </si>
  <si>
    <t>lakásfenntartással, lakhatással összefüggő ellátások</t>
  </si>
  <si>
    <t>Civil szervezetek támogatása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</si>
  <si>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</si>
  <si>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</si>
  <si>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</si>
  <si>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</si>
  <si>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megnevezés</t>
  </si>
  <si>
    <t>Saját bevétel és adósságot keletkeztető ügyletből eredő fizetési kötelezettség összegei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</si>
  <si>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</si>
  <si>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</si>
  <si>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</si>
  <si>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</si>
  <si>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</si>
  <si>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önkormányzat saját bevételei:</t>
  </si>
  <si>
    <t>saját bevételek  50 %-a</t>
  </si>
  <si>
    <t>fizetési kötelezettség összesen</t>
  </si>
  <si>
    <t xml:space="preserve"> -    </t>
  </si>
  <si>
    <t>Fizetési kötelezettséggel csökkentett saját bevétel összege</t>
  </si>
  <si>
    <t>év</t>
  </si>
  <si>
    <t>sor-            szám</t>
  </si>
  <si>
    <t>Porpác község Önkormányzat saját bevételeinek, valamint az adósságot keletkeztető ügyleteiből eredő</t>
  </si>
  <si>
    <t>fizetési kötezettségeinek bemutatása</t>
  </si>
  <si>
    <t>kezesség- illetve garancia vállalással kapcsolatos megtérülések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</si>
  <si>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</si>
  <si>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</si>
  <si>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</si>
  <si>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</si>
  <si>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</si>
  <si>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 xml:space="preserve"> háromszázhatvanöt nap időtartamú halasztott fizetés, részletfizetés,</t>
  </si>
  <si>
    <t xml:space="preserve">2017. évi </t>
  </si>
  <si>
    <t>2017. évre</t>
  </si>
  <si>
    <t xml:space="preserve"> Ft </t>
  </si>
  <si>
    <t>2017. év</t>
  </si>
  <si>
    <t>adatok  Ft-ban</t>
  </si>
  <si>
    <t>2017.év</t>
  </si>
  <si>
    <t>(  Ft-ban)</t>
  </si>
  <si>
    <t>( Ft-ban)</t>
  </si>
  <si>
    <t xml:space="preserve"> 2017. évi előirányzat-felhasználási ütemterve</t>
  </si>
  <si>
    <t>2016. december 31.</t>
  </si>
  <si>
    <t>2018-2020. év</t>
  </si>
  <si>
    <t>Települési tanévkedési támogatás</t>
  </si>
  <si>
    <t>Gyermekek egyszeri támogatása ( év végi)</t>
  </si>
  <si>
    <t>Időskorúak egyszeri támogatása( év végi)</t>
  </si>
  <si>
    <t>Köztemetés költségére</t>
  </si>
  <si>
    <t xml:space="preserve">Intézményi ellátottak pénzbeli juttatásai </t>
  </si>
  <si>
    <t>Felsőfokú oktatásban résztvevők pénzbeli juttatásai ( BURSA ösztöndíj)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</si>
  <si>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</si>
  <si>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</si>
  <si>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</si>
  <si>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</si>
  <si>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</si>
  <si>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BERUHÁZÁSI KIADÁSOK</t>
  </si>
  <si>
    <t>sorszám</t>
  </si>
  <si>
    <t>063020 Víztermelés-,  kezelés-, ellátás</t>
  </si>
  <si>
    <t>Porpác,Bögöt ívóvízminőség-javtása pályázat építési munkák költségei</t>
  </si>
  <si>
    <t>Beruházási célú előzetesen felszámított általános forgalmi adó</t>
  </si>
  <si>
    <t xml:space="preserve">Összesen: </t>
  </si>
  <si>
    <t>082044 Könyvtári szolgáltatások</t>
  </si>
  <si>
    <t>Könyvtári infrasturktúra megújítására eszközvásárlás</t>
  </si>
  <si>
    <t>BERUHÁZÁSOK ÖSSZESEN:</t>
  </si>
  <si>
    <t>FELÚJÍTÁSI KIADÁSOK</t>
  </si>
  <si>
    <t>045160 Közutak, hidak, alagutak üzemeltetése fenntartása</t>
  </si>
  <si>
    <t>Egyéb építméy felújítása</t>
  </si>
  <si>
    <t>2016.évi Adósságkonszolidációban nem részesült önkormányzatok fejlesztési támogatásából áthúzódó összeg</t>
  </si>
  <si>
    <t>1.1.1.1.</t>
  </si>
  <si>
    <t>Felújítási célú előzetesen felszámított le nem vonható általános forgalmi adó</t>
  </si>
  <si>
    <t>FELÚJÍTÁSOK ÖSSZESEN:</t>
  </si>
  <si>
    <t>1.1</t>
  </si>
  <si>
    <t>1.1.1.</t>
  </si>
  <si>
    <t>tervezett  előirányzat            ( Ft)</t>
  </si>
  <si>
    <t>1.1.</t>
  </si>
  <si>
    <t>Fűnyíró kistraktor beszerzése</t>
  </si>
  <si>
    <t>066020 Város és községgazdálkodási egyéb szolgáltatások</t>
  </si>
  <si>
    <t>2.2.</t>
  </si>
  <si>
    <t>Kisértékű tárgyieszköz beszerzés: papírpréselőgép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</si>
  <si>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</si>
  <si>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</si>
  <si>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</si>
  <si>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</si>
  <si>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</si>
  <si>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</si>
  <si>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</si>
  <si>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</si>
  <si>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</si>
  <si>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</si>
  <si>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</si>
  <si>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</si>
  <si>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</si>
  <si>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</si>
  <si>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</si>
  <si>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</si>
  <si>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</si>
  <si>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</si>
  <si>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</si>
  <si>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</si>
  <si>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</si>
  <si>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</si>
  <si>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</si>
  <si>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</si>
  <si>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</si>
  <si>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</si>
  <si>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</si>
  <si>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</si>
  <si>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</si>
  <si>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</si>
  <si>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</si>
  <si>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3.2.</t>
  </si>
  <si>
    <t>3.3.</t>
  </si>
  <si>
    <t>3.4.</t>
  </si>
  <si>
    <t>3.5.</t>
  </si>
  <si>
    <t>4.1.</t>
  </si>
  <si>
    <t>.1.1</t>
  </si>
  <si>
    <t>1.1.2.</t>
  </si>
  <si>
    <t>1.1.2.1.</t>
  </si>
  <si>
    <t>1.1.2.2.</t>
  </si>
  <si>
    <t>1.1.2.3.</t>
  </si>
  <si>
    <t xml:space="preserve">  Kistérségi tagdíj</t>
  </si>
  <si>
    <t xml:space="preserve">  Sághegy LEADER tagdíj</t>
  </si>
  <si>
    <t xml:space="preserve">  Települési Önkormányzatok Szövetsége tagdíj</t>
  </si>
  <si>
    <t xml:space="preserve">  templom előtt tér térburkolásának kivitelezése</t>
  </si>
  <si>
    <t>1.7.</t>
  </si>
  <si>
    <t>1.6.</t>
  </si>
  <si>
    <t>1.5.</t>
  </si>
  <si>
    <t>1. sz. melléklet a 2/2017.(II.15.) önkormányzati rendelethez</t>
  </si>
  <si>
    <t>3. sz. melléklet a 2/2017.(II.15.) önkormányzati rendelethez</t>
  </si>
  <si>
    <t>4. sz. melléklet  a 2/2017.(II.15.) önkormányzati rendelethez</t>
  </si>
  <si>
    <t>5. sz. melléklet a 2/2017.(II.15.) sz. önkormányzati rendelethez</t>
  </si>
  <si>
    <t>6. sz. melléklet a 2/2017.(II.15.) sz. önkormányzati rendelethez</t>
  </si>
  <si>
    <t>7. sz . melléklet a 2/2017.(II.15.) sz. önkormányzati rendelethez</t>
  </si>
  <si>
    <t>8 sz. melléklet a 2/2017.(II.15.) sz. önkormányzati rendelethez</t>
  </si>
  <si>
    <t>9 sz. melléklet a 2/2017.(II.15.) sz. önkormányzati rendelethez</t>
  </si>
  <si>
    <t>10. melléklet a 2/2017.(II.15.) sz. önkormányzati rendelethez</t>
  </si>
  <si>
    <t>11. melléklet a 2/2017.(II.15.) önkormányzati rendelethez</t>
  </si>
  <si>
    <t>12. melléklet a 2/2017.(II.15.)  önkormányzati rendelethez</t>
  </si>
  <si>
    <t>13. melléklet  a  2/2017.(II.15.) önkormányzati rendelethez</t>
  </si>
  <si>
    <t>14. melléklet  a 2/2017.(II.15.) önkormányzati rendelethez</t>
  </si>
  <si>
    <t>Módosította: 8/2017 (IX.28.)</t>
  </si>
  <si>
    <t>Tartalék</t>
  </si>
  <si>
    <t>2.1.6.</t>
  </si>
  <si>
    <t>Zene Háza Sárvár TOP pályázatból Porpác Önkormányzatra jutó támogatás</t>
  </si>
  <si>
    <t>nyári diákmuka támogatása</t>
  </si>
  <si>
    <t>Működési célú költségvetési és kiegészítő támogatása</t>
  </si>
  <si>
    <t>Polgármesteri béremelés különbözetének támogatására</t>
  </si>
  <si>
    <t>Működési célú költségvetési és kiegészítő támogatás</t>
  </si>
  <si>
    <t>4.Települési önkormányzatok kulturális feladatainak támogatása</t>
  </si>
  <si>
    <t xml:space="preserve"> f, szociális ágazati összevont pótlék</t>
  </si>
  <si>
    <t>2.Települési önkormányzatok szociális, gyermekjóléti és gyermekétkeztetési feladatainak támogatása</t>
  </si>
  <si>
    <t>Települési arculati kézikönyv elkészítésének támogatása</t>
  </si>
  <si>
    <t xml:space="preserve">6. </t>
  </si>
  <si>
    <t>Hosszabbidejű közfoglalkoztatás</t>
  </si>
  <si>
    <t>041233</t>
  </si>
  <si>
    <t>21.</t>
  </si>
  <si>
    <t>Hosszabb idejú közfoglalkoztatás</t>
  </si>
  <si>
    <t>Falugondnoki, tanyagondnoki szolgálat</t>
  </si>
  <si>
    <t>Nem veszélyes (települési) hulladék vegyes (ömlesztett ) begyűjtése, szállítása</t>
  </si>
  <si>
    <t>Sorsz</t>
  </si>
  <si>
    <t>4.2.</t>
  </si>
  <si>
    <t>Pendrive beszerzése</t>
  </si>
  <si>
    <t>Hűtőgép beszerzése</t>
  </si>
  <si>
    <t>107055 Falugondnoki, tanyagondnoki szolgálat</t>
  </si>
  <si>
    <t>Település arculati kézikönyv elkészítésére</t>
  </si>
  <si>
    <t>tervezett  előirányzat         ( Ft)</t>
  </si>
  <si>
    <t>2. melléklet a 2/2017.(II.15.)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</si>
</sst>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8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8"/>
      <name val="Arial Narrow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4" applyFont="1">
      <alignment/>
      <protection/>
    </xf>
    <xf numFmtId="0" fontId="8" fillId="0" borderId="0" xfId="64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7" applyFont="1" applyAlignme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168" fontId="16" fillId="0" borderId="0" xfId="40" applyNumberFormat="1" applyFont="1" applyAlignment="1">
      <alignment horizontal="center"/>
    </xf>
    <xf numFmtId="0" fontId="16" fillId="0" borderId="0" xfId="64" applyFont="1" applyBorder="1">
      <alignment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68" fontId="14" fillId="0" borderId="0" xfId="4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0" xfId="59" applyFont="1" applyAlignment="1">
      <alignment horizontal="right"/>
      <protection/>
    </xf>
    <xf numFmtId="0" fontId="17" fillId="0" borderId="0" xfId="0" applyFont="1" applyAlignment="1">
      <alignment/>
    </xf>
    <xf numFmtId="0" fontId="14" fillId="0" borderId="10" xfId="59" applyFont="1" applyBorder="1" applyAlignment="1">
      <alignment/>
      <protection/>
    </xf>
    <xf numFmtId="0" fontId="14" fillId="0" borderId="10" xfId="59" applyFont="1" applyBorder="1" applyAlignment="1">
      <alignment horizontal="center"/>
      <protection/>
    </xf>
    <xf numFmtId="0" fontId="14" fillId="0" borderId="11" xfId="59" applyFont="1" applyBorder="1">
      <alignment/>
      <protection/>
    </xf>
    <xf numFmtId="0" fontId="14" fillId="0" borderId="11" xfId="59" applyFont="1" applyBorder="1" applyAlignment="1">
      <alignment horizontal="center"/>
      <protection/>
    </xf>
    <xf numFmtId="0" fontId="14" fillId="0" borderId="12" xfId="59" applyFont="1" applyBorder="1">
      <alignment/>
      <protection/>
    </xf>
    <xf numFmtId="0" fontId="14" fillId="0" borderId="12" xfId="59" applyFont="1" applyBorder="1" applyAlignment="1">
      <alignment horizontal="center"/>
      <protection/>
    </xf>
    <xf numFmtId="0" fontId="16" fillId="0" borderId="0" xfId="59" applyFont="1" applyBorder="1" applyAlignment="1">
      <alignment horizontal="right"/>
      <protection/>
    </xf>
    <xf numFmtId="0" fontId="16" fillId="0" borderId="0" xfId="59" applyFont="1" applyBorder="1" applyAlignment="1">
      <alignment/>
      <protection/>
    </xf>
    <xf numFmtId="0" fontId="16" fillId="0" borderId="0" xfId="59" applyFont="1" applyBorder="1" applyAlignment="1">
      <alignment wrapText="1"/>
      <protection/>
    </xf>
    <xf numFmtId="0" fontId="16" fillId="0" borderId="13" xfId="59" applyFont="1" applyBorder="1" applyAlignment="1">
      <alignment horizontal="right"/>
      <protection/>
    </xf>
    <xf numFmtId="0" fontId="26" fillId="0" borderId="0" xfId="0" applyFont="1" applyAlignment="1">
      <alignment/>
    </xf>
    <xf numFmtId="0" fontId="16" fillId="0" borderId="0" xfId="59" applyFont="1" applyAlignment="1">
      <alignment/>
      <protection/>
    </xf>
    <xf numFmtId="0" fontId="14" fillId="0" borderId="14" xfId="59" applyFont="1" applyBorder="1" applyAlignment="1">
      <alignment horizontal="right"/>
      <protection/>
    </xf>
    <xf numFmtId="0" fontId="14" fillId="0" borderId="14" xfId="59" applyFont="1" applyBorder="1">
      <alignment/>
      <protection/>
    </xf>
    <xf numFmtId="0" fontId="14" fillId="0" borderId="0" xfId="59" applyFont="1" applyBorder="1" applyAlignment="1">
      <alignment horizontal="right"/>
      <protection/>
    </xf>
    <xf numFmtId="0" fontId="14" fillId="0" borderId="0" xfId="59" applyFont="1" applyBorder="1">
      <alignment/>
      <protection/>
    </xf>
    <xf numFmtId="0" fontId="14" fillId="0" borderId="0" xfId="60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0" fontId="14" fillId="0" borderId="14" xfId="60" applyFont="1" applyBorder="1" applyAlignment="1">
      <alignment horizontal="right"/>
      <protection/>
    </xf>
    <xf numFmtId="0" fontId="14" fillId="0" borderId="14" xfId="60" applyFont="1" applyBorder="1">
      <alignment/>
      <protection/>
    </xf>
    <xf numFmtId="168" fontId="14" fillId="0" borderId="14" xfId="60" applyNumberFormat="1" applyFont="1" applyBorder="1" applyAlignment="1">
      <alignment/>
      <protection/>
    </xf>
    <xf numFmtId="0" fontId="14" fillId="0" borderId="0" xfId="59" applyFont="1" applyAlignment="1">
      <alignment/>
      <protection/>
    </xf>
    <xf numFmtId="0" fontId="14" fillId="0" borderId="13" xfId="59" applyFont="1" applyBorder="1" applyAlignment="1">
      <alignment horizontal="right"/>
      <protection/>
    </xf>
    <xf numFmtId="0" fontId="14" fillId="0" borderId="13" xfId="59" applyFont="1" applyBorder="1" applyAlignment="1">
      <alignment/>
      <protection/>
    </xf>
    <xf numFmtId="0" fontId="14" fillId="0" borderId="0" xfId="59" applyFont="1">
      <alignment/>
      <protection/>
    </xf>
    <xf numFmtId="0" fontId="9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31" fillId="0" borderId="0" xfId="0" applyNumberFormat="1" applyFont="1" applyAlignment="1">
      <alignment/>
    </xf>
    <xf numFmtId="0" fontId="26" fillId="0" borderId="0" xfId="0" applyFont="1" applyAlignment="1" quotePrefix="1">
      <alignment/>
    </xf>
    <xf numFmtId="0" fontId="9" fillId="0" borderId="0" xfId="0" applyFont="1" applyAlignment="1">
      <alignment horizontal="left" wrapText="1"/>
    </xf>
    <xf numFmtId="0" fontId="11" fillId="0" borderId="1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Border="1" applyAlignment="1">
      <alignment horizontal="left" vertical="center"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6" applyFont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6" fillId="0" borderId="0" xfId="66" applyFont="1">
      <alignment/>
      <protection/>
    </xf>
    <xf numFmtId="0" fontId="8" fillId="0" borderId="0" xfId="66" applyFont="1">
      <alignment/>
      <protection/>
    </xf>
    <xf numFmtId="0" fontId="18" fillId="0" borderId="0" xfId="66" applyFont="1" applyAlignment="1">
      <alignment horizontal="center"/>
      <protection/>
    </xf>
    <xf numFmtId="0" fontId="11" fillId="0" borderId="0" xfId="66" applyFont="1" applyBorder="1">
      <alignment/>
      <protection/>
    </xf>
    <xf numFmtId="0" fontId="12" fillId="0" borderId="0" xfId="66" applyFont="1">
      <alignment/>
      <protection/>
    </xf>
    <xf numFmtId="0" fontId="4" fillId="0" borderId="0" xfId="64" applyFont="1">
      <alignment/>
      <protection/>
    </xf>
    <xf numFmtId="168" fontId="8" fillId="0" borderId="0" xfId="64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4" applyFont="1" applyAlignment="1">
      <alignment wrapText="1"/>
      <protection/>
    </xf>
    <xf numFmtId="0" fontId="8" fillId="0" borderId="0" xfId="64" applyFont="1" applyAlignment="1">
      <alignment wrapText="1"/>
      <protection/>
    </xf>
    <xf numFmtId="0" fontId="16" fillId="0" borderId="0" xfId="59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6" fillId="0" borderId="0" xfId="40" applyNumberFormat="1" applyFont="1" applyAlignment="1">
      <alignment horizontal="center"/>
    </xf>
    <xf numFmtId="168" fontId="37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16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6" fillId="0" borderId="0" xfId="4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24" fillId="0" borderId="0" xfId="58" applyFont="1" applyAlignment="1">
      <alignment/>
      <protection/>
    </xf>
    <xf numFmtId="41" fontId="14" fillId="0" borderId="0" xfId="58" applyNumberFormat="1" applyFont="1" applyAlignment="1">
      <alignment horizontal="centerContinuous"/>
      <protection/>
    </xf>
    <xf numFmtId="0" fontId="38" fillId="0" borderId="0" xfId="58" applyFont="1" applyAlignment="1">
      <alignment/>
      <protection/>
    </xf>
    <xf numFmtId="41" fontId="19" fillId="0" borderId="0" xfId="58" applyNumberFormat="1" applyFont="1" applyAlignment="1">
      <alignment horizontal="centerContinuous"/>
      <protection/>
    </xf>
    <xf numFmtId="0" fontId="18" fillId="0" borderId="0" xfId="58" applyFont="1">
      <alignment/>
      <protection/>
    </xf>
    <xf numFmtId="41" fontId="39" fillId="0" borderId="0" xfId="58" applyNumberFormat="1" applyFont="1">
      <alignment/>
      <protection/>
    </xf>
    <xf numFmtId="41" fontId="14" fillId="0" borderId="0" xfId="58" applyNumberFormat="1" applyFont="1">
      <alignment/>
      <protection/>
    </xf>
    <xf numFmtId="0" fontId="24" fillId="0" borderId="0" xfId="58" applyFont="1">
      <alignment/>
      <protection/>
    </xf>
    <xf numFmtId="41" fontId="39" fillId="0" borderId="0" xfId="58" applyNumberFormat="1" applyFont="1" applyBorder="1">
      <alignment/>
      <protection/>
    </xf>
    <xf numFmtId="0" fontId="8" fillId="0" borderId="0" xfId="58" applyFont="1">
      <alignment/>
      <protection/>
    </xf>
    <xf numFmtId="0" fontId="1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6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6" fillId="0" borderId="14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6" fillId="0" borderId="24" xfId="0" applyFont="1" applyBorder="1" applyAlignment="1">
      <alignment/>
    </xf>
    <xf numFmtId="0" fontId="5" fillId="0" borderId="14" xfId="0" applyFont="1" applyBorder="1" applyAlignment="1">
      <alignment/>
    </xf>
    <xf numFmtId="0" fontId="36" fillId="0" borderId="25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59" applyFont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16" fillId="0" borderId="0" xfId="64" applyFont="1" applyBorder="1" quotePrefix="1">
      <alignment/>
      <protection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center"/>
    </xf>
    <xf numFmtId="0" fontId="0" fillId="0" borderId="26" xfId="0" applyBorder="1" applyAlignment="1">
      <alignment/>
    </xf>
    <xf numFmtId="0" fontId="42" fillId="0" borderId="26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3" fontId="15" fillId="0" borderId="27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168" fontId="8" fillId="0" borderId="16" xfId="40" applyNumberFormat="1" applyFont="1" applyBorder="1" applyAlignment="1">
      <alignment/>
    </xf>
    <xf numFmtId="168" fontId="8" fillId="0" borderId="0" xfId="4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16" xfId="0" applyNumberFormat="1" applyBorder="1" applyAlignment="1">
      <alignment/>
    </xf>
    <xf numFmtId="41" fontId="43" fillId="0" borderId="0" xfId="0" applyNumberFormat="1" applyFont="1" applyAlignment="1">
      <alignment/>
    </xf>
    <xf numFmtId="41" fontId="44" fillId="0" borderId="0" xfId="0" applyNumberFormat="1" applyFont="1" applyAlignment="1">
      <alignment/>
    </xf>
    <xf numFmtId="41" fontId="44" fillId="0" borderId="0" xfId="0" applyNumberFormat="1" applyFont="1" applyAlignment="1">
      <alignment horizontal="center"/>
    </xf>
    <xf numFmtId="41" fontId="0" fillId="0" borderId="29" xfId="0" applyNumberFormat="1" applyBorder="1" applyAlignment="1">
      <alignment horizontal="center"/>
    </xf>
    <xf numFmtId="16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0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5" fillId="0" borderId="27" xfId="0" applyNumberFormat="1" applyFont="1" applyBorder="1" applyAlignment="1">
      <alignment vertical="center"/>
    </xf>
    <xf numFmtId="49" fontId="11" fillId="0" borderId="0" xfId="66" applyNumberFormat="1" applyFont="1">
      <alignment/>
      <protection/>
    </xf>
    <xf numFmtId="49" fontId="8" fillId="0" borderId="0" xfId="66" applyNumberFormat="1" applyFont="1">
      <alignment/>
      <protection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66" applyNumberFormat="1" applyFont="1" applyAlignment="1">
      <alignment horizontal="center" vertical="center"/>
      <protection/>
    </xf>
    <xf numFmtId="49" fontId="11" fillId="0" borderId="0" xfId="66" applyNumberFormat="1" applyFont="1" applyBorder="1" applyAlignment="1">
      <alignment horizontal="center" vertical="center"/>
      <protection/>
    </xf>
    <xf numFmtId="49" fontId="12" fillId="0" borderId="0" xfId="66" applyNumberFormat="1" applyFont="1" applyAlignment="1">
      <alignment horizontal="center" vertical="center"/>
      <protection/>
    </xf>
    <xf numFmtId="49" fontId="16" fillId="0" borderId="0" xfId="58" applyNumberFormat="1" applyFont="1">
      <alignment/>
      <protection/>
    </xf>
    <xf numFmtId="49" fontId="14" fillId="0" borderId="0" xfId="58" applyNumberFormat="1" applyFont="1" applyAlignment="1">
      <alignment horizontal="center" vertical="center"/>
      <protection/>
    </xf>
    <xf numFmtId="49" fontId="19" fillId="0" borderId="0" xfId="58" applyNumberFormat="1" applyFont="1" applyAlignment="1">
      <alignment horizontal="center" vertical="center"/>
      <protection/>
    </xf>
    <xf numFmtId="49" fontId="16" fillId="0" borderId="0" xfId="58" applyNumberFormat="1" applyFont="1" applyAlignment="1">
      <alignment horizontal="center" vertical="center"/>
      <protection/>
    </xf>
    <xf numFmtId="0" fontId="31" fillId="0" borderId="0" xfId="0" applyFont="1" applyAlignment="1">
      <alignment horizontal="left" wrapText="1"/>
    </xf>
    <xf numFmtId="0" fontId="14" fillId="0" borderId="0" xfId="61" applyFont="1">
      <alignment/>
      <protection/>
    </xf>
    <xf numFmtId="168" fontId="14" fillId="0" borderId="0" xfId="42" applyNumberFormat="1" applyFont="1" applyAlignment="1">
      <alignment/>
    </xf>
    <xf numFmtId="0" fontId="14" fillId="0" borderId="0" xfId="61" applyFont="1" applyAlignment="1">
      <alignment/>
      <protection/>
    </xf>
    <xf numFmtId="0" fontId="14" fillId="0" borderId="0" xfId="61" applyFont="1" applyAlignment="1">
      <alignment horizontal="left" wrapText="1"/>
      <protection/>
    </xf>
    <xf numFmtId="0" fontId="16" fillId="0" borderId="0" xfId="61" applyFont="1">
      <alignment/>
      <protection/>
    </xf>
    <xf numFmtId="168" fontId="16" fillId="0" borderId="0" xfId="42" applyNumberFormat="1" applyFont="1" applyAlignment="1">
      <alignment/>
    </xf>
    <xf numFmtId="168" fontId="16" fillId="0" borderId="0" xfId="42" applyNumberFormat="1" applyFont="1" applyAlignment="1">
      <alignment horizontal="right"/>
    </xf>
    <xf numFmtId="168" fontId="14" fillId="0" borderId="0" xfId="42" applyNumberFormat="1" applyFont="1" applyAlignment="1">
      <alignment horizontal="right"/>
    </xf>
    <xf numFmtId="0" fontId="16" fillId="0" borderId="0" xfId="65" applyFont="1">
      <alignment/>
      <protection/>
    </xf>
    <xf numFmtId="0" fontId="24" fillId="0" borderId="0" xfId="61" applyFont="1">
      <alignment/>
      <protection/>
    </xf>
    <xf numFmtId="0" fontId="16" fillId="0" borderId="0" xfId="61" applyFont="1" applyAlignment="1">
      <alignment wrapText="1"/>
      <protection/>
    </xf>
    <xf numFmtId="168" fontId="16" fillId="0" borderId="0" xfId="42" applyNumberFormat="1" applyFont="1" applyAlignment="1">
      <alignment wrapText="1"/>
    </xf>
    <xf numFmtId="0" fontId="16" fillId="0" borderId="0" xfId="61" applyFont="1" applyAlignment="1">
      <alignment horizontal="left"/>
      <protection/>
    </xf>
    <xf numFmtId="168" fontId="11" fillId="0" borderId="0" xfId="42" applyNumberFormat="1" applyFont="1" applyAlignment="1">
      <alignment/>
    </xf>
    <xf numFmtId="168" fontId="11" fillId="0" borderId="0" xfId="42" applyNumberFormat="1" applyFont="1" applyAlignment="1">
      <alignment wrapText="1"/>
    </xf>
    <xf numFmtId="168" fontId="11" fillId="0" borderId="0" xfId="42" applyNumberFormat="1" applyFont="1" applyBorder="1" applyAlignment="1">
      <alignment horizontal="center"/>
    </xf>
    <xf numFmtId="168" fontId="11" fillId="0" borderId="0" xfId="42" applyNumberFormat="1" applyFont="1" applyAlignment="1">
      <alignment/>
    </xf>
    <xf numFmtId="168" fontId="9" fillId="0" borderId="0" xfId="42" applyNumberFormat="1" applyFont="1" applyAlignment="1">
      <alignment/>
    </xf>
    <xf numFmtId="168" fontId="9" fillId="0" borderId="0" xfId="42" applyNumberFormat="1" applyFont="1" applyBorder="1" applyAlignment="1">
      <alignment horizontal="center"/>
    </xf>
    <xf numFmtId="0" fontId="9" fillId="0" borderId="0" xfId="62" applyFont="1" applyAlignment="1">
      <alignment horizontal="left" wrapText="1"/>
      <protection/>
    </xf>
    <xf numFmtId="0" fontId="9" fillId="0" borderId="0" xfId="62" applyFont="1" applyAlignment="1">
      <alignment vertical="justify"/>
      <protection/>
    </xf>
    <xf numFmtId="0" fontId="11" fillId="0" borderId="0" xfId="62" applyFont="1" applyAlignment="1">
      <alignment horizontal="left"/>
      <protection/>
    </xf>
    <xf numFmtId="0" fontId="9" fillId="0" borderId="0" xfId="0" applyFont="1" applyAlignment="1">
      <alignment vertical="center" wrapText="1"/>
    </xf>
    <xf numFmtId="168" fontId="9" fillId="0" borderId="0" xfId="42" applyNumberFormat="1" applyFont="1" applyAlignment="1">
      <alignment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justify"/>
    </xf>
    <xf numFmtId="0" fontId="31" fillId="0" borderId="0" xfId="0" applyFont="1" applyAlignment="1">
      <alignment/>
    </xf>
    <xf numFmtId="168" fontId="31" fillId="0" borderId="0" xfId="42" applyNumberFormat="1" applyFont="1" applyAlignment="1">
      <alignment/>
    </xf>
    <xf numFmtId="168" fontId="31" fillId="0" borderId="0" xfId="42" applyNumberFormat="1" applyFont="1" applyAlignment="1">
      <alignment wrapText="1"/>
    </xf>
    <xf numFmtId="168" fontId="11" fillId="0" borderId="12" xfId="42" applyNumberFormat="1" applyFont="1" applyBorder="1" applyAlignment="1">
      <alignment horizontal="center"/>
    </xf>
    <xf numFmtId="168" fontId="11" fillId="0" borderId="11" xfId="42" applyNumberFormat="1" applyFont="1" applyBorder="1" applyAlignment="1">
      <alignment horizontal="center"/>
    </xf>
    <xf numFmtId="168" fontId="11" fillId="0" borderId="10" xfId="42" applyNumberFormat="1" applyFont="1" applyBorder="1" applyAlignment="1">
      <alignment horizontal="center"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16" fillId="0" borderId="0" xfId="63" applyFont="1" applyBorder="1">
      <alignment/>
      <protection/>
    </xf>
    <xf numFmtId="0" fontId="16" fillId="0" borderId="0" xfId="63" applyFont="1">
      <alignment/>
      <protection/>
    </xf>
    <xf numFmtId="0" fontId="16" fillId="0" borderId="0" xfId="65" applyFont="1" applyBorder="1">
      <alignment/>
      <protection/>
    </xf>
    <xf numFmtId="0" fontId="17" fillId="0" borderId="0" xfId="65" applyFont="1" applyBorder="1">
      <alignment/>
      <protection/>
    </xf>
    <xf numFmtId="0" fontId="16" fillId="0" borderId="0" xfId="63" applyFont="1" applyAlignment="1">
      <alignment horizontal="left" indent="14"/>
      <protection/>
    </xf>
    <xf numFmtId="0" fontId="16" fillId="0" borderId="0" xfId="65" applyFont="1" applyBorder="1" applyAlignment="1">
      <alignment horizontal="right"/>
      <protection/>
    </xf>
    <xf numFmtId="0" fontId="17" fillId="0" borderId="0" xfId="65" applyFont="1" applyBorder="1" applyAlignment="1">
      <alignment horizontal="right"/>
      <protection/>
    </xf>
    <xf numFmtId="41" fontId="14" fillId="0" borderId="32" xfId="65" applyNumberFormat="1" applyFont="1" applyBorder="1" applyAlignment="1">
      <alignment horizontal="right"/>
      <protection/>
    </xf>
    <xf numFmtId="41" fontId="14" fillId="0" borderId="14" xfId="65" applyNumberFormat="1" applyFont="1" applyBorder="1" applyAlignment="1">
      <alignment horizontal="right"/>
      <protection/>
    </xf>
    <xf numFmtId="41" fontId="14" fillId="0" borderId="33" xfId="65" applyNumberFormat="1" applyFont="1" applyBorder="1" applyAlignment="1">
      <alignment horizontal="right"/>
      <protection/>
    </xf>
    <xf numFmtId="0" fontId="14" fillId="0" borderId="14" xfId="65" applyFont="1" applyBorder="1">
      <alignment/>
      <protection/>
    </xf>
    <xf numFmtId="0" fontId="16" fillId="0" borderId="25" xfId="65" applyFont="1" applyBorder="1">
      <alignment/>
      <protection/>
    </xf>
    <xf numFmtId="41" fontId="16" fillId="0" borderId="34" xfId="65" applyNumberFormat="1" applyFont="1" applyBorder="1" applyAlignment="1">
      <alignment horizontal="right" vertical="center"/>
      <protection/>
    </xf>
    <xf numFmtId="41" fontId="16" fillId="0" borderId="27" xfId="65" applyNumberFormat="1" applyFont="1" applyBorder="1" applyAlignment="1">
      <alignment horizontal="right" vertical="center"/>
      <protection/>
    </xf>
    <xf numFmtId="41" fontId="16" fillId="0" borderId="31" xfId="65" applyNumberFormat="1" applyFont="1" applyBorder="1" applyAlignment="1">
      <alignment horizontal="right" vertical="center"/>
      <protection/>
    </xf>
    <xf numFmtId="41" fontId="16" fillId="0" borderId="35" xfId="65" applyNumberFormat="1" applyFont="1" applyBorder="1" applyAlignment="1">
      <alignment horizontal="right" vertical="center"/>
      <protection/>
    </xf>
    <xf numFmtId="0" fontId="16" fillId="0" borderId="27" xfId="65" applyFont="1" applyBorder="1" applyAlignment="1">
      <alignment horizontal="left" wrapText="1"/>
      <protection/>
    </xf>
    <xf numFmtId="0" fontId="16" fillId="0" borderId="36" xfId="65" applyFont="1" applyBorder="1" applyAlignment="1" quotePrefix="1">
      <alignment horizontal="center" vertical="center" wrapText="1"/>
      <protection/>
    </xf>
    <xf numFmtId="41" fontId="16" fillId="0" borderId="28" xfId="65" applyNumberFormat="1" applyFont="1" applyBorder="1" applyAlignment="1">
      <alignment horizontal="right" vertical="center"/>
      <protection/>
    </xf>
    <xf numFmtId="0" fontId="18" fillId="0" borderId="27" xfId="65" applyFont="1" applyBorder="1">
      <alignment/>
      <protection/>
    </xf>
    <xf numFmtId="0" fontId="18" fillId="0" borderId="36" xfId="65" applyFont="1" applyBorder="1" applyAlignment="1" quotePrefix="1">
      <alignment horizontal="center" vertical="center" wrapText="1"/>
      <protection/>
    </xf>
    <xf numFmtId="0" fontId="16" fillId="0" borderId="0" xfId="65" applyFont="1" applyBorder="1" applyAlignment="1">
      <alignment/>
      <protection/>
    </xf>
    <xf numFmtId="41" fontId="16" fillId="0" borderId="37" xfId="65" applyNumberFormat="1" applyFont="1" applyBorder="1" applyAlignment="1">
      <alignment horizontal="right" vertical="center"/>
      <protection/>
    </xf>
    <xf numFmtId="41" fontId="16" fillId="0" borderId="30" xfId="65" applyNumberFormat="1" applyFont="1" applyBorder="1" applyAlignment="1">
      <alignment horizontal="right" vertical="center"/>
      <protection/>
    </xf>
    <xf numFmtId="41" fontId="16" fillId="0" borderId="38" xfId="65" applyNumberFormat="1" applyFont="1" applyBorder="1" applyAlignment="1">
      <alignment horizontal="right" vertical="center"/>
      <protection/>
    </xf>
    <xf numFmtId="0" fontId="16" fillId="0" borderId="30" xfId="65" applyFont="1" applyBorder="1" applyAlignment="1">
      <alignment horizontal="left" wrapText="1"/>
      <protection/>
    </xf>
    <xf numFmtId="0" fontId="16" fillId="0" borderId="39" xfId="65" applyFont="1" applyBorder="1" applyAlignment="1" quotePrefix="1">
      <alignment horizontal="center" vertical="center" wrapText="1"/>
      <protection/>
    </xf>
    <xf numFmtId="0" fontId="16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6" fillId="0" borderId="0" xfId="65" applyFont="1" applyAlignment="1">
      <alignment horizontal="right"/>
      <protection/>
    </xf>
    <xf numFmtId="0" fontId="14" fillId="0" borderId="0" xfId="65" applyFont="1" applyAlignment="1">
      <alignment horizontal="center"/>
      <protection/>
    </xf>
    <xf numFmtId="0" fontId="16" fillId="0" borderId="0" xfId="65" applyFont="1" applyAlignment="1">
      <alignment horizontal="center" vertical="center"/>
      <protection/>
    </xf>
    <xf numFmtId="0" fontId="28" fillId="0" borderId="0" xfId="65" applyFont="1" applyFill="1" applyBorder="1">
      <alignment/>
      <protection/>
    </xf>
    <xf numFmtId="3" fontId="14" fillId="0" borderId="25" xfId="65" applyNumberFormat="1" applyFont="1" applyBorder="1" applyAlignment="1">
      <alignment horizontal="right"/>
      <protection/>
    </xf>
    <xf numFmtId="3" fontId="29" fillId="0" borderId="14" xfId="65" applyNumberFormat="1" applyFont="1" applyBorder="1">
      <alignment/>
      <protection/>
    </xf>
    <xf numFmtId="3" fontId="14" fillId="0" borderId="32" xfId="65" applyNumberFormat="1" applyFont="1" applyBorder="1" applyAlignment="1">
      <alignment horizontal="right"/>
      <protection/>
    </xf>
    <xf numFmtId="0" fontId="14" fillId="0" borderId="12" xfId="65" applyFont="1" applyBorder="1">
      <alignment/>
      <protection/>
    </xf>
    <xf numFmtId="0" fontId="16" fillId="0" borderId="19" xfId="65" applyFont="1" applyBorder="1">
      <alignment/>
      <protection/>
    </xf>
    <xf numFmtId="3" fontId="18" fillId="0" borderId="36" xfId="65" applyNumberFormat="1" applyFont="1" applyBorder="1">
      <alignment/>
      <protection/>
    </xf>
    <xf numFmtId="3" fontId="18" fillId="0" borderId="40" xfId="65" applyNumberFormat="1" applyFont="1" applyBorder="1">
      <alignment/>
      <protection/>
    </xf>
    <xf numFmtId="3" fontId="18" fillId="0" borderId="13" xfId="65" applyNumberFormat="1" applyFont="1" applyBorder="1">
      <alignment/>
      <protection/>
    </xf>
    <xf numFmtId="3" fontId="27" fillId="0" borderId="41" xfId="65" applyNumberFormat="1" applyFont="1" applyBorder="1">
      <alignment/>
      <protection/>
    </xf>
    <xf numFmtId="3" fontId="28" fillId="0" borderId="42" xfId="65" applyNumberFormat="1" applyFont="1" applyBorder="1">
      <alignment/>
      <protection/>
    </xf>
    <xf numFmtId="3" fontId="18" fillId="0" borderId="26" xfId="65" applyNumberFormat="1" applyFont="1" applyBorder="1">
      <alignment/>
      <protection/>
    </xf>
    <xf numFmtId="3" fontId="18" fillId="0" borderId="43" xfId="65" applyNumberFormat="1" applyFont="1" applyBorder="1">
      <alignment/>
      <protection/>
    </xf>
    <xf numFmtId="3" fontId="18" fillId="0" borderId="26" xfId="65" applyNumberFormat="1" applyFont="1" applyBorder="1" applyAlignment="1">
      <alignment horizontal="right"/>
      <protection/>
    </xf>
    <xf numFmtId="3" fontId="18" fillId="0" borderId="43" xfId="65" applyNumberFormat="1" applyFont="1" applyBorder="1" applyAlignment="1">
      <alignment horizontal="right"/>
      <protection/>
    </xf>
    <xf numFmtId="3" fontId="19" fillId="0" borderId="29" xfId="65" applyNumberFormat="1" applyFont="1" applyBorder="1" applyAlignment="1">
      <alignment horizontal="right"/>
      <protection/>
    </xf>
    <xf numFmtId="0" fontId="18" fillId="0" borderId="31" xfId="65" applyFont="1" applyBorder="1" applyAlignment="1">
      <alignment wrapText="1"/>
      <protection/>
    </xf>
    <xf numFmtId="0" fontId="18" fillId="0" borderId="44" xfId="65" applyFont="1" applyBorder="1" applyAlignment="1" quotePrefix="1">
      <alignment horizontal="center" vertical="center" wrapText="1"/>
      <protection/>
    </xf>
    <xf numFmtId="3" fontId="28" fillId="0" borderId="45" xfId="65" applyNumberFormat="1" applyFont="1" applyBorder="1">
      <alignment/>
      <protection/>
    </xf>
    <xf numFmtId="3" fontId="18" fillId="0" borderId="23" xfId="65" applyNumberFormat="1" applyFont="1" applyBorder="1">
      <alignment/>
      <protection/>
    </xf>
    <xf numFmtId="3" fontId="18" fillId="0" borderId="22" xfId="65" applyNumberFormat="1" applyFont="1" applyBorder="1">
      <alignment/>
      <protection/>
    </xf>
    <xf numFmtId="3" fontId="18" fillId="0" borderId="23" xfId="65" applyNumberFormat="1" applyFont="1" applyBorder="1" applyAlignment="1">
      <alignment horizontal="right"/>
      <protection/>
    </xf>
    <xf numFmtId="3" fontId="18" fillId="0" borderId="22" xfId="65" applyNumberFormat="1" applyFont="1" applyBorder="1" applyAlignment="1">
      <alignment horizontal="right"/>
      <protection/>
    </xf>
    <xf numFmtId="3" fontId="19" fillId="0" borderId="35" xfId="65" applyNumberFormat="1" applyFont="1" applyBorder="1" applyAlignment="1">
      <alignment horizontal="right"/>
      <protection/>
    </xf>
    <xf numFmtId="0" fontId="18" fillId="0" borderId="27" xfId="65" applyFont="1" applyBorder="1" applyAlignment="1">
      <alignment wrapText="1"/>
      <protection/>
    </xf>
    <xf numFmtId="3" fontId="18" fillId="0" borderId="21" xfId="65" applyNumberFormat="1" applyFont="1" applyBorder="1">
      <alignment/>
      <protection/>
    </xf>
    <xf numFmtId="3" fontId="18" fillId="0" borderId="13" xfId="65" applyNumberFormat="1" applyFont="1" applyBorder="1" applyAlignment="1">
      <alignment horizontal="right"/>
      <protection/>
    </xf>
    <xf numFmtId="3" fontId="18" fillId="0" borderId="21" xfId="65" applyNumberFormat="1" applyFont="1" applyBorder="1" applyAlignment="1">
      <alignment horizontal="right"/>
      <protection/>
    </xf>
    <xf numFmtId="3" fontId="27" fillId="0" borderId="35" xfId="65" applyNumberFormat="1" applyFont="1" applyBorder="1">
      <alignment/>
      <protection/>
    </xf>
    <xf numFmtId="0" fontId="18" fillId="0" borderId="27" xfId="65" applyFont="1" applyBorder="1" applyAlignment="1">
      <alignment horizontal="left" wrapText="1"/>
      <protection/>
    </xf>
    <xf numFmtId="3" fontId="18" fillId="0" borderId="36" xfId="65" applyNumberFormat="1" applyFont="1" applyBorder="1" applyAlignment="1">
      <alignment vertical="center"/>
      <protection/>
    </xf>
    <xf numFmtId="3" fontId="18" fillId="0" borderId="40" xfId="65" applyNumberFormat="1" applyFont="1" applyBorder="1" applyAlignment="1">
      <alignment vertical="center"/>
      <protection/>
    </xf>
    <xf numFmtId="3" fontId="27" fillId="0" borderId="35" xfId="65" applyNumberFormat="1" applyFont="1" applyBorder="1" applyAlignment="1">
      <alignment vertical="center"/>
      <protection/>
    </xf>
    <xf numFmtId="3" fontId="28" fillId="0" borderId="45" xfId="65" applyNumberFormat="1" applyFont="1" applyBorder="1" applyAlignment="1">
      <alignment vertical="center"/>
      <protection/>
    </xf>
    <xf numFmtId="3" fontId="18" fillId="0" borderId="13" xfId="65" applyNumberFormat="1" applyFont="1" applyBorder="1" applyAlignment="1">
      <alignment vertical="center"/>
      <protection/>
    </xf>
    <xf numFmtId="3" fontId="18" fillId="0" borderId="21" xfId="65" applyNumberFormat="1" applyFont="1" applyBorder="1" applyAlignment="1">
      <alignment vertical="center"/>
      <protection/>
    </xf>
    <xf numFmtId="3" fontId="18" fillId="0" borderId="13" xfId="65" applyNumberFormat="1" applyFont="1" applyBorder="1" applyAlignment="1">
      <alignment horizontal="right" vertical="center"/>
      <protection/>
    </xf>
    <xf numFmtId="3" fontId="18" fillId="0" borderId="21" xfId="65" applyNumberFormat="1" applyFont="1" applyBorder="1" applyAlignment="1">
      <alignment horizontal="right" vertical="center"/>
      <protection/>
    </xf>
    <xf numFmtId="3" fontId="19" fillId="0" borderId="35" xfId="65" applyNumberFormat="1" applyFont="1" applyBorder="1" applyAlignment="1">
      <alignment horizontal="right" vertical="center"/>
      <protection/>
    </xf>
    <xf numFmtId="0" fontId="18" fillId="0" borderId="27" xfId="65" applyFont="1" applyBorder="1" applyAlignment="1">
      <alignment horizontal="left" vertical="center" wrapText="1"/>
      <protection/>
    </xf>
    <xf numFmtId="3" fontId="18" fillId="0" borderId="46" xfId="65" applyNumberFormat="1" applyFont="1" applyBorder="1">
      <alignment/>
      <protection/>
    </xf>
    <xf numFmtId="0" fontId="18" fillId="0" borderId="47" xfId="65" applyFont="1" applyBorder="1" applyAlignment="1">
      <alignment horizontal="left" wrapText="1"/>
      <protection/>
    </xf>
    <xf numFmtId="0" fontId="18" fillId="0" borderId="46" xfId="65" applyFont="1" applyBorder="1" applyAlignment="1" quotePrefix="1">
      <alignment horizontal="center" vertical="center" wrapText="1"/>
      <protection/>
    </xf>
    <xf numFmtId="3" fontId="18" fillId="0" borderId="39" xfId="65" applyNumberFormat="1" applyFont="1" applyBorder="1">
      <alignment/>
      <protection/>
    </xf>
    <xf numFmtId="3" fontId="19" fillId="0" borderId="16" xfId="65" applyNumberFormat="1" applyFont="1" applyBorder="1" applyAlignment="1">
      <alignment horizontal="right"/>
      <protection/>
    </xf>
    <xf numFmtId="0" fontId="18" fillId="0" borderId="30" xfId="65" applyFont="1" applyBorder="1" applyAlignment="1">
      <alignment horizontal="left" wrapText="1"/>
      <protection/>
    </xf>
    <xf numFmtId="0" fontId="18" fillId="0" borderId="39" xfId="65" applyFont="1" applyBorder="1" applyAlignment="1" quotePrefix="1">
      <alignment horizontal="center" vertical="center" wrapText="1"/>
      <protection/>
    </xf>
    <xf numFmtId="0" fontId="18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27" fillId="0" borderId="0" xfId="65" applyFont="1" applyAlignment="1">
      <alignment horizontal="center"/>
      <protection/>
    </xf>
    <xf numFmtId="41" fontId="14" fillId="0" borderId="25" xfId="65" applyNumberFormat="1" applyFont="1" applyBorder="1" applyAlignment="1">
      <alignment horizontal="right"/>
      <protection/>
    </xf>
    <xf numFmtId="0" fontId="14" fillId="0" borderId="25" xfId="65" applyFont="1" applyBorder="1">
      <alignment/>
      <protection/>
    </xf>
    <xf numFmtId="41" fontId="16" fillId="0" borderId="48" xfId="65" applyNumberFormat="1" applyFont="1" applyBorder="1" applyAlignment="1">
      <alignment horizontal="right"/>
      <protection/>
    </xf>
    <xf numFmtId="41" fontId="16" fillId="0" borderId="23" xfId="65" applyNumberFormat="1" applyFont="1" applyBorder="1" applyAlignment="1">
      <alignment horizontal="right"/>
      <protection/>
    </xf>
    <xf numFmtId="41" fontId="16" fillId="0" borderId="49" xfId="65" applyNumberFormat="1" applyFont="1" applyBorder="1" applyAlignment="1">
      <alignment horizontal="right"/>
      <protection/>
    </xf>
    <xf numFmtId="41" fontId="16" fillId="0" borderId="31" xfId="65" applyNumberFormat="1" applyFont="1" applyBorder="1" applyAlignment="1">
      <alignment horizontal="right"/>
      <protection/>
    </xf>
    <xf numFmtId="0" fontId="16" fillId="0" borderId="50" xfId="65" applyFont="1" applyBorder="1" applyAlignment="1">
      <alignment horizontal="left" wrapText="1"/>
      <protection/>
    </xf>
    <xf numFmtId="0" fontId="16" fillId="0" borderId="27" xfId="65" applyFont="1" applyBorder="1" applyAlignment="1" quotePrefix="1">
      <alignment horizontal="center" vertical="center" wrapText="1"/>
      <protection/>
    </xf>
    <xf numFmtId="41" fontId="16" fillId="0" borderId="27" xfId="65" applyNumberFormat="1" applyFont="1" applyBorder="1" applyAlignment="1">
      <alignment horizontal="right"/>
      <protection/>
    </xf>
    <xf numFmtId="41" fontId="16" fillId="0" borderId="45" xfId="65" applyNumberFormat="1" applyFont="1" applyBorder="1" applyAlignment="1">
      <alignment horizontal="right"/>
      <protection/>
    </xf>
    <xf numFmtId="41" fontId="16" fillId="0" borderId="13" xfId="65" applyNumberFormat="1" applyFont="1" applyBorder="1" applyAlignment="1">
      <alignment horizontal="right"/>
      <protection/>
    </xf>
    <xf numFmtId="41" fontId="16" fillId="0" borderId="41" xfId="65" applyNumberFormat="1" applyFont="1" applyBorder="1" applyAlignment="1">
      <alignment horizontal="right"/>
      <protection/>
    </xf>
    <xf numFmtId="0" fontId="16" fillId="0" borderId="36" xfId="65" applyFont="1" applyBorder="1" applyAlignment="1">
      <alignment wrapText="1"/>
      <protection/>
    </xf>
    <xf numFmtId="41" fontId="16" fillId="0" borderId="51" xfId="65" applyNumberFormat="1" applyFont="1" applyBorder="1" applyAlignment="1">
      <alignment horizontal="right"/>
      <protection/>
    </xf>
    <xf numFmtId="41" fontId="16" fillId="0" borderId="24" xfId="65" applyNumberFormat="1" applyFont="1" applyBorder="1" applyAlignment="1">
      <alignment horizontal="right"/>
      <protection/>
    </xf>
    <xf numFmtId="41" fontId="16" fillId="0" borderId="52" xfId="65" applyNumberFormat="1" applyFont="1" applyBorder="1" applyAlignment="1">
      <alignment horizontal="right"/>
      <protection/>
    </xf>
    <xf numFmtId="41" fontId="16" fillId="0" borderId="30" xfId="65" applyNumberFormat="1" applyFont="1" applyBorder="1" applyAlignment="1">
      <alignment horizontal="right"/>
      <protection/>
    </xf>
    <xf numFmtId="0" fontId="16" fillId="0" borderId="30" xfId="65" applyFont="1" applyBorder="1" applyAlignment="1" quotePrefix="1">
      <alignment horizontal="center" vertical="center" wrapText="1"/>
      <protection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4" fillId="0" borderId="0" xfId="65" applyFont="1" applyBorder="1" applyAlignment="1">
      <alignment horizontal="left" wrapText="1"/>
      <protection/>
    </xf>
    <xf numFmtId="0" fontId="24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168" fontId="16" fillId="0" borderId="0" xfId="42" applyNumberFormat="1" applyFont="1" applyAlignment="1">
      <alignment/>
    </xf>
    <xf numFmtId="168" fontId="14" fillId="0" borderId="13" xfId="42" applyNumberFormat="1" applyFont="1" applyBorder="1" applyAlignment="1">
      <alignment/>
    </xf>
    <xf numFmtId="168" fontId="16" fillId="0" borderId="13" xfId="42" applyNumberFormat="1" applyFont="1" applyBorder="1" applyAlignment="1">
      <alignment/>
    </xf>
    <xf numFmtId="168" fontId="14" fillId="0" borderId="0" xfId="42" applyNumberFormat="1" applyFont="1" applyBorder="1" applyAlignment="1">
      <alignment/>
    </xf>
    <xf numFmtId="168" fontId="14" fillId="0" borderId="14" xfId="42" applyNumberFormat="1" applyFont="1" applyBorder="1" applyAlignment="1">
      <alignment/>
    </xf>
    <xf numFmtId="168" fontId="14" fillId="0" borderId="12" xfId="42" applyNumberFormat="1" applyFont="1" applyBorder="1" applyAlignment="1">
      <alignment horizontal="center"/>
    </xf>
    <xf numFmtId="168" fontId="14" fillId="0" borderId="11" xfId="42" applyNumberFormat="1" applyFont="1" applyBorder="1" applyAlignment="1">
      <alignment horizontal="center"/>
    </xf>
    <xf numFmtId="168" fontId="14" fillId="0" borderId="10" xfId="42" applyNumberFormat="1" applyFont="1" applyBorder="1" applyAlignment="1">
      <alignment horizontal="center"/>
    </xf>
    <xf numFmtId="168" fontId="16" fillId="0" borderId="0" xfId="42" applyNumberFormat="1" applyFont="1" applyBorder="1" applyAlignment="1">
      <alignment/>
    </xf>
    <xf numFmtId="168" fontId="8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5" fillId="0" borderId="53" xfId="42" applyNumberFormat="1" applyFont="1" applyBorder="1" applyAlignment="1">
      <alignment/>
    </xf>
    <xf numFmtId="168" fontId="5" fillId="0" borderId="54" xfId="42" applyNumberFormat="1" applyFont="1" applyBorder="1" applyAlignment="1">
      <alignment/>
    </xf>
    <xf numFmtId="168" fontId="36" fillId="0" borderId="14" xfId="42" applyNumberFormat="1" applyFont="1" applyBorder="1" applyAlignment="1">
      <alignment/>
    </xf>
    <xf numFmtId="168" fontId="36" fillId="0" borderId="55" xfId="42" applyNumberFormat="1" applyFont="1" applyBorder="1" applyAlignment="1">
      <alignment/>
    </xf>
    <xf numFmtId="168" fontId="5" fillId="0" borderId="45" xfId="42" applyNumberFormat="1" applyFont="1" applyBorder="1" applyAlignment="1">
      <alignment/>
    </xf>
    <xf numFmtId="168" fontId="5" fillId="0" borderId="13" xfId="42" applyNumberFormat="1" applyFont="1" applyBorder="1" applyAlignment="1">
      <alignment/>
    </xf>
    <xf numFmtId="168" fontId="5" fillId="0" borderId="40" xfId="42" applyNumberFormat="1" applyFont="1" applyBorder="1" applyAlignment="1">
      <alignment/>
    </xf>
    <xf numFmtId="168" fontId="5" fillId="0" borderId="56" xfId="42" applyNumberFormat="1" applyFont="1" applyBorder="1" applyAlignment="1">
      <alignment/>
    </xf>
    <xf numFmtId="168" fontId="5" fillId="0" borderId="13" xfId="42" applyNumberFormat="1" applyFont="1" applyFill="1" applyBorder="1" applyAlignment="1">
      <alignment/>
    </xf>
    <xf numFmtId="168" fontId="5" fillId="0" borderId="40" xfId="42" applyNumberFormat="1" applyFont="1" applyFill="1" applyBorder="1" applyAlignment="1">
      <alignment/>
    </xf>
    <xf numFmtId="168" fontId="0" fillId="0" borderId="40" xfId="42" applyNumberFormat="1" applyFont="1" applyFill="1" applyBorder="1" applyAlignment="1">
      <alignment/>
    </xf>
    <xf numFmtId="168" fontId="0" fillId="0" borderId="13" xfId="42" applyNumberFormat="1" applyFont="1" applyFill="1" applyBorder="1" applyAlignment="1">
      <alignment/>
    </xf>
    <xf numFmtId="168" fontId="5" fillId="0" borderId="13" xfId="42" applyNumberFormat="1" applyFont="1" applyBorder="1" applyAlignment="1">
      <alignment/>
    </xf>
    <xf numFmtId="168" fontId="5" fillId="0" borderId="57" xfId="42" applyNumberFormat="1" applyFont="1" applyBorder="1" applyAlignment="1">
      <alignment/>
    </xf>
    <xf numFmtId="168" fontId="5" fillId="0" borderId="58" xfId="42" applyNumberFormat="1" applyFont="1" applyBorder="1" applyAlignment="1">
      <alignment/>
    </xf>
    <xf numFmtId="168" fontId="5" fillId="0" borderId="59" xfId="42" applyNumberFormat="1" applyFont="1" applyBorder="1" applyAlignment="1">
      <alignment/>
    </xf>
    <xf numFmtId="168" fontId="5" fillId="0" borderId="60" xfId="42" applyNumberFormat="1" applyFont="1" applyBorder="1" applyAlignment="1">
      <alignment/>
    </xf>
    <xf numFmtId="168" fontId="5" fillId="0" borderId="12" xfId="42" applyNumberFormat="1" applyFont="1" applyBorder="1" applyAlignment="1">
      <alignment/>
    </xf>
    <xf numFmtId="168" fontId="5" fillId="0" borderId="61" xfId="42" applyNumberFormat="1" applyFont="1" applyBorder="1" applyAlignment="1">
      <alignment/>
    </xf>
    <xf numFmtId="168" fontId="5" fillId="0" borderId="62" xfId="42" applyNumberFormat="1" applyFont="1" applyBorder="1" applyAlignment="1">
      <alignment/>
    </xf>
    <xf numFmtId="168" fontId="5" fillId="0" borderId="63" xfId="42" applyNumberFormat="1" applyFont="1" applyBorder="1" applyAlignment="1">
      <alignment/>
    </xf>
    <xf numFmtId="168" fontId="36" fillId="0" borderId="11" xfId="42" applyNumberFormat="1" applyFont="1" applyBorder="1" applyAlignment="1">
      <alignment horizontal="center"/>
    </xf>
    <xf numFmtId="168" fontId="5" fillId="0" borderId="58" xfId="42" applyNumberFormat="1" applyFont="1" applyBorder="1" applyAlignment="1">
      <alignment horizontal="center"/>
    </xf>
    <xf numFmtId="168" fontId="5" fillId="0" borderId="59" xfId="42" applyNumberFormat="1" applyFont="1" applyBorder="1" applyAlignment="1">
      <alignment horizontal="center"/>
    </xf>
    <xf numFmtId="168" fontId="5" fillId="0" borderId="60" xfId="42" applyNumberFormat="1" applyFont="1" applyBorder="1" applyAlignment="1">
      <alignment horizontal="center"/>
    </xf>
    <xf numFmtId="168" fontId="5" fillId="0" borderId="11" xfId="42" applyNumberFormat="1" applyFont="1" applyBorder="1" applyAlignment="1">
      <alignment horizontal="center"/>
    </xf>
    <xf numFmtId="168" fontId="5" fillId="0" borderId="10" xfId="42" applyNumberFormat="1" applyFont="1" applyBorder="1" applyAlignment="1">
      <alignment/>
    </xf>
    <xf numFmtId="168" fontId="5" fillId="0" borderId="64" xfId="42" applyNumberFormat="1" applyFont="1" applyBorder="1" applyAlignment="1">
      <alignment/>
    </xf>
    <xf numFmtId="168" fontId="5" fillId="0" borderId="65" xfId="42" applyNumberFormat="1" applyFont="1" applyBorder="1" applyAlignment="1">
      <alignment/>
    </xf>
    <xf numFmtId="168" fontId="36" fillId="0" borderId="65" xfId="42" applyNumberFormat="1" applyFont="1" applyBorder="1" applyAlignment="1">
      <alignment/>
    </xf>
    <xf numFmtId="168" fontId="36" fillId="0" borderId="64" xfId="42" applyNumberFormat="1" applyFont="1" applyBorder="1" applyAlignment="1">
      <alignment/>
    </xf>
    <xf numFmtId="168" fontId="36" fillId="0" borderId="66" xfId="42" applyNumberFormat="1" applyFont="1" applyBorder="1" applyAlignment="1">
      <alignment/>
    </xf>
    <xf numFmtId="168" fontId="36" fillId="0" borderId="10" xfId="42" applyNumberFormat="1" applyFont="1" applyBorder="1" applyAlignment="1">
      <alignment/>
    </xf>
    <xf numFmtId="168" fontId="5" fillId="0" borderId="0" xfId="42" applyNumberFormat="1" applyFont="1" applyAlignment="1">
      <alignment horizontal="center"/>
    </xf>
    <xf numFmtId="168" fontId="36" fillId="0" borderId="0" xfId="42" applyNumberFormat="1" applyFont="1" applyAlignment="1">
      <alignment/>
    </xf>
    <xf numFmtId="168" fontId="36" fillId="0" borderId="0" xfId="42" applyNumberFormat="1" applyFont="1" applyBorder="1" applyAlignment="1">
      <alignment/>
    </xf>
    <xf numFmtId="0" fontId="22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4" fillId="0" borderId="0" xfId="61" applyFont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16" fillId="0" borderId="0" xfId="63" applyFont="1" applyAlignment="1">
      <alignment horizontal="left" vertical="top"/>
      <protection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justify"/>
    </xf>
    <xf numFmtId="0" fontId="0" fillId="0" borderId="0" xfId="0" applyAlignment="1">
      <alignment/>
    </xf>
    <xf numFmtId="0" fontId="11" fillId="0" borderId="0" xfId="59" applyFont="1" applyAlignment="1">
      <alignment horizontal="right"/>
      <protection/>
    </xf>
    <xf numFmtId="0" fontId="11" fillId="0" borderId="0" xfId="59" applyFont="1" applyAlignment="1">
      <alignment horizontal="left"/>
      <protection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9" fillId="0" borderId="0" xfId="59" applyFont="1" applyAlignment="1">
      <alignment horizontal="center"/>
      <protection/>
    </xf>
    <xf numFmtId="0" fontId="9" fillId="0" borderId="0" xfId="62" applyFont="1" applyAlignment="1">
      <alignment horizontal="left" wrapText="1"/>
      <protection/>
    </xf>
    <xf numFmtId="0" fontId="11" fillId="0" borderId="15" xfId="59" applyFont="1" applyBorder="1" applyAlignment="1">
      <alignment horizontal="right"/>
      <protection/>
    </xf>
    <xf numFmtId="0" fontId="11" fillId="0" borderId="17" xfId="59" applyFont="1" applyBorder="1" applyAlignment="1">
      <alignment horizontal="center" vertical="center"/>
      <protection/>
    </xf>
    <xf numFmtId="0" fontId="11" fillId="0" borderId="67" xfId="59" applyFont="1" applyBorder="1" applyAlignment="1">
      <alignment horizontal="center" vertical="center"/>
      <protection/>
    </xf>
    <xf numFmtId="0" fontId="11" fillId="0" borderId="68" xfId="59" applyFont="1" applyBorder="1" applyAlignment="1">
      <alignment horizontal="center" vertical="center"/>
      <protection/>
    </xf>
    <xf numFmtId="0" fontId="11" fillId="0" borderId="18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69" xfId="59" applyFont="1" applyBorder="1" applyAlignment="1">
      <alignment horizontal="center" vertical="center"/>
      <protection/>
    </xf>
    <xf numFmtId="0" fontId="11" fillId="0" borderId="19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70" xfId="59" applyFont="1" applyBorder="1" applyAlignment="1">
      <alignment horizontal="center" vertical="center"/>
      <protection/>
    </xf>
    <xf numFmtId="0" fontId="3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59" applyFont="1" applyBorder="1" applyAlignment="1">
      <alignment horizontal="left" vertical="center"/>
      <protection/>
    </xf>
    <xf numFmtId="0" fontId="16" fillId="0" borderId="0" xfId="63" applyFont="1" applyAlignment="1">
      <alignment horizontal="right"/>
      <protection/>
    </xf>
    <xf numFmtId="0" fontId="16" fillId="0" borderId="0" xfId="63" applyFont="1" applyAlignment="1">
      <alignment horizontal="left"/>
      <protection/>
    </xf>
    <xf numFmtId="0" fontId="46" fillId="0" borderId="10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textRotation="255"/>
    </xf>
    <xf numFmtId="0" fontId="16" fillId="0" borderId="0" xfId="65" applyFont="1" applyAlignment="1">
      <alignment horizontal="center"/>
      <protection/>
    </xf>
    <xf numFmtId="0" fontId="16" fillId="0" borderId="0" xfId="65" applyFont="1" applyAlignment="1">
      <alignment horizontal="center" vertic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16" fillId="0" borderId="10" xfId="65" applyFont="1" applyBorder="1" applyAlignment="1">
      <alignment horizontal="center" vertical="center" wrapText="1"/>
      <protection/>
    </xf>
    <xf numFmtId="0" fontId="16" fillId="0" borderId="11" xfId="65" applyFont="1" applyBorder="1" applyAlignment="1">
      <alignment horizontal="center" vertical="center" wrapText="1"/>
      <protection/>
    </xf>
    <xf numFmtId="0" fontId="16" fillId="0" borderId="12" xfId="65" applyFont="1" applyBorder="1" applyAlignment="1">
      <alignment horizontal="center" vertical="center" wrapText="1"/>
      <protection/>
    </xf>
    <xf numFmtId="0" fontId="16" fillId="0" borderId="10" xfId="65" applyFont="1" applyBorder="1" applyAlignment="1">
      <alignment horizontal="center" vertical="center"/>
      <protection/>
    </xf>
    <xf numFmtId="0" fontId="16" fillId="0" borderId="11" xfId="65" applyFont="1" applyBorder="1" applyAlignment="1">
      <alignment horizontal="center" vertical="center"/>
      <protection/>
    </xf>
    <xf numFmtId="0" fontId="16" fillId="0" borderId="12" xfId="65" applyFont="1" applyBorder="1" applyAlignment="1">
      <alignment horizontal="center" vertical="center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16" fillId="0" borderId="25" xfId="59" applyFont="1" applyBorder="1" applyAlignment="1">
      <alignment horizontal="center"/>
      <protection/>
    </xf>
    <xf numFmtId="0" fontId="16" fillId="0" borderId="33" xfId="59" applyFont="1" applyBorder="1" applyAlignment="1">
      <alignment horizontal="center"/>
      <protection/>
    </xf>
    <xf numFmtId="0" fontId="16" fillId="0" borderId="32" xfId="59" applyFont="1" applyBorder="1" applyAlignment="1">
      <alignment horizontal="center"/>
      <protection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8" fillId="0" borderId="0" xfId="65" applyFont="1" applyAlignment="1">
      <alignment horizontal="left"/>
      <protection/>
    </xf>
    <xf numFmtId="0" fontId="18" fillId="0" borderId="0" xfId="65" applyFont="1" applyAlignment="1">
      <alignment horizontal="right"/>
      <protection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5" fillId="0" borderId="0" xfId="65" applyFont="1" applyAlignment="1">
      <alignment horizontal="center"/>
      <protection/>
    </xf>
    <xf numFmtId="0" fontId="18" fillId="0" borderId="10" xfId="59" applyFont="1" applyBorder="1" applyAlignment="1">
      <alignment horizontal="center" vertical="center" wrapText="1"/>
      <protection/>
    </xf>
    <xf numFmtId="0" fontId="18" fillId="0" borderId="11" xfId="59" applyFont="1" applyBorder="1" applyAlignment="1">
      <alignment horizontal="center" vertical="center" wrapText="1"/>
      <protection/>
    </xf>
    <xf numFmtId="0" fontId="18" fillId="0" borderId="12" xfId="59" applyFont="1" applyBorder="1" applyAlignment="1">
      <alignment horizontal="center" vertical="center" wrapText="1"/>
      <protection/>
    </xf>
    <xf numFmtId="0" fontId="21" fillId="0" borderId="17" xfId="59" applyFont="1" applyBorder="1" applyAlignment="1">
      <alignment horizontal="center" vertical="center" wrapText="1"/>
      <protection/>
    </xf>
    <xf numFmtId="0" fontId="21" fillId="0" borderId="18" xfId="59" applyFont="1" applyBorder="1" applyAlignment="1">
      <alignment horizontal="center" vertical="center" wrapText="1"/>
      <protection/>
    </xf>
    <xf numFmtId="0" fontId="21" fillId="0" borderId="19" xfId="59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4" fontId="18" fillId="0" borderId="25" xfId="70" applyFont="1" applyBorder="1" applyAlignment="1">
      <alignment horizontal="center"/>
    </xf>
    <xf numFmtId="44" fontId="18" fillId="0" borderId="33" xfId="70" applyFont="1" applyBorder="1" applyAlignment="1">
      <alignment horizontal="center"/>
    </xf>
    <xf numFmtId="44" fontId="18" fillId="0" borderId="32" xfId="70" applyFont="1" applyBorder="1" applyAlignment="1">
      <alignment horizontal="center"/>
    </xf>
    <xf numFmtId="0" fontId="18" fillId="0" borderId="33" xfId="59" applyFont="1" applyBorder="1" applyAlignment="1">
      <alignment horizontal="center" wrapText="1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2" xfId="59" applyFont="1" applyBorder="1" applyAlignment="1">
      <alignment horizontal="center" vertical="center" wrapText="1"/>
      <protection/>
    </xf>
    <xf numFmtId="0" fontId="18" fillId="0" borderId="68" xfId="59" applyFont="1" applyBorder="1" applyAlignment="1">
      <alignment horizontal="center" vertical="center" wrapText="1"/>
      <protection/>
    </xf>
    <xf numFmtId="0" fontId="18" fillId="0" borderId="69" xfId="59" applyFont="1" applyBorder="1" applyAlignment="1">
      <alignment horizontal="center" vertical="center" wrapText="1"/>
      <protection/>
    </xf>
    <xf numFmtId="0" fontId="18" fillId="0" borderId="70" xfId="59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1" fillId="0" borderId="11" xfId="63" applyFont="1" applyBorder="1" applyAlignment="1">
      <alignment horizontal="center" vertical="center" wrapText="1"/>
      <protection/>
    </xf>
    <xf numFmtId="0" fontId="21" fillId="0" borderId="12" xfId="63" applyFont="1" applyBorder="1" applyAlignment="1">
      <alignment horizontal="center" vertical="center" wrapText="1"/>
      <protection/>
    </xf>
    <xf numFmtId="0" fontId="18" fillId="0" borderId="10" xfId="65" applyFont="1" applyBorder="1" applyAlignment="1">
      <alignment horizontal="center" vertical="center" wrapText="1"/>
      <protection/>
    </xf>
    <xf numFmtId="0" fontId="18" fillId="0" borderId="11" xfId="65" applyFont="1" applyBorder="1" applyAlignment="1">
      <alignment horizontal="center" vertical="center" wrapText="1"/>
      <protection/>
    </xf>
    <xf numFmtId="0" fontId="18" fillId="0" borderId="17" xfId="65" applyFont="1" applyBorder="1" applyAlignment="1">
      <alignment horizontal="center" vertical="center"/>
      <protection/>
    </xf>
    <xf numFmtId="0" fontId="18" fillId="0" borderId="18" xfId="65" applyFont="1" applyBorder="1" applyAlignment="1">
      <alignment horizontal="center" vertical="center"/>
      <protection/>
    </xf>
    <xf numFmtId="0" fontId="18" fillId="0" borderId="18" xfId="59" applyFont="1" applyBorder="1" applyAlignment="1">
      <alignment horizontal="center" vertical="center" wrapText="1"/>
      <protection/>
    </xf>
    <xf numFmtId="0" fontId="18" fillId="0" borderId="19" xfId="59" applyFont="1" applyBorder="1" applyAlignment="1">
      <alignment horizontal="center" vertical="center" wrapText="1"/>
      <protection/>
    </xf>
    <xf numFmtId="0" fontId="18" fillId="0" borderId="25" xfId="59" applyFont="1" applyBorder="1" applyAlignment="1">
      <alignment horizontal="center"/>
      <protection/>
    </xf>
    <xf numFmtId="0" fontId="18" fillId="0" borderId="33" xfId="59" applyFont="1" applyBorder="1" applyAlignment="1">
      <alignment horizontal="center"/>
      <protection/>
    </xf>
    <xf numFmtId="0" fontId="18" fillId="0" borderId="10" xfId="59" applyFont="1" applyBorder="1" applyAlignment="1">
      <alignment horizontal="center" vertical="center"/>
      <protection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1" xfId="59" applyFont="1" applyBorder="1" applyAlignment="1">
      <alignment horizontal="center" vertical="center"/>
      <protection/>
    </xf>
    <xf numFmtId="0" fontId="18" fillId="0" borderId="12" xfId="59" applyFont="1" applyBorder="1" applyAlignment="1">
      <alignment horizontal="center" vertical="center"/>
      <protection/>
    </xf>
    <xf numFmtId="0" fontId="18" fillId="0" borderId="32" xfId="59" applyFont="1" applyBorder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42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textRotation="255"/>
    </xf>
    <xf numFmtId="0" fontId="0" fillId="0" borderId="11" xfId="0" applyBorder="1" applyAlignment="1">
      <alignment horizontal="center" textRotation="255"/>
    </xf>
    <xf numFmtId="0" fontId="0" fillId="0" borderId="12" xfId="0" applyBorder="1" applyAlignment="1">
      <alignment horizontal="center" textRotation="255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9" fontId="9" fillId="0" borderId="10" xfId="66" applyNumberFormat="1" applyFont="1" applyBorder="1" applyAlignment="1">
      <alignment horizontal="center" vertical="center"/>
      <protection/>
    </xf>
    <xf numFmtId="49" fontId="9" fillId="0" borderId="11" xfId="66" applyNumberFormat="1" applyFont="1" applyBorder="1" applyAlignment="1">
      <alignment horizontal="center" vertical="center"/>
      <protection/>
    </xf>
    <xf numFmtId="49" fontId="9" fillId="0" borderId="12" xfId="66" applyNumberFormat="1" applyFont="1" applyBorder="1" applyAlignment="1">
      <alignment horizontal="center" vertical="center"/>
      <protection/>
    </xf>
    <xf numFmtId="0" fontId="14" fillId="0" borderId="10" xfId="66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6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57" applyFont="1" applyAlignment="1">
      <alignment horizontal="right"/>
      <protection/>
    </xf>
    <xf numFmtId="0" fontId="14" fillId="0" borderId="0" xfId="66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7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59" applyFont="1" applyAlignment="1">
      <alignment horizontal="right"/>
      <protection/>
    </xf>
    <xf numFmtId="0" fontId="16" fillId="0" borderId="0" xfId="0" applyFont="1" applyAlignment="1">
      <alignment horizontal="right"/>
    </xf>
    <xf numFmtId="0" fontId="17" fillId="0" borderId="0" xfId="59" applyFont="1" applyAlignment="1">
      <alignment horizontal="left"/>
      <protection/>
    </xf>
    <xf numFmtId="0" fontId="16" fillId="0" borderId="0" xfId="0" applyFont="1" applyAlignment="1">
      <alignment horizontal="left"/>
    </xf>
    <xf numFmtId="0" fontId="16" fillId="0" borderId="0" xfId="59" applyFont="1" applyAlignment="1">
      <alignment horizontal="right"/>
      <protection/>
    </xf>
    <xf numFmtId="0" fontId="14" fillId="0" borderId="0" xfId="59" applyFont="1" applyAlignment="1">
      <alignment horizontal="center"/>
      <protection/>
    </xf>
    <xf numFmtId="0" fontId="14" fillId="0" borderId="67" xfId="59" applyFont="1" applyBorder="1" applyAlignment="1">
      <alignment horizontal="center"/>
      <protection/>
    </xf>
    <xf numFmtId="0" fontId="16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4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14" fillId="0" borderId="0" xfId="58" applyFont="1" applyAlignment="1">
      <alignment horizontal="center"/>
      <protection/>
    </xf>
    <xf numFmtId="0" fontId="16" fillId="0" borderId="0" xfId="57" applyFont="1" applyAlignment="1">
      <alignment horizontal="right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wrapText="1"/>
    </xf>
    <xf numFmtId="0" fontId="35" fillId="0" borderId="59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8" fontId="8" fillId="0" borderId="23" xfId="40" applyNumberFormat="1" applyFont="1" applyBorder="1" applyAlignment="1">
      <alignment horizontal="center"/>
    </xf>
    <xf numFmtId="168" fontId="8" fillId="0" borderId="59" xfId="40" applyNumberFormat="1" applyFont="1" applyBorder="1" applyAlignment="1">
      <alignment horizontal="center"/>
    </xf>
    <xf numFmtId="168" fontId="8" fillId="0" borderId="24" xfId="40" applyNumberFormat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168" fontId="8" fillId="0" borderId="2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8" fontId="8" fillId="0" borderId="13" xfId="40" applyNumberFormat="1" applyFont="1" applyBorder="1" applyAlignment="1">
      <alignment horizontal="center"/>
    </xf>
    <xf numFmtId="0" fontId="35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168" fontId="8" fillId="0" borderId="17" xfId="40" applyNumberFormat="1" applyFont="1" applyBorder="1" applyAlignment="1">
      <alignment horizontal="center"/>
    </xf>
    <xf numFmtId="168" fontId="8" fillId="0" borderId="68" xfId="40" applyNumberFormat="1" applyFont="1" applyBorder="1" applyAlignment="1">
      <alignment horizontal="center"/>
    </xf>
    <xf numFmtId="168" fontId="8" fillId="0" borderId="19" xfId="40" applyNumberFormat="1" applyFont="1" applyBorder="1" applyAlignment="1">
      <alignment horizontal="center"/>
    </xf>
    <xf numFmtId="168" fontId="8" fillId="0" borderId="70" xfId="40" applyNumberFormat="1" applyFont="1" applyBorder="1" applyAlignment="1">
      <alignment horizontal="center"/>
    </xf>
    <xf numFmtId="168" fontId="4" fillId="0" borderId="17" xfId="40" applyNumberFormat="1" applyFont="1" applyBorder="1" applyAlignment="1">
      <alignment horizontal="center"/>
    </xf>
    <xf numFmtId="168" fontId="4" fillId="0" borderId="68" xfId="40" applyNumberFormat="1" applyFont="1" applyBorder="1" applyAlignment="1">
      <alignment horizontal="center"/>
    </xf>
    <xf numFmtId="168" fontId="4" fillId="0" borderId="19" xfId="40" applyNumberFormat="1" applyFont="1" applyBorder="1" applyAlignment="1">
      <alignment horizontal="center"/>
    </xf>
    <xf numFmtId="168" fontId="4" fillId="0" borderId="70" xfId="40" applyNumberFormat="1" applyFont="1" applyBorder="1" applyAlignment="1">
      <alignment horizontal="center"/>
    </xf>
    <xf numFmtId="168" fontId="8" fillId="0" borderId="73" xfId="40" applyNumberFormat="1" applyFont="1" applyBorder="1" applyAlignment="1">
      <alignment horizontal="center"/>
    </xf>
    <xf numFmtId="168" fontId="8" fillId="0" borderId="74" xfId="4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43" fillId="0" borderId="29" xfId="0" applyNumberFormat="1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0" fillId="0" borderId="75" xfId="0" applyBorder="1" applyAlignment="1">
      <alignment horizontal="center" wrapText="1"/>
    </xf>
    <xf numFmtId="0" fontId="42" fillId="0" borderId="75" xfId="0" applyFont="1" applyBorder="1" applyAlignment="1">
      <alignment horizontal="center" vertical="center" wrapText="1"/>
    </xf>
    <xf numFmtId="0" fontId="42" fillId="0" borderId="76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77" xfId="0" applyFont="1" applyBorder="1" applyAlignment="1">
      <alignment vertical="top" wrapText="1"/>
    </xf>
    <xf numFmtId="0" fontId="42" fillId="0" borderId="21" xfId="0" applyFont="1" applyBorder="1" applyAlignment="1">
      <alignment vertical="top" wrapText="1"/>
    </xf>
    <xf numFmtId="0" fontId="42" fillId="0" borderId="43" xfId="0" applyFont="1" applyBorder="1" applyAlignment="1">
      <alignment vertical="top" wrapText="1"/>
    </xf>
    <xf numFmtId="41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1" fontId="0" fillId="0" borderId="29" xfId="0" applyNumberFormat="1" applyBorder="1" applyAlignment="1">
      <alignment horizontal="center"/>
    </xf>
    <xf numFmtId="41" fontId="44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étel" xfId="57"/>
    <cellStyle name="Normál_KONEPC99" xfId="58"/>
    <cellStyle name="Normál_KTGV99" xfId="59"/>
    <cellStyle name="Normál_mérleg" xfId="60"/>
    <cellStyle name="Normál_Munka1 2" xfId="61"/>
    <cellStyle name="Normál_Munka2 2" xfId="62"/>
    <cellStyle name="Normál_Munka3 2" xfId="63"/>
    <cellStyle name="Normál_PHKV99" xfId="64"/>
    <cellStyle name="Normál_PHKV99 2" xfId="65"/>
    <cellStyle name="Normál_PHKV99_P.2015. évi költségvetés - mellékletek" xfId="66"/>
    <cellStyle name="Összesen" xfId="67"/>
    <cellStyle name="Currency" xfId="68"/>
    <cellStyle name="Currency [0]" xfId="69"/>
    <cellStyle name="Pénznem 2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tabSelected="1" zoomScalePageLayoutView="0" workbookViewId="0" topLeftCell="H22">
      <selection activeCell="H22" sqref="A1:IV16384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8"/>
      <c r="O38" s="28"/>
      <c r="P38" s="28"/>
      <c r="Q38" s="28"/>
      <c r="R38" s="28"/>
      <c r="S38" s="28"/>
      <c r="T38" s="28"/>
      <c r="U38" s="28"/>
    </row>
    <row r="39" spans="9:21" ht="27.75">
      <c r="I39" s="5"/>
      <c r="J39" s="2"/>
      <c r="N39" s="406" t="s">
        <v>2</v>
      </c>
      <c r="O39" s="406"/>
      <c r="P39" s="406"/>
      <c r="Q39" s="406"/>
      <c r="R39" s="406"/>
      <c r="S39" s="406"/>
      <c r="T39" s="406"/>
      <c r="U39" s="406"/>
    </row>
    <row r="40" spans="9:21" ht="2.25" customHeight="1">
      <c r="I40" s="3"/>
      <c r="J40" s="2"/>
      <c r="N40" s="28"/>
      <c r="O40" s="29"/>
      <c r="P40" s="30"/>
      <c r="Q40" s="30"/>
      <c r="R40" s="30"/>
      <c r="S40" s="30"/>
      <c r="T40" s="30"/>
      <c r="U40" s="30"/>
    </row>
    <row r="41" spans="9:21" ht="27.75">
      <c r="I41" s="4"/>
      <c r="J41" s="2"/>
      <c r="N41" s="406" t="s">
        <v>383</v>
      </c>
      <c r="O41" s="406"/>
      <c r="P41" s="406"/>
      <c r="Q41" s="406"/>
      <c r="R41" s="406"/>
      <c r="S41" s="406"/>
      <c r="T41" s="406"/>
      <c r="U41" s="406"/>
    </row>
    <row r="42" spans="9:21" ht="12.75" customHeight="1" hidden="1">
      <c r="I42" s="3"/>
      <c r="J42" s="2"/>
      <c r="N42" s="28"/>
      <c r="O42" s="29"/>
      <c r="P42" s="30"/>
      <c r="Q42" s="30"/>
      <c r="R42" s="30"/>
      <c r="S42" s="30"/>
      <c r="T42" s="30"/>
      <c r="U42" s="30"/>
    </row>
    <row r="43" spans="9:21" ht="27.75">
      <c r="I43" s="4"/>
      <c r="J43" s="2"/>
      <c r="N43" s="406" t="s">
        <v>339</v>
      </c>
      <c r="O43" s="406"/>
      <c r="P43" s="406"/>
      <c r="Q43" s="406"/>
      <c r="R43" s="406"/>
      <c r="S43" s="406"/>
      <c r="T43" s="406"/>
      <c r="U43" s="406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7"/>
      <c r="O44" s="27"/>
      <c r="P44" s="27"/>
      <c r="Q44" s="27"/>
      <c r="R44" s="27"/>
      <c r="S44" s="27"/>
      <c r="T44" s="27"/>
      <c r="U44" s="27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7"/>
      <c r="O45" s="407" t="s">
        <v>490</v>
      </c>
      <c r="P45" s="407"/>
      <c r="Q45" s="407"/>
      <c r="R45" s="407"/>
      <c r="S45" s="407"/>
      <c r="T45" s="407"/>
      <c r="U45" s="27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 objects="1" scenarios="1" selectLockedCells="1" selectUnlockedCells="1"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1" spans="1:3" ht="12.75">
      <c r="A1" s="408" t="s">
        <v>484</v>
      </c>
      <c r="B1" s="408"/>
      <c r="C1" s="408"/>
    </row>
    <row r="4" spans="1:3" ht="12.75">
      <c r="A4" s="514"/>
      <c r="B4" s="514"/>
      <c r="C4" s="514"/>
    </row>
    <row r="6" spans="1:3" ht="12.75">
      <c r="A6" s="514" t="s">
        <v>8</v>
      </c>
      <c r="B6" s="514"/>
      <c r="C6" s="514"/>
    </row>
    <row r="7" spans="1:3" ht="15" customHeight="1">
      <c r="A7" s="514" t="s">
        <v>414</v>
      </c>
      <c r="B7" s="514"/>
      <c r="C7" s="514"/>
    </row>
    <row r="8" spans="1:3" ht="12.75">
      <c r="A8" s="514" t="s">
        <v>386</v>
      </c>
      <c r="B8" s="514"/>
      <c r="C8" s="514"/>
    </row>
    <row r="10" ht="13.5" thickBot="1"/>
    <row r="11" spans="1:3" ht="47.25" customHeight="1" thickBot="1">
      <c r="A11" s="195" t="s">
        <v>406</v>
      </c>
      <c r="B11" s="196" t="s">
        <v>3</v>
      </c>
      <c r="C11" s="197" t="s">
        <v>423</v>
      </c>
    </row>
    <row r="14" spans="1:2" ht="12.75">
      <c r="A14" t="s">
        <v>18</v>
      </c>
      <c r="B14" s="198" t="s">
        <v>415</v>
      </c>
    </row>
    <row r="16" spans="1:2" ht="12.75">
      <c r="A16" s="192" t="s">
        <v>421</v>
      </c>
      <c r="B16" t="s">
        <v>416</v>
      </c>
    </row>
    <row r="17" spans="1:2" ht="29.25" customHeight="1">
      <c r="A17" s="193" t="s">
        <v>422</v>
      </c>
      <c r="B17" s="173" t="s">
        <v>417</v>
      </c>
    </row>
    <row r="18" spans="1:3" ht="20.25" customHeight="1">
      <c r="A18" t="s">
        <v>418</v>
      </c>
      <c r="B18" s="194" t="s">
        <v>473</v>
      </c>
      <c r="C18" s="172">
        <v>643443</v>
      </c>
    </row>
    <row r="19" spans="2:3" ht="17.25" customHeight="1">
      <c r="B19" t="s">
        <v>419</v>
      </c>
      <c r="C19" s="200">
        <v>173730</v>
      </c>
    </row>
    <row r="20" spans="2:3" ht="17.25" customHeight="1">
      <c r="B20" s="198" t="s">
        <v>410</v>
      </c>
      <c r="C20" s="199">
        <f>C18+C19</f>
        <v>817173</v>
      </c>
    </row>
    <row r="23" spans="2:3" ht="15" customHeight="1">
      <c r="B23" s="198" t="s">
        <v>420</v>
      </c>
      <c r="C23" s="199">
        <f>C20</f>
        <v>817173</v>
      </c>
    </row>
  </sheetData>
  <sheetProtection password="AF00" sheet="1" objects="1" scenarios="1" selectLockedCells="1" selectUnlockedCells="1"/>
  <mergeCells count="5">
    <mergeCell ref="A4:C4"/>
    <mergeCell ref="A6:C6"/>
    <mergeCell ref="A7:C7"/>
    <mergeCell ref="A8:C8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8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3" ht="15.75">
      <c r="A1" s="556" t="s">
        <v>485</v>
      </c>
      <c r="B1" s="557"/>
      <c r="C1" s="557"/>
    </row>
    <row r="2" spans="1:3" ht="15.75">
      <c r="A2" s="37"/>
      <c r="B2" s="37"/>
      <c r="C2" s="368"/>
    </row>
    <row r="3" spans="1:3" ht="15.75">
      <c r="A3" s="558"/>
      <c r="B3" s="559"/>
      <c r="C3" s="559"/>
    </row>
    <row r="4" spans="1:3" ht="15.75">
      <c r="A4" s="38"/>
      <c r="B4" s="38"/>
      <c r="C4" s="359"/>
    </row>
    <row r="5" spans="1:3" ht="7.5" customHeight="1">
      <c r="A5" s="560"/>
      <c r="B5" s="560"/>
      <c r="C5" s="560"/>
    </row>
    <row r="6" spans="1:3" ht="15.75">
      <c r="A6" s="561"/>
      <c r="B6" s="561"/>
      <c r="C6" s="561"/>
    </row>
    <row r="7" spans="1:3" ht="15.75">
      <c r="A7" s="561"/>
      <c r="B7" s="561"/>
      <c r="C7" s="561"/>
    </row>
    <row r="8" spans="1:3" ht="3" customHeight="1">
      <c r="A8" s="40"/>
      <c r="B8" s="62"/>
      <c r="C8" s="62"/>
    </row>
    <row r="9" spans="1:3" ht="6.75" customHeight="1">
      <c r="A9" s="40"/>
      <c r="B9" s="62"/>
      <c r="C9" s="62"/>
    </row>
    <row r="10" spans="1:3" ht="15.75">
      <c r="A10" s="561" t="s">
        <v>8</v>
      </c>
      <c r="B10" s="561"/>
      <c r="C10" s="561"/>
    </row>
    <row r="11" spans="1:3" ht="15.75">
      <c r="A11" s="561" t="s">
        <v>44</v>
      </c>
      <c r="B11" s="561"/>
      <c r="C11" s="561"/>
    </row>
    <row r="12" spans="1:3" ht="15.75">
      <c r="A12" s="561" t="s">
        <v>45</v>
      </c>
      <c r="B12" s="561"/>
      <c r="C12" s="561"/>
    </row>
    <row r="13" spans="1:3" ht="15.75">
      <c r="A13" s="561" t="s">
        <v>386</v>
      </c>
      <c r="B13" s="561"/>
      <c r="C13" s="561"/>
    </row>
    <row r="14" spans="1:3" ht="16.5" thickBot="1">
      <c r="A14" s="38"/>
      <c r="B14" s="38"/>
      <c r="C14" s="359"/>
    </row>
    <row r="15" spans="1:3" ht="15.75">
      <c r="A15" s="41" t="s">
        <v>16</v>
      </c>
      <c r="B15" s="42"/>
      <c r="C15" s="366" t="s">
        <v>0</v>
      </c>
    </row>
    <row r="16" spans="1:3" ht="15.75">
      <c r="A16" s="43"/>
      <c r="B16" s="44" t="s">
        <v>3</v>
      </c>
      <c r="C16" s="365"/>
    </row>
    <row r="17" spans="1:3" ht="16.5" thickBot="1">
      <c r="A17" s="45" t="s">
        <v>17</v>
      </c>
      <c r="B17" s="46"/>
      <c r="C17" s="364" t="s">
        <v>46</v>
      </c>
    </row>
    <row r="18" spans="1:3" ht="20.25" customHeight="1">
      <c r="A18" s="562" t="s">
        <v>47</v>
      </c>
      <c r="B18" s="562"/>
      <c r="C18" s="562"/>
    </row>
    <row r="19" spans="1:3" ht="22.5" customHeight="1">
      <c r="A19" s="47" t="s">
        <v>18</v>
      </c>
      <c r="B19" s="48" t="s">
        <v>48</v>
      </c>
      <c r="C19" s="367"/>
    </row>
    <row r="20" spans="1:3" ht="22.5" customHeight="1">
      <c r="A20" s="47"/>
      <c r="B20" s="19" t="s">
        <v>49</v>
      </c>
      <c r="C20" s="367">
        <f>'Bevételek (2)'!H47</f>
        <v>14309431</v>
      </c>
    </row>
    <row r="21" spans="1:3" ht="22.5" customHeight="1">
      <c r="A21" s="47"/>
      <c r="B21" s="20" t="s">
        <v>50</v>
      </c>
      <c r="C21" s="367">
        <f>'Bevételek (2)'!H53</f>
        <v>1774864</v>
      </c>
    </row>
    <row r="22" spans="1:3" ht="22.5" customHeight="1">
      <c r="A22" s="47" t="s">
        <v>19</v>
      </c>
      <c r="B22" s="48" t="s">
        <v>51</v>
      </c>
      <c r="C22" s="367">
        <f>'Bevételek (2)'!H70</f>
        <v>1320000</v>
      </c>
    </row>
    <row r="23" spans="1:3" ht="22.5" customHeight="1">
      <c r="A23" s="47" t="s">
        <v>20</v>
      </c>
      <c r="B23" s="48" t="s">
        <v>52</v>
      </c>
      <c r="C23" s="367">
        <f>'Bevételek (2)'!H78</f>
        <v>11068723</v>
      </c>
    </row>
    <row r="24" spans="1:3" ht="22.5" customHeight="1">
      <c r="A24" s="47" t="s">
        <v>21</v>
      </c>
      <c r="B24" s="49" t="s">
        <v>24</v>
      </c>
      <c r="C24" s="367"/>
    </row>
    <row r="25" spans="1:3" ht="32.25" customHeight="1">
      <c r="A25" s="47"/>
      <c r="B25" s="20" t="s">
        <v>53</v>
      </c>
      <c r="C25" s="367"/>
    </row>
    <row r="26" spans="1:3" ht="22.5" customHeight="1">
      <c r="A26" s="47"/>
      <c r="B26" s="19" t="s">
        <v>54</v>
      </c>
      <c r="C26" s="367"/>
    </row>
    <row r="27" spans="1:3" ht="28.5" customHeight="1">
      <c r="A27" s="63"/>
      <c r="B27" s="64" t="s">
        <v>55</v>
      </c>
      <c r="C27" s="360">
        <f>SUM(C20:C26)</f>
        <v>28473018</v>
      </c>
    </row>
    <row r="28" spans="1:3" ht="22.5" customHeight="1">
      <c r="A28" s="39" t="s">
        <v>22</v>
      </c>
      <c r="B28" s="48" t="s">
        <v>56</v>
      </c>
      <c r="C28" s="225">
        <f>'Korm.funkciók (2)'!E33</f>
        <v>8006038</v>
      </c>
    </row>
    <row r="29" spans="1:3" ht="22.5" customHeight="1">
      <c r="A29" s="39" t="s">
        <v>23</v>
      </c>
      <c r="B29" s="48" t="s">
        <v>57</v>
      </c>
      <c r="C29" s="225">
        <f>'Korm.funkciók (2)'!F33</f>
        <v>1778880</v>
      </c>
    </row>
    <row r="30" spans="1:3" ht="22.5" customHeight="1">
      <c r="A30" s="39" t="s">
        <v>25</v>
      </c>
      <c r="B30" s="51" t="s">
        <v>58</v>
      </c>
      <c r="C30" s="225">
        <f>'Korm.funkciók (2)'!G33</f>
        <v>17706797</v>
      </c>
    </row>
    <row r="31" spans="1:3" ht="22.5" customHeight="1">
      <c r="A31" s="39" t="s">
        <v>26</v>
      </c>
      <c r="B31" s="51" t="s">
        <v>59</v>
      </c>
      <c r="C31" s="225">
        <f>'Korm.funkciók (2)'!H33</f>
        <v>1522200</v>
      </c>
    </row>
    <row r="32" spans="1:3" ht="22.5" customHeight="1">
      <c r="A32" s="39" t="s">
        <v>27</v>
      </c>
      <c r="B32" s="51" t="s">
        <v>60</v>
      </c>
      <c r="C32" s="225"/>
    </row>
    <row r="33" spans="1:3" ht="22.5" customHeight="1">
      <c r="A33" s="39"/>
      <c r="B33" s="51" t="s">
        <v>61</v>
      </c>
      <c r="C33" s="225">
        <v>33386</v>
      </c>
    </row>
    <row r="34" spans="1:3" ht="29.25" customHeight="1">
      <c r="A34" s="39"/>
      <c r="B34" s="20" t="s">
        <v>62</v>
      </c>
      <c r="C34" s="226"/>
    </row>
    <row r="35" spans="1:3" ht="22.5" customHeight="1">
      <c r="A35" s="39"/>
      <c r="B35" s="51" t="s">
        <v>63</v>
      </c>
      <c r="C35" s="225">
        <v>546600</v>
      </c>
    </row>
    <row r="36" spans="1:3" ht="22.5" customHeight="1">
      <c r="A36" s="39"/>
      <c r="B36" s="51" t="s">
        <v>64</v>
      </c>
      <c r="C36" s="359">
        <v>10889974</v>
      </c>
    </row>
    <row r="37" spans="1:3" ht="32.25" customHeight="1">
      <c r="A37" s="63"/>
      <c r="B37" s="64" t="s">
        <v>65</v>
      </c>
      <c r="C37" s="360">
        <f>SUM(C28:C36)</f>
        <v>40483875</v>
      </c>
    </row>
    <row r="38" spans="1:3" ht="15.75">
      <c r="A38" s="47"/>
      <c r="B38" s="48"/>
      <c r="C38" s="367"/>
    </row>
    <row r="39" spans="1:3" ht="15.75">
      <c r="A39" s="47"/>
      <c r="B39" s="48"/>
      <c r="C39" s="367"/>
    </row>
    <row r="40" spans="1:3" ht="15.75">
      <c r="A40" s="47"/>
      <c r="B40" s="48"/>
      <c r="C40" s="367"/>
    </row>
    <row r="41" spans="1:3" ht="15.75">
      <c r="A41" s="563">
        <v>2</v>
      </c>
      <c r="B41" s="563"/>
      <c r="C41" s="563"/>
    </row>
    <row r="42" spans="1:3" ht="16.5" thickBot="1">
      <c r="A42" s="47"/>
      <c r="B42" s="48"/>
      <c r="C42" s="367"/>
    </row>
    <row r="43" spans="1:3" ht="15.75">
      <c r="A43" s="41" t="s">
        <v>16</v>
      </c>
      <c r="B43" s="42"/>
      <c r="C43" s="366" t="s">
        <v>0</v>
      </c>
    </row>
    <row r="44" spans="1:3" ht="15.75">
      <c r="A44" s="43"/>
      <c r="B44" s="44" t="s">
        <v>3</v>
      </c>
      <c r="C44" s="365"/>
    </row>
    <row r="45" spans="1:3" ht="16.5" thickBot="1">
      <c r="A45" s="45" t="s">
        <v>17</v>
      </c>
      <c r="B45" s="46"/>
      <c r="C45" s="364" t="s">
        <v>46</v>
      </c>
    </row>
    <row r="46" spans="1:3" ht="15.75">
      <c r="A46" s="564" t="s">
        <v>66</v>
      </c>
      <c r="B46" s="564"/>
      <c r="C46" s="564"/>
    </row>
    <row r="47" spans="1:3" ht="22.5" customHeight="1">
      <c r="A47" s="39" t="s">
        <v>28</v>
      </c>
      <c r="B47" s="52" t="s">
        <v>67</v>
      </c>
      <c r="C47" s="359">
        <v>34532111</v>
      </c>
    </row>
    <row r="48" spans="1:3" ht="22.5" customHeight="1">
      <c r="A48" s="39" t="s">
        <v>30</v>
      </c>
      <c r="B48" s="52" t="s">
        <v>68</v>
      </c>
      <c r="C48" s="359"/>
    </row>
    <row r="49" spans="1:3" ht="22.5" customHeight="1">
      <c r="A49" s="39" t="s">
        <v>31</v>
      </c>
      <c r="B49" s="49" t="s">
        <v>69</v>
      </c>
      <c r="C49" s="359"/>
    </row>
    <row r="50" spans="1:3" ht="31.5" customHeight="1">
      <c r="A50" s="39"/>
      <c r="B50" s="20" t="s">
        <v>70</v>
      </c>
      <c r="C50" s="359">
        <f>'Bevételek (2)'!H83</f>
        <v>0</v>
      </c>
    </row>
    <row r="51" spans="1:3" ht="22.5" customHeight="1">
      <c r="A51" s="39"/>
      <c r="B51" s="19" t="s">
        <v>71</v>
      </c>
      <c r="C51" s="359"/>
    </row>
    <row r="52" spans="1:3" ht="24.75" customHeight="1">
      <c r="A52" s="63"/>
      <c r="B52" s="64" t="s">
        <v>72</v>
      </c>
      <c r="C52" s="360">
        <f>SUM(C47:C51)</f>
        <v>34532111</v>
      </c>
    </row>
    <row r="53" spans="1:3" ht="22.5" customHeight="1">
      <c r="A53" s="39" t="s">
        <v>33</v>
      </c>
      <c r="B53" s="52" t="s">
        <v>73</v>
      </c>
      <c r="C53" s="359">
        <f>'Korm.funkciók (2)'!K33</f>
        <v>36465093</v>
      </c>
    </row>
    <row r="54" spans="1:3" ht="22.5" customHeight="1">
      <c r="A54" s="39" t="s">
        <v>35</v>
      </c>
      <c r="B54" s="52" t="s">
        <v>74</v>
      </c>
      <c r="C54" s="359">
        <f>'Korm.funkciók (2)'!L33</f>
        <v>817173</v>
      </c>
    </row>
    <row r="55" spans="1:3" ht="22.5" customHeight="1">
      <c r="A55" s="39" t="s">
        <v>36</v>
      </c>
      <c r="B55" s="49" t="s">
        <v>41</v>
      </c>
      <c r="C55" s="359"/>
    </row>
    <row r="56" spans="1:3" ht="33.75" customHeight="1">
      <c r="A56" s="39"/>
      <c r="B56" s="20" t="s">
        <v>75</v>
      </c>
      <c r="C56" s="359"/>
    </row>
    <row r="57" spans="1:3" ht="22.5" customHeight="1">
      <c r="A57" s="39"/>
      <c r="B57" s="74" t="s">
        <v>338</v>
      </c>
      <c r="C57" s="359"/>
    </row>
    <row r="58" spans="1:3" ht="16.5" thickBot="1">
      <c r="A58" s="50"/>
      <c r="B58" s="64" t="s">
        <v>76</v>
      </c>
      <c r="C58" s="360">
        <f>SUM(C53:C57)</f>
        <v>37282266</v>
      </c>
    </row>
    <row r="59" spans="1:3" ht="28.5" customHeight="1" thickBot="1">
      <c r="A59" s="53"/>
      <c r="B59" s="54" t="s">
        <v>77</v>
      </c>
      <c r="C59" s="363">
        <f>C27+C52</f>
        <v>63005129</v>
      </c>
    </row>
    <row r="60" spans="1:3" ht="27" customHeight="1" thickBot="1">
      <c r="A60" s="53"/>
      <c r="B60" s="54" t="s">
        <v>78</v>
      </c>
      <c r="C60" s="363">
        <f>C37+C58</f>
        <v>77766141</v>
      </c>
    </row>
    <row r="61" spans="1:3" ht="15.75">
      <c r="A61" s="55"/>
      <c r="B61" s="56"/>
      <c r="C61" s="362"/>
    </row>
    <row r="62" spans="1:3" ht="15.75">
      <c r="A62" s="38"/>
      <c r="B62" s="38"/>
      <c r="C62" s="359"/>
    </row>
    <row r="63" spans="1:3" ht="15.75">
      <c r="A63" s="565" t="s">
        <v>79</v>
      </c>
      <c r="B63" s="565"/>
      <c r="C63" s="565"/>
    </row>
    <row r="64" spans="1:3" ht="15.75">
      <c r="A64" s="57"/>
      <c r="B64" s="57"/>
      <c r="C64" s="57"/>
    </row>
    <row r="65" spans="1:3" ht="22.5" customHeight="1">
      <c r="A65" s="50" t="s">
        <v>38</v>
      </c>
      <c r="B65" s="58" t="s">
        <v>80</v>
      </c>
      <c r="C65" s="361">
        <f>4260731+10998822</f>
        <v>15259553</v>
      </c>
    </row>
    <row r="66" spans="1:3" ht="22.5" customHeight="1">
      <c r="A66" s="50"/>
      <c r="B66" s="64" t="s">
        <v>81</v>
      </c>
      <c r="C66" s="360">
        <f>C65</f>
        <v>15259553</v>
      </c>
    </row>
    <row r="67" spans="1:3" ht="22.5" customHeight="1">
      <c r="A67" s="50" t="s">
        <v>40</v>
      </c>
      <c r="B67" s="58" t="s">
        <v>357</v>
      </c>
      <c r="C67" s="361">
        <v>498541</v>
      </c>
    </row>
    <row r="68" spans="1:3" ht="22.5" customHeight="1">
      <c r="A68" s="50" t="s">
        <v>42</v>
      </c>
      <c r="B68" s="58" t="s">
        <v>82</v>
      </c>
      <c r="C68" s="361">
        <v>0</v>
      </c>
    </row>
    <row r="69" spans="1:3" ht="22.5" customHeight="1" thickBot="1">
      <c r="A69" s="50"/>
      <c r="B69" s="64" t="s">
        <v>83</v>
      </c>
      <c r="C69" s="360">
        <f>SUM(C67:C68)</f>
        <v>498541</v>
      </c>
    </row>
    <row r="70" spans="1:3" ht="24.75" customHeight="1" thickBot="1">
      <c r="A70" s="59"/>
      <c r="B70" s="60" t="s">
        <v>84</v>
      </c>
      <c r="C70" s="61">
        <f>C59+C66</f>
        <v>78264682</v>
      </c>
    </row>
    <row r="71" spans="1:3" ht="27" customHeight="1" thickBot="1">
      <c r="A71" s="59"/>
      <c r="B71" s="60" t="s">
        <v>85</v>
      </c>
      <c r="C71" s="61">
        <f>C60+C69</f>
        <v>78264682</v>
      </c>
    </row>
    <row r="72" spans="1:3" ht="15.75">
      <c r="A72" s="38"/>
      <c r="B72" s="38"/>
      <c r="C72" s="359"/>
    </row>
    <row r="73" spans="1:3" ht="15.75">
      <c r="A73" s="19"/>
      <c r="B73" s="19"/>
      <c r="C73" s="19"/>
    </row>
    <row r="74" spans="1:3" ht="15.75">
      <c r="A74" s="19"/>
      <c r="B74" s="19"/>
      <c r="C74" s="19"/>
    </row>
    <row r="75" spans="1:3" ht="15.75">
      <c r="A75" s="19"/>
      <c r="B75" s="19"/>
      <c r="C75" s="19"/>
    </row>
    <row r="76" spans="1:3" ht="15.75">
      <c r="A76" s="19"/>
      <c r="B76" s="19"/>
      <c r="C76" s="19"/>
    </row>
    <row r="77" spans="1:3" ht="15.75">
      <c r="A77" s="19"/>
      <c r="B77" s="19"/>
      <c r="C77" s="19"/>
    </row>
    <row r="78" spans="1:3" ht="15.75">
      <c r="A78" s="19"/>
      <c r="B78" s="19"/>
      <c r="C78" s="19"/>
    </row>
    <row r="79" spans="1:3" ht="15.75">
      <c r="A79" s="19"/>
      <c r="B79" s="19"/>
      <c r="C79" s="19"/>
    </row>
    <row r="80" spans="1:3" ht="15.75">
      <c r="A80" s="19"/>
      <c r="B80" s="19"/>
      <c r="C80" s="19"/>
    </row>
    <row r="81" spans="1:3" ht="15.75">
      <c r="A81" s="19"/>
      <c r="B81" s="19"/>
      <c r="C81" s="19"/>
    </row>
    <row r="82" spans="1:3" ht="15.75">
      <c r="A82" s="19"/>
      <c r="B82" s="19"/>
      <c r="C82" s="19"/>
    </row>
    <row r="83" spans="1:3" ht="15.75">
      <c r="A83" s="19"/>
      <c r="B83" s="19"/>
      <c r="C83" s="19"/>
    </row>
    <row r="84" spans="1:3" ht="15.75">
      <c r="A84" s="19"/>
      <c r="B84" s="19"/>
      <c r="C84" s="19"/>
    </row>
    <row r="85" spans="1:3" ht="15.75">
      <c r="A85" s="19"/>
      <c r="B85" s="19"/>
      <c r="C85" s="19"/>
    </row>
    <row r="86" spans="1:3" ht="15.75">
      <c r="A86" s="19"/>
      <c r="B86" s="19"/>
      <c r="C86" s="19"/>
    </row>
    <row r="87" spans="1:3" ht="15.75">
      <c r="A87" s="19"/>
      <c r="B87" s="19"/>
      <c r="C87" s="19"/>
    </row>
    <row r="88" spans="1:3" ht="15.75">
      <c r="A88" s="19"/>
      <c r="B88" s="19"/>
      <c r="C88" s="19"/>
    </row>
  </sheetData>
  <sheetProtection password="AF00" sheet="1" objects="1" scenarios="1" selectLockedCells="1" selectUnlockedCells="1"/>
  <mergeCells count="13">
    <mergeCell ref="A41:C41"/>
    <mergeCell ref="A46:C46"/>
    <mergeCell ref="A63:C63"/>
    <mergeCell ref="A10:C10"/>
    <mergeCell ref="A11:C11"/>
    <mergeCell ref="A12:C12"/>
    <mergeCell ref="A13:C13"/>
    <mergeCell ref="A1:C1"/>
    <mergeCell ref="A3:C3"/>
    <mergeCell ref="A5:C5"/>
    <mergeCell ref="A6:C6"/>
    <mergeCell ref="A7:C7"/>
    <mergeCell ref="A18:C18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8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2.375" style="0" customWidth="1"/>
    <col min="7" max="7" width="14.625" style="0" customWidth="1"/>
    <col min="8" max="8" width="14.00390625" style="0" customWidth="1"/>
    <col min="9" max="9" width="13.875" style="0" customWidth="1"/>
    <col min="10" max="10" width="14.125" style="0" customWidth="1"/>
    <col min="11" max="11" width="14.00390625" style="0" customWidth="1"/>
    <col min="12" max="12" width="13.875" style="0" customWidth="1"/>
    <col min="13" max="13" width="13.125" style="0" customWidth="1"/>
    <col min="14" max="14" width="14.25390625" style="0" customWidth="1"/>
    <col min="15" max="15" width="13.625" style="0" customWidth="1"/>
  </cols>
  <sheetData>
    <row r="1" spans="2:15" ht="12.75">
      <c r="B1" s="408" t="s">
        <v>486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spans="1:15" ht="12.75">
      <c r="A2" s="566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1:15" ht="6" customHeight="1">
      <c r="A3" s="567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1:15" ht="12.75" customHeight="1" hidden="1">
      <c r="A4" s="567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</row>
    <row r="5" spans="1:15" ht="12.75">
      <c r="A5" s="1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</row>
    <row r="6" spans="1:15" ht="12.75">
      <c r="A6" s="1"/>
      <c r="B6" s="568" t="s">
        <v>8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</row>
    <row r="7" spans="1:15" ht="12.75">
      <c r="A7" s="1"/>
      <c r="B7" s="568" t="s">
        <v>391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</row>
    <row r="8" spans="1:15" ht="13.5" thickBot="1">
      <c r="A8" s="1"/>
      <c r="B8" s="1"/>
      <c r="C8" s="404"/>
      <c r="D8" s="404"/>
      <c r="E8" s="404"/>
      <c r="F8" s="405"/>
      <c r="G8" s="404"/>
      <c r="H8" s="404"/>
      <c r="I8" s="404"/>
      <c r="J8" s="404"/>
      <c r="K8" s="369"/>
      <c r="L8" s="369"/>
      <c r="M8" s="369"/>
      <c r="N8" s="369"/>
      <c r="O8" s="403" t="s">
        <v>400</v>
      </c>
    </row>
    <row r="9" spans="1:15" ht="12.75">
      <c r="A9" s="146" t="s">
        <v>16</v>
      </c>
      <c r="B9" s="147"/>
      <c r="C9" s="402"/>
      <c r="D9" s="401"/>
      <c r="E9" s="400"/>
      <c r="F9" s="399"/>
      <c r="G9" s="399"/>
      <c r="H9" s="399"/>
      <c r="I9" s="399"/>
      <c r="J9" s="399"/>
      <c r="K9" s="398"/>
      <c r="L9" s="398"/>
      <c r="M9" s="398"/>
      <c r="N9" s="397"/>
      <c r="O9" s="396"/>
    </row>
    <row r="10" spans="1:15" ht="12.75">
      <c r="A10" s="148"/>
      <c r="B10" s="149" t="s">
        <v>3</v>
      </c>
      <c r="C10" s="395" t="s">
        <v>283</v>
      </c>
      <c r="D10" s="394" t="s">
        <v>284</v>
      </c>
      <c r="E10" s="392" t="s">
        <v>285</v>
      </c>
      <c r="F10" s="393" t="s">
        <v>286</v>
      </c>
      <c r="G10" s="393" t="s">
        <v>287</v>
      </c>
      <c r="H10" s="393" t="s">
        <v>288</v>
      </c>
      <c r="I10" s="393" t="s">
        <v>289</v>
      </c>
      <c r="J10" s="393" t="s">
        <v>290</v>
      </c>
      <c r="K10" s="393" t="s">
        <v>291</v>
      </c>
      <c r="L10" s="393" t="s">
        <v>292</v>
      </c>
      <c r="M10" s="393" t="s">
        <v>293</v>
      </c>
      <c r="N10" s="392" t="s">
        <v>294</v>
      </c>
      <c r="O10" s="391" t="s">
        <v>295</v>
      </c>
    </row>
    <row r="11" spans="1:15" ht="13.5" thickBot="1">
      <c r="A11" s="150" t="s">
        <v>17</v>
      </c>
      <c r="B11" s="151"/>
      <c r="C11" s="387"/>
      <c r="D11" s="390"/>
      <c r="E11" s="388"/>
      <c r="F11" s="389"/>
      <c r="G11" s="389"/>
      <c r="H11" s="389"/>
      <c r="I11" s="389"/>
      <c r="J11" s="389"/>
      <c r="K11" s="389"/>
      <c r="L11" s="389"/>
      <c r="M11" s="389"/>
      <c r="N11" s="388"/>
      <c r="O11" s="387"/>
    </row>
    <row r="12" spans="1:15" ht="12.75">
      <c r="A12" s="152"/>
      <c r="B12" s="153" t="s">
        <v>296</v>
      </c>
      <c r="C12" s="385"/>
      <c r="D12" s="386"/>
      <c r="E12" s="384"/>
      <c r="F12" s="385"/>
      <c r="G12" s="385"/>
      <c r="H12" s="385"/>
      <c r="I12" s="385"/>
      <c r="J12" s="385"/>
      <c r="K12" s="385"/>
      <c r="L12" s="385"/>
      <c r="M12" s="385"/>
      <c r="N12" s="384"/>
      <c r="O12" s="383"/>
    </row>
    <row r="13" spans="1:15" ht="25.5">
      <c r="A13" s="154" t="s">
        <v>18</v>
      </c>
      <c r="B13" s="155" t="s">
        <v>297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4"/>
    </row>
    <row r="14" spans="1:15" ht="25.5">
      <c r="A14" s="154"/>
      <c r="B14" s="155" t="s">
        <v>298</v>
      </c>
      <c r="C14" s="375">
        <f>1495622</f>
        <v>1495622</v>
      </c>
      <c r="D14" s="375">
        <f>997082</f>
        <v>997082</v>
      </c>
      <c r="E14" s="375">
        <f>997082</f>
        <v>997082</v>
      </c>
      <c r="F14" s="375">
        <f>997082</f>
        <v>997082</v>
      </c>
      <c r="G14" s="375">
        <v>997082</v>
      </c>
      <c r="H14" s="375">
        <v>997082</v>
      </c>
      <c r="I14" s="375">
        <v>997082</v>
      </c>
      <c r="J14" s="375">
        <f>997082+1000000+55360+661875+65336+55000+8336</f>
        <v>2842989</v>
      </c>
      <c r="K14" s="375">
        <v>997082</v>
      </c>
      <c r="L14" s="375">
        <f>997082</f>
        <v>997082</v>
      </c>
      <c r="M14" s="375">
        <v>997082</v>
      </c>
      <c r="N14" s="375">
        <v>997082</v>
      </c>
      <c r="O14" s="374">
        <f aca="true" t="shared" si="0" ref="O14:O23">SUM(C14:N14)</f>
        <v>14309431</v>
      </c>
    </row>
    <row r="15" spans="1:15" ht="25.5">
      <c r="A15" s="154"/>
      <c r="B15" s="156" t="s">
        <v>299</v>
      </c>
      <c r="C15" s="375">
        <f>14336+179682</f>
        <v>194018</v>
      </c>
      <c r="D15" s="375">
        <f>16333+180996</f>
        <v>197329</v>
      </c>
      <c r="E15" s="375">
        <f>16333+180996-8336</f>
        <v>188993</v>
      </c>
      <c r="F15" s="375">
        <f>16334+180996</f>
        <v>197330</v>
      </c>
      <c r="G15" s="375">
        <v>197330</v>
      </c>
      <c r="H15" s="375">
        <v>197330</v>
      </c>
      <c r="I15" s="375">
        <v>197330</v>
      </c>
      <c r="J15" s="375">
        <f>26100+131994+221010</f>
        <v>379104</v>
      </c>
      <c r="K15" s="375"/>
      <c r="L15" s="375">
        <v>26100</v>
      </c>
      <c r="M15" s="375"/>
      <c r="N15" s="375"/>
      <c r="O15" s="374">
        <f t="shared" si="0"/>
        <v>1774864</v>
      </c>
    </row>
    <row r="16" spans="1:15" ht="25.5">
      <c r="A16" s="154" t="s">
        <v>19</v>
      </c>
      <c r="B16" s="156" t="s">
        <v>300</v>
      </c>
      <c r="C16" s="375"/>
      <c r="D16" s="375"/>
      <c r="E16" s="375"/>
      <c r="F16" s="375"/>
      <c r="G16" s="375"/>
      <c r="H16" s="375">
        <v>13735678</v>
      </c>
      <c r="I16" s="375"/>
      <c r="J16" s="375"/>
      <c r="K16" s="375"/>
      <c r="L16" s="375"/>
      <c r="M16" s="375"/>
      <c r="N16" s="375">
        <f>34532111-H16</f>
        <v>20796433</v>
      </c>
      <c r="O16" s="374">
        <f t="shared" si="0"/>
        <v>34532111</v>
      </c>
    </row>
    <row r="17" spans="1:15" ht="12.75">
      <c r="A17" s="154" t="s">
        <v>20</v>
      </c>
      <c r="B17" s="156" t="s">
        <v>301</v>
      </c>
      <c r="C17" s="382"/>
      <c r="D17" s="382">
        <v>30000</v>
      </c>
      <c r="E17" s="382">
        <v>300000</v>
      </c>
      <c r="F17" s="382">
        <v>100000</v>
      </c>
      <c r="G17" s="382">
        <v>40000</v>
      </c>
      <c r="H17" s="382">
        <v>30000</v>
      </c>
      <c r="I17" s="382">
        <v>40000</v>
      </c>
      <c r="J17" s="382">
        <v>80000</v>
      </c>
      <c r="K17" s="382">
        <v>420000</v>
      </c>
      <c r="L17" s="382">
        <v>90000</v>
      </c>
      <c r="M17" s="382">
        <v>140000</v>
      </c>
      <c r="N17" s="382">
        <v>50000</v>
      </c>
      <c r="O17" s="374">
        <f t="shared" si="0"/>
        <v>1320000</v>
      </c>
    </row>
    <row r="18" spans="1:15" ht="12.75">
      <c r="A18" s="154" t="s">
        <v>21</v>
      </c>
      <c r="B18" s="157" t="s">
        <v>302</v>
      </c>
      <c r="C18" s="382">
        <v>75630</v>
      </c>
      <c r="D18" s="382">
        <v>75630</v>
      </c>
      <c r="E18" s="382">
        <v>75630</v>
      </c>
      <c r="F18" s="382">
        <v>75630</v>
      </c>
      <c r="G18" s="382">
        <f>630000+263418-54531</f>
        <v>838887</v>
      </c>
      <c r="H18" s="382">
        <f>75630+3708633</f>
        <v>3784263</v>
      </c>
      <c r="I18" s="382">
        <v>75630</v>
      </c>
      <c r="J18" s="382">
        <v>75630</v>
      </c>
      <c r="K18" s="382">
        <v>75630</v>
      </c>
      <c r="L18" s="382">
        <v>75630</v>
      </c>
      <c r="M18" s="382">
        <v>75630</v>
      </c>
      <c r="N18" s="382">
        <f>77630+5689255-1982</f>
        <v>5764903</v>
      </c>
      <c r="O18" s="374">
        <f t="shared" si="0"/>
        <v>11068723</v>
      </c>
    </row>
    <row r="19" spans="1:15" ht="12.75">
      <c r="A19" s="154" t="s">
        <v>22</v>
      </c>
      <c r="B19" s="157" t="s">
        <v>303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74">
        <f t="shared" si="0"/>
        <v>0</v>
      </c>
    </row>
    <row r="20" spans="1:15" ht="12.75">
      <c r="A20" s="154" t="s">
        <v>23</v>
      </c>
      <c r="B20" s="157" t="s">
        <v>24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0"/>
      <c r="O20" s="374">
        <f t="shared" si="0"/>
        <v>0</v>
      </c>
    </row>
    <row r="21" spans="1:15" ht="25.5">
      <c r="A21" s="154"/>
      <c r="B21" s="156" t="s">
        <v>304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9"/>
      <c r="O21" s="374">
        <f t="shared" si="0"/>
        <v>0</v>
      </c>
    </row>
    <row r="22" spans="1:15" ht="12.75">
      <c r="A22" s="154"/>
      <c r="B22" s="156" t="s">
        <v>305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9"/>
      <c r="O22" s="374">
        <f t="shared" si="0"/>
        <v>0</v>
      </c>
    </row>
    <row r="23" spans="1:15" ht="12.75">
      <c r="A23" s="154" t="s">
        <v>25</v>
      </c>
      <c r="B23" s="157" t="s">
        <v>306</v>
      </c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9"/>
      <c r="O23" s="374">
        <f t="shared" si="0"/>
        <v>0</v>
      </c>
    </row>
    <row r="24" spans="1:15" ht="25.5">
      <c r="A24" s="154"/>
      <c r="B24" s="156" t="s">
        <v>307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9"/>
      <c r="O24" s="374"/>
    </row>
    <row r="25" spans="1:15" ht="12.75">
      <c r="A25" s="154"/>
      <c r="B25" s="156" t="s">
        <v>308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9"/>
      <c r="O25" s="374">
        <f>SUM(C25:N25)</f>
        <v>0</v>
      </c>
    </row>
    <row r="26" spans="1:15" ht="12.75">
      <c r="A26" s="154" t="s">
        <v>26</v>
      </c>
      <c r="B26" s="157" t="s">
        <v>309</v>
      </c>
      <c r="C26" s="378">
        <v>498541</v>
      </c>
      <c r="D26" s="378">
        <v>2950000</v>
      </c>
      <c r="E26" s="378">
        <v>812190</v>
      </c>
      <c r="F26" s="378"/>
      <c r="G26" s="378">
        <v>10998822</v>
      </c>
      <c r="H26" s="378"/>
      <c r="I26" s="378"/>
      <c r="J26" s="378"/>
      <c r="K26" s="378"/>
      <c r="L26" s="378"/>
      <c r="M26" s="378"/>
      <c r="N26" s="379"/>
      <c r="O26" s="374">
        <f>SUM(C26:N26)</f>
        <v>15259553</v>
      </c>
    </row>
    <row r="27" spans="1:15" ht="13.5" thickBot="1">
      <c r="A27" s="158" t="s">
        <v>27</v>
      </c>
      <c r="B27" s="159" t="s">
        <v>310</v>
      </c>
      <c r="C27" s="378"/>
      <c r="D27" s="378">
        <f aca="true" t="shared" si="1" ref="D27:N27">C48</f>
        <v>623862</v>
      </c>
      <c r="E27" s="378">
        <f t="shared" si="1"/>
        <v>3626191</v>
      </c>
      <c r="F27" s="378">
        <f t="shared" si="1"/>
        <v>3739387</v>
      </c>
      <c r="G27" s="378">
        <f t="shared" si="1"/>
        <v>2832440</v>
      </c>
      <c r="H27" s="378">
        <f t="shared" si="1"/>
        <v>3310818</v>
      </c>
      <c r="I27" s="378">
        <f t="shared" si="1"/>
        <v>3075792</v>
      </c>
      <c r="J27" s="378">
        <f t="shared" si="1"/>
        <v>1748492</v>
      </c>
      <c r="K27" s="378">
        <f t="shared" si="1"/>
        <v>1985352</v>
      </c>
      <c r="L27" s="378">
        <f t="shared" si="1"/>
        <v>1569683</v>
      </c>
      <c r="M27" s="378">
        <f t="shared" si="1"/>
        <v>1174614</v>
      </c>
      <c r="N27" s="378">
        <f t="shared" si="1"/>
        <v>561151</v>
      </c>
      <c r="O27" s="374"/>
    </row>
    <row r="28" spans="1:15" ht="13.5" thickBot="1">
      <c r="A28" s="160"/>
      <c r="B28" s="160" t="s">
        <v>311</v>
      </c>
      <c r="C28" s="373">
        <f aca="true" t="shared" si="2" ref="C28:O28">SUM(C14:C27)</f>
        <v>2263811</v>
      </c>
      <c r="D28" s="373">
        <f t="shared" si="2"/>
        <v>4873903</v>
      </c>
      <c r="E28" s="373">
        <f t="shared" si="2"/>
        <v>6000086</v>
      </c>
      <c r="F28" s="373">
        <f t="shared" si="2"/>
        <v>5109429</v>
      </c>
      <c r="G28" s="373">
        <f t="shared" si="2"/>
        <v>15904561</v>
      </c>
      <c r="H28" s="373">
        <f t="shared" si="2"/>
        <v>22055171</v>
      </c>
      <c r="I28" s="373">
        <f t="shared" si="2"/>
        <v>4385834</v>
      </c>
      <c r="J28" s="373">
        <f t="shared" si="2"/>
        <v>5126215</v>
      </c>
      <c r="K28" s="373">
        <f t="shared" si="2"/>
        <v>3478064</v>
      </c>
      <c r="L28" s="373">
        <f t="shared" si="2"/>
        <v>2758495</v>
      </c>
      <c r="M28" s="373">
        <f t="shared" si="2"/>
        <v>2387326</v>
      </c>
      <c r="N28" s="373">
        <f t="shared" si="2"/>
        <v>28169569</v>
      </c>
      <c r="O28" s="372">
        <f t="shared" si="2"/>
        <v>78264682</v>
      </c>
    </row>
    <row r="29" spans="1:15" ht="12.75">
      <c r="A29" s="161"/>
      <c r="B29" s="162" t="s">
        <v>312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7"/>
    </row>
    <row r="30" spans="1:15" ht="12.75">
      <c r="A30" s="154" t="s">
        <v>28</v>
      </c>
      <c r="B30" s="157" t="s">
        <v>29</v>
      </c>
      <c r="C30" s="375">
        <f>533178+10+12864+22000+158312</f>
        <v>726364</v>
      </c>
      <c r="D30" s="375">
        <f>533178+12864+163060</f>
        <v>709102</v>
      </c>
      <c r="E30" s="375">
        <f>533178+12864+163060</f>
        <v>709102</v>
      </c>
      <c r="F30" s="375">
        <f>533178+12861+163060+2108</f>
        <v>711207</v>
      </c>
      <c r="G30" s="375">
        <f>533178+175921</f>
        <v>709099</v>
      </c>
      <c r="H30" s="375">
        <f>533178+175921</f>
        <v>709099</v>
      </c>
      <c r="I30" s="375">
        <f>533178+175921</f>
        <v>709099</v>
      </c>
      <c r="J30" s="375">
        <f>533178+175921+181155</f>
        <v>890254</v>
      </c>
      <c r="K30" s="375">
        <f>533178</f>
        <v>533178</v>
      </c>
      <c r="L30" s="375">
        <v>533178</v>
      </c>
      <c r="M30" s="375">
        <v>533178</v>
      </c>
      <c r="N30" s="375">
        <v>533178</v>
      </c>
      <c r="O30" s="374">
        <f>SUM(C30:N30)</f>
        <v>8006038</v>
      </c>
    </row>
    <row r="31" spans="1:15" ht="25.5">
      <c r="A31" s="154" t="s">
        <v>30</v>
      </c>
      <c r="B31" s="156" t="s">
        <v>313</v>
      </c>
      <c r="C31" s="375">
        <f>130703+2971+21370</f>
        <v>155044</v>
      </c>
      <c r="D31" s="375">
        <f>130703+2971+17936</f>
        <v>151610</v>
      </c>
      <c r="E31" s="375">
        <f>130703+2971+17936</f>
        <v>151610</v>
      </c>
      <c r="F31" s="375">
        <f>130703+2970+17936</f>
        <v>151609</v>
      </c>
      <c r="G31" s="375">
        <f>130703+20906</f>
        <v>151609</v>
      </c>
      <c r="H31" s="375">
        <f>130703+20906</f>
        <v>151609</v>
      </c>
      <c r="I31" s="375">
        <f>130703+20906+39855-96</f>
        <v>191368</v>
      </c>
      <c r="J31" s="375">
        <f>130703+20906</f>
        <v>151609</v>
      </c>
      <c r="K31" s="375">
        <v>130703</v>
      </c>
      <c r="L31" s="375">
        <v>130703</v>
      </c>
      <c r="M31" s="375">
        <v>130703</v>
      </c>
      <c r="N31" s="375">
        <v>130703</v>
      </c>
      <c r="O31" s="374">
        <f>SUM(C31:N31)</f>
        <v>1778880</v>
      </c>
    </row>
    <row r="32" spans="1:15" ht="12.75">
      <c r="A32" s="154" t="s">
        <v>31</v>
      </c>
      <c r="B32" s="157" t="s">
        <v>32</v>
      </c>
      <c r="C32" s="375">
        <v>210000</v>
      </c>
      <c r="D32" s="375">
        <v>337000</v>
      </c>
      <c r="E32" s="375">
        <f>547000+50787</f>
        <v>597787</v>
      </c>
      <c r="F32" s="375">
        <v>547000</v>
      </c>
      <c r="G32" s="375">
        <f>757000-98798</f>
        <v>658202</v>
      </c>
      <c r="H32" s="375">
        <f>547000+3708633+55360</f>
        <v>4310993</v>
      </c>
      <c r="I32" s="375">
        <f>447000+561000+239550</f>
        <v>1247550</v>
      </c>
      <c r="J32" s="375">
        <f>839000+25000</f>
        <v>864000</v>
      </c>
      <c r="K32" s="375">
        <f>547000+250000+55000</f>
        <v>852000</v>
      </c>
      <c r="L32" s="375">
        <v>720000</v>
      </c>
      <c r="M32" s="375">
        <f>519000+414094</f>
        <v>933094</v>
      </c>
      <c r="N32" s="375">
        <f>547000+5882171</f>
        <v>6429171</v>
      </c>
      <c r="O32" s="374">
        <f>SUM(C32:N32)</f>
        <v>17706797</v>
      </c>
    </row>
    <row r="33" spans="1:15" ht="12.75">
      <c r="A33" s="154" t="s">
        <v>33</v>
      </c>
      <c r="B33" s="157" t="s">
        <v>34</v>
      </c>
      <c r="C33" s="375">
        <v>50000</v>
      </c>
      <c r="D33" s="375">
        <v>50000</v>
      </c>
      <c r="E33" s="375">
        <v>50000</v>
      </c>
      <c r="F33" s="375">
        <v>50000</v>
      </c>
      <c r="G33" s="375">
        <v>50000</v>
      </c>
      <c r="H33" s="375">
        <v>50000</v>
      </c>
      <c r="I33" s="375">
        <v>50000</v>
      </c>
      <c r="J33" s="375">
        <v>220000</v>
      </c>
      <c r="K33" s="375">
        <v>50000</v>
      </c>
      <c r="L33" s="375">
        <v>200000</v>
      </c>
      <c r="M33" s="375">
        <f>300000-70800</f>
        <v>229200</v>
      </c>
      <c r="N33" s="375">
        <v>473000</v>
      </c>
      <c r="O33" s="374">
        <f>SUM(C33:N33)</f>
        <v>1522200</v>
      </c>
    </row>
    <row r="34" spans="1:15" ht="12.75">
      <c r="A34" s="154" t="s">
        <v>35</v>
      </c>
      <c r="B34" s="157" t="s">
        <v>314</v>
      </c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6"/>
      <c r="O34" s="374"/>
    </row>
    <row r="35" spans="1:15" ht="12.75">
      <c r="A35" s="154"/>
      <c r="B35" s="157" t="s">
        <v>315</v>
      </c>
      <c r="C35" s="375"/>
      <c r="D35" s="375"/>
      <c r="E35" s="375"/>
      <c r="F35" s="375"/>
      <c r="G35" s="375">
        <v>33386</v>
      </c>
      <c r="H35" s="375"/>
      <c r="I35" s="375">
        <v>0</v>
      </c>
      <c r="J35" s="375">
        <v>0</v>
      </c>
      <c r="K35" s="375"/>
      <c r="L35" s="375">
        <v>0</v>
      </c>
      <c r="M35" s="375">
        <v>0</v>
      </c>
      <c r="N35" s="375">
        <v>0</v>
      </c>
      <c r="O35" s="374">
        <f>SUM(C35:N35)</f>
        <v>33386</v>
      </c>
    </row>
    <row r="36" spans="1:15" ht="12.75">
      <c r="A36" s="154"/>
      <c r="B36" s="157" t="s">
        <v>316</v>
      </c>
      <c r="C36" s="375"/>
      <c r="D36" s="375"/>
      <c r="E36" s="375">
        <f>43000-400</f>
        <v>42600</v>
      </c>
      <c r="F36" s="375"/>
      <c r="G36" s="375">
        <f>400000</f>
        <v>400000</v>
      </c>
      <c r="H36" s="375">
        <v>22000</v>
      </c>
      <c r="I36" s="375">
        <v>42000</v>
      </c>
      <c r="J36" s="375">
        <v>15000</v>
      </c>
      <c r="K36" s="375">
        <v>25000</v>
      </c>
      <c r="L36" s="375"/>
      <c r="M36" s="375"/>
      <c r="N36" s="375"/>
      <c r="O36" s="374">
        <f>SUM(C36:N36)</f>
        <v>546600</v>
      </c>
    </row>
    <row r="37" spans="1:15" ht="12.75">
      <c r="A37" s="154" t="s">
        <v>36</v>
      </c>
      <c r="B37" s="157" t="s">
        <v>37</v>
      </c>
      <c r="C37" s="375"/>
      <c r="D37" s="375"/>
      <c r="E37" s="375">
        <v>709600</v>
      </c>
      <c r="F37" s="375"/>
      <c r="G37" s="375">
        <v>98798</v>
      </c>
      <c r="H37" s="375">
        <v>13735678</v>
      </c>
      <c r="I37" s="375"/>
      <c r="J37" s="375">
        <v>1000000</v>
      </c>
      <c r="K37" s="375">
        <v>317500</v>
      </c>
      <c r="L37" s="375"/>
      <c r="M37" s="375"/>
      <c r="N37" s="375">
        <f>20796433-192916</f>
        <v>20603517</v>
      </c>
      <c r="O37" s="374">
        <f>SUM(C37:N37)</f>
        <v>36465093</v>
      </c>
    </row>
    <row r="38" spans="1:15" ht="12.75">
      <c r="A38" s="154" t="s">
        <v>38</v>
      </c>
      <c r="B38" s="157" t="s">
        <v>39</v>
      </c>
      <c r="C38" s="375"/>
      <c r="D38" s="375"/>
      <c r="E38" s="375"/>
      <c r="F38" s="375">
        <v>817173</v>
      </c>
      <c r="G38" s="375"/>
      <c r="H38" s="375"/>
      <c r="I38" s="375"/>
      <c r="J38" s="375"/>
      <c r="K38" s="375"/>
      <c r="L38" s="375"/>
      <c r="M38" s="375"/>
      <c r="N38" s="375"/>
      <c r="O38" s="374">
        <f>SUM(C38:N38)</f>
        <v>817173</v>
      </c>
    </row>
    <row r="39" spans="1:15" ht="12.75">
      <c r="A39" s="154" t="s">
        <v>40</v>
      </c>
      <c r="B39" s="157" t="s">
        <v>41</v>
      </c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4">
        <f>SUM(C39:N39)</f>
        <v>0</v>
      </c>
    </row>
    <row r="40" spans="1:15" ht="12.75">
      <c r="A40" s="154"/>
      <c r="B40" s="157" t="s">
        <v>315</v>
      </c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4"/>
    </row>
    <row r="41" spans="1:15" ht="12.75">
      <c r="A41" s="154"/>
      <c r="B41" s="157" t="s">
        <v>316</v>
      </c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4"/>
    </row>
    <row r="42" spans="1:15" ht="12.75">
      <c r="A42" s="154" t="s">
        <v>42</v>
      </c>
      <c r="B42" s="157" t="s">
        <v>43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4">
        <f>SUM(C42:N42)</f>
        <v>0</v>
      </c>
    </row>
    <row r="43" spans="1:15" ht="12.75">
      <c r="A43" s="154"/>
      <c r="B43" s="157" t="s">
        <v>358</v>
      </c>
      <c r="C43" s="375">
        <v>498541</v>
      </c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4">
        <f>SUM(C43:N43)</f>
        <v>498541</v>
      </c>
    </row>
    <row r="44" spans="1:15" ht="12.75">
      <c r="A44" s="154"/>
      <c r="B44" s="157" t="s">
        <v>317</v>
      </c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4">
        <f>SUM(C44:N44)</f>
        <v>0</v>
      </c>
    </row>
    <row r="45" spans="1:15" ht="12.75">
      <c r="A45" s="154" t="s">
        <v>318</v>
      </c>
      <c r="B45" s="157" t="s">
        <v>319</v>
      </c>
      <c r="C45" s="375"/>
      <c r="D45" s="375"/>
      <c r="E45" s="375"/>
      <c r="F45" s="375"/>
      <c r="G45" s="375">
        <v>10492649</v>
      </c>
      <c r="H45" s="375"/>
      <c r="I45" s="375">
        <f>661875-239550-25000</f>
        <v>397325</v>
      </c>
      <c r="J45" s="375"/>
      <c r="K45" s="375"/>
      <c r="L45" s="375"/>
      <c r="M45" s="375"/>
      <c r="N45" s="375"/>
      <c r="O45" s="374">
        <f>SUM(C45:N45)</f>
        <v>10889974</v>
      </c>
    </row>
    <row r="46" spans="1:15" ht="13.5" thickBot="1">
      <c r="A46" s="158" t="s">
        <v>320</v>
      </c>
      <c r="B46" s="159" t="s">
        <v>321</v>
      </c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4">
        <f>SUM(C46:N46)</f>
        <v>0</v>
      </c>
    </row>
    <row r="47" spans="1:15" ht="13.5" thickBot="1">
      <c r="A47" s="160"/>
      <c r="B47" s="160" t="s">
        <v>322</v>
      </c>
      <c r="C47" s="373">
        <f aca="true" t="shared" si="3" ref="C47:O47">SUM(C30:C46)</f>
        <v>1639949</v>
      </c>
      <c r="D47" s="373">
        <f t="shared" si="3"/>
        <v>1247712</v>
      </c>
      <c r="E47" s="373">
        <f t="shared" si="3"/>
        <v>2260699</v>
      </c>
      <c r="F47" s="373">
        <f t="shared" si="3"/>
        <v>2276989</v>
      </c>
      <c r="G47" s="373">
        <f t="shared" si="3"/>
        <v>12593743</v>
      </c>
      <c r="H47" s="373">
        <f t="shared" si="3"/>
        <v>18979379</v>
      </c>
      <c r="I47" s="373">
        <f t="shared" si="3"/>
        <v>2637342</v>
      </c>
      <c r="J47" s="373">
        <f t="shared" si="3"/>
        <v>3140863</v>
      </c>
      <c r="K47" s="373">
        <f t="shared" si="3"/>
        <v>1908381</v>
      </c>
      <c r="L47" s="373">
        <f t="shared" si="3"/>
        <v>1583881</v>
      </c>
      <c r="M47" s="373">
        <f t="shared" si="3"/>
        <v>1826175</v>
      </c>
      <c r="N47" s="373">
        <f t="shared" si="3"/>
        <v>28169569</v>
      </c>
      <c r="O47" s="372">
        <f t="shared" si="3"/>
        <v>78264682</v>
      </c>
    </row>
    <row r="48" spans="1:15" ht="13.5" thickBot="1">
      <c r="A48" s="163"/>
      <c r="B48" s="164" t="s">
        <v>323</v>
      </c>
      <c r="C48" s="371">
        <f aca="true" t="shared" si="4" ref="C48:N48">C28-C47</f>
        <v>623862</v>
      </c>
      <c r="D48" s="371">
        <f t="shared" si="4"/>
        <v>3626191</v>
      </c>
      <c r="E48" s="371">
        <f t="shared" si="4"/>
        <v>3739387</v>
      </c>
      <c r="F48" s="371">
        <f t="shared" si="4"/>
        <v>2832440</v>
      </c>
      <c r="G48" s="371">
        <f t="shared" si="4"/>
        <v>3310818</v>
      </c>
      <c r="H48" s="371">
        <f t="shared" si="4"/>
        <v>3075792</v>
      </c>
      <c r="I48" s="371">
        <f t="shared" si="4"/>
        <v>1748492</v>
      </c>
      <c r="J48" s="371">
        <f t="shared" si="4"/>
        <v>1985352</v>
      </c>
      <c r="K48" s="371">
        <f t="shared" si="4"/>
        <v>1569683</v>
      </c>
      <c r="L48" s="371">
        <f t="shared" si="4"/>
        <v>1174614</v>
      </c>
      <c r="M48" s="371">
        <f t="shared" si="4"/>
        <v>561151</v>
      </c>
      <c r="N48" s="371">
        <f t="shared" si="4"/>
        <v>0</v>
      </c>
      <c r="O48" s="370"/>
    </row>
    <row r="49" spans="1:15" ht="12.75">
      <c r="A49" s="1"/>
      <c r="B49" s="1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</row>
    <row r="50" spans="1:15" ht="12.7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15" ht="12.7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</row>
    <row r="52" spans="1:15" ht="12.7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</row>
    <row r="53" spans="1:15" ht="12.7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</row>
    <row r="54" spans="1:15" ht="12.7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1:15" ht="12.7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</row>
    <row r="56" spans="1:15" ht="12.7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</row>
    <row r="57" spans="1:15" ht="12.7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</row>
    <row r="58" spans="1:15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</row>
  </sheetData>
  <sheetProtection password="AF00" sheet="1" objects="1" scenarios="1" selectLockedCells="1" selectUnlockedCells="1"/>
  <mergeCells count="5">
    <mergeCell ref="A2:O4"/>
    <mergeCell ref="B5:O5"/>
    <mergeCell ref="B6:O6"/>
    <mergeCell ref="B7:O7"/>
    <mergeCell ref="B1:O1"/>
  </mergeCells>
  <printOptions/>
  <pageMargins left="0.2362204724409449" right="0.2362204724409449" top="0.35433070866141736" bottom="0.5511811023622047" header="0.2362204724409449" footer="0.35433070866141736"/>
  <pageSetup horizontalDpi="200" verticalDpi="2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75390625" style="0" customWidth="1"/>
    <col min="2" max="2" width="34.75390625" style="0" customWidth="1"/>
    <col min="3" max="3" width="17.375" style="0" customWidth="1"/>
  </cols>
  <sheetData>
    <row r="1" spans="1:6" ht="15.75">
      <c r="A1" s="132"/>
      <c r="B1" s="570" t="s">
        <v>487</v>
      </c>
      <c r="C1" s="570"/>
      <c r="D1" s="570"/>
      <c r="E1" s="416"/>
      <c r="F1" s="416"/>
    </row>
    <row r="2" spans="1:4" ht="15.75">
      <c r="A2" s="133"/>
      <c r="B2" s="133"/>
      <c r="C2" s="133"/>
      <c r="D2" s="134"/>
    </row>
    <row r="3" spans="1:4" ht="15.75">
      <c r="A3" s="134"/>
      <c r="B3" s="134"/>
      <c r="C3" s="134"/>
      <c r="D3" s="134"/>
    </row>
    <row r="4" spans="1:4" ht="15.75">
      <c r="A4" s="569" t="s">
        <v>2</v>
      </c>
      <c r="B4" s="569"/>
      <c r="C4" s="569"/>
      <c r="D4" s="569"/>
    </row>
    <row r="5" spans="1:4" ht="15.75">
      <c r="A5" s="569" t="s">
        <v>277</v>
      </c>
      <c r="B5" s="569"/>
      <c r="C5" s="569"/>
      <c r="D5" s="569"/>
    </row>
    <row r="6" spans="1:4" ht="15.75">
      <c r="A6" s="569" t="s">
        <v>392</v>
      </c>
      <c r="B6" s="569"/>
      <c r="C6" s="569"/>
      <c r="D6" s="569"/>
    </row>
    <row r="7" spans="1:4" ht="15.75">
      <c r="A7" s="133"/>
      <c r="B7" s="133"/>
      <c r="C7" s="133"/>
      <c r="D7" s="132"/>
    </row>
    <row r="8" spans="1:4" ht="15.75">
      <c r="A8" s="133"/>
      <c r="B8" s="133"/>
      <c r="C8" s="133"/>
      <c r="D8" s="132"/>
    </row>
    <row r="9" spans="1:4" ht="15.75">
      <c r="A9" s="133"/>
      <c r="B9" s="133"/>
      <c r="C9" s="133"/>
      <c r="D9" s="132"/>
    </row>
    <row r="10" spans="1:4" ht="15.75">
      <c r="A10" s="133"/>
      <c r="B10" s="133"/>
      <c r="C10" s="133"/>
      <c r="D10" s="132"/>
    </row>
    <row r="11" spans="1:4" ht="15.75">
      <c r="A11" s="216" t="s">
        <v>18</v>
      </c>
      <c r="B11" s="135" t="s">
        <v>278</v>
      </c>
      <c r="C11" s="133"/>
      <c r="D11" s="132"/>
    </row>
    <row r="12" spans="1:4" ht="15.75">
      <c r="A12" s="216"/>
      <c r="B12" s="135"/>
      <c r="C12" s="133"/>
      <c r="D12" s="132"/>
    </row>
    <row r="13" spans="1:4" ht="15.75">
      <c r="A13" s="216"/>
      <c r="B13" s="135"/>
      <c r="C13" s="136"/>
      <c r="D13" s="132"/>
    </row>
    <row r="14" spans="1:4" ht="16.5">
      <c r="A14" s="217" t="s">
        <v>424</v>
      </c>
      <c r="B14" s="137" t="s">
        <v>279</v>
      </c>
      <c r="C14" s="138"/>
      <c r="D14" s="139"/>
    </row>
    <row r="15" spans="1:4" ht="18">
      <c r="A15" s="218" t="s">
        <v>422</v>
      </c>
      <c r="B15" s="132" t="s">
        <v>280</v>
      </c>
      <c r="C15" s="140">
        <v>1599000</v>
      </c>
      <c r="D15" s="132" t="s">
        <v>281</v>
      </c>
    </row>
    <row r="16" spans="1:4" ht="15.75">
      <c r="A16" s="215"/>
      <c r="B16" s="134" t="s">
        <v>282</v>
      </c>
      <c r="C16" s="141">
        <f>SUM(C15)</f>
        <v>1599000</v>
      </c>
      <c r="D16" s="134" t="s">
        <v>281</v>
      </c>
    </row>
    <row r="17" spans="1:4" ht="15.75">
      <c r="A17" s="132"/>
      <c r="B17" s="134"/>
      <c r="C17" s="141"/>
      <c r="D17" s="134"/>
    </row>
    <row r="18" spans="1:4" ht="15.75">
      <c r="A18" s="132"/>
      <c r="B18" s="142"/>
      <c r="C18" s="141"/>
      <c r="D18" s="132"/>
    </row>
    <row r="19" spans="1:4" ht="18">
      <c r="A19" s="132"/>
      <c r="B19" s="132"/>
      <c r="C19" s="143"/>
      <c r="D19" s="132"/>
    </row>
    <row r="20" spans="1:4" ht="15.75">
      <c r="A20" s="134"/>
      <c r="B20" s="134"/>
      <c r="C20" s="141"/>
      <c r="D20" s="134"/>
    </row>
    <row r="21" spans="1:4" ht="15.75">
      <c r="A21" s="144"/>
      <c r="B21" s="144"/>
      <c r="C21" s="144"/>
      <c r="D21" s="144"/>
    </row>
  </sheetData>
  <sheetProtection password="AF00" sheet="1" objects="1" scenarios="1" selectLockedCells="1" selectUnlockedCells="1"/>
  <mergeCells count="4">
    <mergeCell ref="A4:D4"/>
    <mergeCell ref="A5:D5"/>
    <mergeCell ref="A6:D6"/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578" t="s">
        <v>488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15.7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>
      <c r="A3" s="579" t="s">
        <v>8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</row>
    <row r="4" spans="1:13" ht="15.75">
      <c r="A4" s="579" t="s">
        <v>229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</row>
    <row r="5" spans="1:13" ht="15.75">
      <c r="A5" s="579" t="s">
        <v>386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</row>
    <row r="6" spans="1:13" ht="15.75">
      <c r="A6" s="110" t="s">
        <v>230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18.7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.75">
      <c r="A8" s="112" t="s">
        <v>231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9.5" thickBo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6.5" thickBot="1">
      <c r="A10" s="571" t="s">
        <v>232</v>
      </c>
      <c r="B10" s="572"/>
      <c r="C10" s="572"/>
      <c r="D10" s="575" t="s">
        <v>233</v>
      </c>
      <c r="E10" s="576"/>
      <c r="F10" s="577"/>
      <c r="G10" s="575" t="s">
        <v>234</v>
      </c>
      <c r="H10" s="576"/>
      <c r="I10" s="577"/>
      <c r="J10" s="575" t="s">
        <v>235</v>
      </c>
      <c r="K10" s="576"/>
      <c r="L10" s="577"/>
      <c r="M10" s="580" t="s">
        <v>236</v>
      </c>
    </row>
    <row r="11" spans="1:13" ht="15.75">
      <c r="A11" s="573"/>
      <c r="B11" s="574"/>
      <c r="C11" s="574"/>
      <c r="D11" s="114" t="s">
        <v>237</v>
      </c>
      <c r="E11" s="115" t="s">
        <v>238</v>
      </c>
      <c r="F11" s="116" t="s">
        <v>239</v>
      </c>
      <c r="G11" s="115" t="s">
        <v>240</v>
      </c>
      <c r="H11" s="115" t="s">
        <v>238</v>
      </c>
      <c r="I11" s="116" t="s">
        <v>241</v>
      </c>
      <c r="J11" s="115" t="s">
        <v>240</v>
      </c>
      <c r="K11" s="116" t="s">
        <v>238</v>
      </c>
      <c r="L11" s="115" t="s">
        <v>241</v>
      </c>
      <c r="M11" s="581"/>
    </row>
    <row r="12" spans="1:13" ht="16.5" thickBot="1">
      <c r="A12" s="573"/>
      <c r="B12" s="574"/>
      <c r="C12" s="574"/>
      <c r="D12" s="117" t="s">
        <v>242</v>
      </c>
      <c r="E12" s="118" t="s">
        <v>243</v>
      </c>
      <c r="F12" s="119" t="s">
        <v>244</v>
      </c>
      <c r="G12" s="120" t="s">
        <v>242</v>
      </c>
      <c r="H12" s="118" t="s">
        <v>243</v>
      </c>
      <c r="I12" s="119" t="s">
        <v>244</v>
      </c>
      <c r="J12" s="120" t="s">
        <v>242</v>
      </c>
      <c r="K12" s="119" t="s">
        <v>243</v>
      </c>
      <c r="L12" s="118" t="s">
        <v>244</v>
      </c>
      <c r="M12" s="582"/>
    </row>
    <row r="13" spans="1:13" ht="12.75">
      <c r="A13" s="583"/>
      <c r="B13" s="584"/>
      <c r="C13" s="585"/>
      <c r="D13" s="592"/>
      <c r="E13" s="595"/>
      <c r="F13" s="598"/>
      <c r="G13" s="601"/>
      <c r="H13" s="601"/>
      <c r="I13" s="601"/>
      <c r="J13" s="595"/>
      <c r="K13" s="595"/>
      <c r="L13" s="595"/>
      <c r="M13" s="603">
        <f>L13+I13+F13</f>
        <v>0</v>
      </c>
    </row>
    <row r="14" spans="1:13" ht="12.75">
      <c r="A14" s="586"/>
      <c r="B14" s="587"/>
      <c r="C14" s="588"/>
      <c r="D14" s="593"/>
      <c r="E14" s="596"/>
      <c r="F14" s="599"/>
      <c r="G14" s="596"/>
      <c r="H14" s="596"/>
      <c r="I14" s="596"/>
      <c r="J14" s="596"/>
      <c r="K14" s="596"/>
      <c r="L14" s="596"/>
      <c r="M14" s="596"/>
    </row>
    <row r="15" spans="1:13" ht="13.5" thickBot="1">
      <c r="A15" s="589"/>
      <c r="B15" s="590"/>
      <c r="C15" s="591"/>
      <c r="D15" s="594"/>
      <c r="E15" s="597"/>
      <c r="F15" s="600"/>
      <c r="G15" s="602"/>
      <c r="H15" s="602"/>
      <c r="I15" s="602"/>
      <c r="J15" s="597"/>
      <c r="K15" s="597"/>
      <c r="L15" s="597"/>
      <c r="M15" s="597"/>
    </row>
    <row r="16" spans="1:13" ht="12.75">
      <c r="A16" s="604" t="s">
        <v>245</v>
      </c>
      <c r="B16" s="605"/>
      <c r="C16" s="606"/>
      <c r="D16" s="610"/>
      <c r="E16" s="610"/>
      <c r="F16" s="612">
        <f>SUM(F13)</f>
        <v>0</v>
      </c>
      <c r="G16" s="610"/>
      <c r="H16" s="610"/>
      <c r="I16" s="610"/>
      <c r="J16" s="610"/>
      <c r="K16" s="610"/>
      <c r="L16" s="610"/>
      <c r="M16" s="614">
        <f>M13</f>
        <v>0</v>
      </c>
    </row>
    <row r="17" spans="1:13" ht="13.5" thickBot="1">
      <c r="A17" s="607"/>
      <c r="B17" s="608"/>
      <c r="C17" s="609"/>
      <c r="D17" s="611"/>
      <c r="E17" s="611"/>
      <c r="F17" s="613"/>
      <c r="G17" s="611"/>
      <c r="H17" s="611"/>
      <c r="I17" s="611"/>
      <c r="J17" s="611"/>
      <c r="K17" s="611"/>
      <c r="L17" s="611"/>
      <c r="M17" s="611"/>
    </row>
    <row r="18" spans="1:13" ht="18.75">
      <c r="A18" s="111"/>
      <c r="B18" s="111"/>
      <c r="C18" s="111"/>
      <c r="D18" s="111"/>
      <c r="E18" s="111"/>
      <c r="F18" s="121"/>
      <c r="G18" s="111"/>
      <c r="H18" s="111"/>
      <c r="I18" s="111"/>
      <c r="J18" s="111"/>
      <c r="K18" s="111"/>
      <c r="L18" s="111"/>
      <c r="M18" s="111"/>
    </row>
    <row r="19" spans="1:13" ht="15.75">
      <c r="A19" s="112" t="s">
        <v>246</v>
      </c>
      <c r="B19" s="112"/>
      <c r="C19" s="112"/>
      <c r="D19" s="112"/>
      <c r="E19" s="112"/>
      <c r="F19" s="122"/>
      <c r="G19" s="112"/>
      <c r="H19" s="112"/>
      <c r="I19" s="112"/>
      <c r="J19" s="112"/>
      <c r="K19" s="112"/>
      <c r="L19" s="112"/>
      <c r="M19" s="112"/>
    </row>
    <row r="20" spans="1:13" ht="18.75">
      <c r="A20" s="123" t="s">
        <v>247</v>
      </c>
      <c r="B20" s="123"/>
      <c r="C20" s="123"/>
      <c r="D20" s="123"/>
      <c r="E20" s="123"/>
      <c r="F20" s="124" t="s">
        <v>248</v>
      </c>
      <c r="G20" s="125" t="s">
        <v>244</v>
      </c>
      <c r="H20" s="111"/>
      <c r="I20" s="111"/>
      <c r="J20" s="111"/>
      <c r="K20" s="111"/>
      <c r="L20" s="111"/>
      <c r="M20" s="111"/>
    </row>
    <row r="21" spans="1:13" ht="18.75">
      <c r="A21" s="123" t="s">
        <v>249</v>
      </c>
      <c r="B21" s="123"/>
      <c r="C21" s="123"/>
      <c r="D21" s="123"/>
      <c r="E21" s="123"/>
      <c r="F21" s="124"/>
      <c r="G21" s="125" t="s">
        <v>244</v>
      </c>
      <c r="H21" s="111"/>
      <c r="I21" s="111"/>
      <c r="J21" s="111"/>
      <c r="K21" s="111"/>
      <c r="L21" s="111"/>
      <c r="M21" s="111"/>
    </row>
    <row r="22" spans="1:13" ht="18.75">
      <c r="A22" s="123" t="s">
        <v>250</v>
      </c>
      <c r="B22" s="123"/>
      <c r="C22" s="123"/>
      <c r="D22" s="123"/>
      <c r="E22" s="123"/>
      <c r="F22" s="126"/>
      <c r="G22" s="127" t="s">
        <v>244</v>
      </c>
      <c r="H22" s="111"/>
      <c r="I22" s="111"/>
      <c r="J22" s="111"/>
      <c r="K22" s="111"/>
      <c r="L22" s="111"/>
      <c r="M22" s="111"/>
    </row>
    <row r="23" spans="1:13" ht="18.75">
      <c r="A23" s="123" t="s">
        <v>251</v>
      </c>
      <c r="B23" s="123"/>
      <c r="C23" s="123"/>
      <c r="D23" s="123"/>
      <c r="E23" s="123"/>
      <c r="F23" s="128">
        <f>SUM(F20:F22)</f>
        <v>0</v>
      </c>
      <c r="G23" s="129" t="s">
        <v>244</v>
      </c>
      <c r="H23" s="111"/>
      <c r="I23" s="111"/>
      <c r="J23" s="111"/>
      <c r="K23" s="111"/>
      <c r="L23" s="111"/>
      <c r="M23" s="111"/>
    </row>
    <row r="24" spans="1:13" ht="15.75">
      <c r="A24" s="112" t="s">
        <v>252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.75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5.7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5.75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ht="15.7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15.7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3" ht="15.7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ht="15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ht="18.75">
      <c r="A32" s="123"/>
      <c r="B32" s="123"/>
      <c r="C32" s="123"/>
      <c r="D32" s="123"/>
      <c r="E32" s="123"/>
      <c r="F32" s="128"/>
      <c r="G32" s="129"/>
      <c r="H32" s="111"/>
      <c r="I32" s="111"/>
      <c r="J32" s="111"/>
      <c r="K32" s="111"/>
      <c r="L32" s="111"/>
      <c r="M32" s="111"/>
    </row>
    <row r="33" spans="1:13" ht="19.5" thickBot="1">
      <c r="A33" s="123"/>
      <c r="B33" s="123"/>
      <c r="C33" s="123"/>
      <c r="D33" s="123"/>
      <c r="E33" s="123"/>
      <c r="F33" s="128"/>
      <c r="G33" s="129"/>
      <c r="H33" s="111"/>
      <c r="I33" s="111"/>
      <c r="J33" s="111"/>
      <c r="K33" s="111"/>
      <c r="L33" s="111"/>
      <c r="M33" s="111"/>
    </row>
    <row r="34" spans="1:13" ht="16.5" thickBot="1">
      <c r="A34" s="571" t="s">
        <v>232</v>
      </c>
      <c r="B34" s="572"/>
      <c r="C34" s="572"/>
      <c r="D34" s="575" t="s">
        <v>233</v>
      </c>
      <c r="E34" s="576"/>
      <c r="F34" s="577"/>
      <c r="G34" s="575" t="s">
        <v>234</v>
      </c>
      <c r="H34" s="576"/>
      <c r="I34" s="577"/>
      <c r="J34" s="575" t="s">
        <v>235</v>
      </c>
      <c r="K34" s="576"/>
      <c r="L34" s="577"/>
      <c r="M34" s="580" t="s">
        <v>253</v>
      </c>
    </row>
    <row r="35" spans="1:13" ht="15.75">
      <c r="A35" s="573"/>
      <c r="B35" s="574"/>
      <c r="C35" s="574"/>
      <c r="D35" s="114" t="s">
        <v>237</v>
      </c>
      <c r="E35" s="115" t="s">
        <v>238</v>
      </c>
      <c r="F35" s="116" t="s">
        <v>239</v>
      </c>
      <c r="G35" s="115" t="s">
        <v>240</v>
      </c>
      <c r="H35" s="115" t="s">
        <v>238</v>
      </c>
      <c r="I35" s="116" t="s">
        <v>241</v>
      </c>
      <c r="J35" s="115" t="s">
        <v>240</v>
      </c>
      <c r="K35" s="116" t="s">
        <v>238</v>
      </c>
      <c r="L35" s="115" t="s">
        <v>241</v>
      </c>
      <c r="M35" s="581"/>
    </row>
    <row r="36" spans="1:13" ht="16.5" thickBot="1">
      <c r="A36" s="573"/>
      <c r="B36" s="574"/>
      <c r="C36" s="574"/>
      <c r="D36" s="117" t="s">
        <v>242</v>
      </c>
      <c r="E36" s="118" t="s">
        <v>243</v>
      </c>
      <c r="F36" s="119" t="s">
        <v>244</v>
      </c>
      <c r="G36" s="120" t="s">
        <v>242</v>
      </c>
      <c r="H36" s="118" t="s">
        <v>243</v>
      </c>
      <c r="I36" s="119" t="s">
        <v>244</v>
      </c>
      <c r="J36" s="120" t="s">
        <v>242</v>
      </c>
      <c r="K36" s="119" t="s">
        <v>243</v>
      </c>
      <c r="L36" s="118" t="s">
        <v>244</v>
      </c>
      <c r="M36" s="582"/>
    </row>
    <row r="37" spans="1:13" ht="12.75">
      <c r="A37" s="583" t="s">
        <v>254</v>
      </c>
      <c r="B37" s="584"/>
      <c r="C37" s="585"/>
      <c r="D37" s="592" t="s">
        <v>255</v>
      </c>
      <c r="E37" s="595"/>
      <c r="F37" s="598">
        <v>84</v>
      </c>
      <c r="G37" s="601"/>
      <c r="H37" s="601"/>
      <c r="I37" s="601"/>
      <c r="J37" s="595"/>
      <c r="K37" s="595"/>
      <c r="L37" s="595"/>
      <c r="M37" s="603">
        <f>L37+I37+F37</f>
        <v>84</v>
      </c>
    </row>
    <row r="38" spans="1:13" ht="12.75">
      <c r="A38" s="586"/>
      <c r="B38" s="587"/>
      <c r="C38" s="588"/>
      <c r="D38" s="593"/>
      <c r="E38" s="596"/>
      <c r="F38" s="599"/>
      <c r="G38" s="596"/>
      <c r="H38" s="596"/>
      <c r="I38" s="596"/>
      <c r="J38" s="596"/>
      <c r="K38" s="596"/>
      <c r="L38" s="596"/>
      <c r="M38" s="596"/>
    </row>
    <row r="39" spans="1:13" ht="12.75">
      <c r="A39" s="589"/>
      <c r="B39" s="590"/>
      <c r="C39" s="591"/>
      <c r="D39" s="594"/>
      <c r="E39" s="597"/>
      <c r="F39" s="600"/>
      <c r="G39" s="596"/>
      <c r="H39" s="596"/>
      <c r="I39" s="596"/>
      <c r="J39" s="597"/>
      <c r="K39" s="597"/>
      <c r="L39" s="597"/>
      <c r="M39" s="597"/>
    </row>
    <row r="40" spans="1:13" ht="12.75">
      <c r="A40" s="583" t="s">
        <v>256</v>
      </c>
      <c r="B40" s="584"/>
      <c r="C40" s="585"/>
      <c r="D40" s="592" t="s">
        <v>257</v>
      </c>
      <c r="E40" s="595"/>
      <c r="F40" s="598"/>
      <c r="G40" s="615"/>
      <c r="H40" s="615"/>
      <c r="I40" s="615"/>
      <c r="J40" s="595"/>
      <c r="K40" s="595"/>
      <c r="L40" s="595"/>
      <c r="M40" s="603">
        <f>L40+I40+F40</f>
        <v>0</v>
      </c>
    </row>
    <row r="41" spans="1:13" ht="12.75">
      <c r="A41" s="586"/>
      <c r="B41" s="587"/>
      <c r="C41" s="588"/>
      <c r="D41" s="593"/>
      <c r="E41" s="596"/>
      <c r="F41" s="599"/>
      <c r="G41" s="615"/>
      <c r="H41" s="615"/>
      <c r="I41" s="615"/>
      <c r="J41" s="596"/>
      <c r="K41" s="596"/>
      <c r="L41" s="596"/>
      <c r="M41" s="596"/>
    </row>
    <row r="42" spans="1:13" ht="12.75">
      <c r="A42" s="589"/>
      <c r="B42" s="590"/>
      <c r="C42" s="591"/>
      <c r="D42" s="594"/>
      <c r="E42" s="597"/>
      <c r="F42" s="600"/>
      <c r="G42" s="615"/>
      <c r="H42" s="615"/>
      <c r="I42" s="615"/>
      <c r="J42" s="597"/>
      <c r="K42" s="597"/>
      <c r="L42" s="597"/>
      <c r="M42" s="597"/>
    </row>
    <row r="43" spans="1:13" ht="12.75">
      <c r="A43" s="583" t="s">
        <v>258</v>
      </c>
      <c r="B43" s="584"/>
      <c r="C43" s="585"/>
      <c r="D43" s="592" t="s">
        <v>259</v>
      </c>
      <c r="E43" s="595"/>
      <c r="F43" s="598"/>
      <c r="G43" s="615"/>
      <c r="H43" s="615"/>
      <c r="I43" s="615"/>
      <c r="J43" s="595"/>
      <c r="K43" s="595"/>
      <c r="L43" s="595"/>
      <c r="M43" s="603">
        <f>L43+I43+F43</f>
        <v>0</v>
      </c>
    </row>
    <row r="44" spans="1:13" ht="12.75">
      <c r="A44" s="586"/>
      <c r="B44" s="587"/>
      <c r="C44" s="588"/>
      <c r="D44" s="593"/>
      <c r="E44" s="596"/>
      <c r="F44" s="599"/>
      <c r="G44" s="615"/>
      <c r="H44" s="615"/>
      <c r="I44" s="615"/>
      <c r="J44" s="596"/>
      <c r="K44" s="596"/>
      <c r="L44" s="596"/>
      <c r="M44" s="596"/>
    </row>
    <row r="45" spans="1:13" ht="12.75">
      <c r="A45" s="589"/>
      <c r="B45" s="590"/>
      <c r="C45" s="591"/>
      <c r="D45" s="594"/>
      <c r="E45" s="597"/>
      <c r="F45" s="600"/>
      <c r="G45" s="615"/>
      <c r="H45" s="615"/>
      <c r="I45" s="615"/>
      <c r="J45" s="597"/>
      <c r="K45" s="597"/>
      <c r="L45" s="597"/>
      <c r="M45" s="597"/>
    </row>
    <row r="46" spans="1:13" ht="12.75">
      <c r="A46" s="583" t="s">
        <v>260</v>
      </c>
      <c r="B46" s="584"/>
      <c r="C46" s="585"/>
      <c r="D46" s="592"/>
      <c r="E46" s="595"/>
      <c r="F46" s="598"/>
      <c r="G46" s="617" t="s">
        <v>261</v>
      </c>
      <c r="H46" s="615"/>
      <c r="I46" s="616"/>
      <c r="J46" s="595"/>
      <c r="K46" s="595"/>
      <c r="L46" s="595"/>
      <c r="M46" s="603">
        <f>L46+I46+F46</f>
        <v>0</v>
      </c>
    </row>
    <row r="47" spans="1:13" ht="12.75">
      <c r="A47" s="586"/>
      <c r="B47" s="587"/>
      <c r="C47" s="588"/>
      <c r="D47" s="593"/>
      <c r="E47" s="596"/>
      <c r="F47" s="599"/>
      <c r="G47" s="617"/>
      <c r="H47" s="615"/>
      <c r="I47" s="616"/>
      <c r="J47" s="596"/>
      <c r="K47" s="596"/>
      <c r="L47" s="596"/>
      <c r="M47" s="596"/>
    </row>
    <row r="48" spans="1:13" ht="12.75">
      <c r="A48" s="589"/>
      <c r="B48" s="590"/>
      <c r="C48" s="591"/>
      <c r="D48" s="594"/>
      <c r="E48" s="597"/>
      <c r="F48" s="600"/>
      <c r="G48" s="617"/>
      <c r="H48" s="615"/>
      <c r="I48" s="616"/>
      <c r="J48" s="597"/>
      <c r="K48" s="597"/>
      <c r="L48" s="597"/>
      <c r="M48" s="597"/>
    </row>
    <row r="49" spans="1:13" ht="12.75">
      <c r="A49" s="583" t="s">
        <v>260</v>
      </c>
      <c r="B49" s="584"/>
      <c r="C49" s="585"/>
      <c r="D49" s="592"/>
      <c r="E49" s="595"/>
      <c r="F49" s="598"/>
      <c r="G49" s="617" t="s">
        <v>262</v>
      </c>
      <c r="H49" s="615"/>
      <c r="I49" s="616"/>
      <c r="J49" s="595"/>
      <c r="K49" s="595"/>
      <c r="L49" s="595"/>
      <c r="M49" s="603">
        <f>L49+I49+F49</f>
        <v>0</v>
      </c>
    </row>
    <row r="50" spans="1:13" ht="12.75">
      <c r="A50" s="586"/>
      <c r="B50" s="587"/>
      <c r="C50" s="588"/>
      <c r="D50" s="593"/>
      <c r="E50" s="596"/>
      <c r="F50" s="599"/>
      <c r="G50" s="617"/>
      <c r="H50" s="615"/>
      <c r="I50" s="616"/>
      <c r="J50" s="596"/>
      <c r="K50" s="596"/>
      <c r="L50" s="596"/>
      <c r="M50" s="596"/>
    </row>
    <row r="51" spans="1:13" ht="12.75">
      <c r="A51" s="589"/>
      <c r="B51" s="590"/>
      <c r="C51" s="591"/>
      <c r="D51" s="594"/>
      <c r="E51" s="597"/>
      <c r="F51" s="600"/>
      <c r="G51" s="617"/>
      <c r="H51" s="615"/>
      <c r="I51" s="616"/>
      <c r="J51" s="597"/>
      <c r="K51" s="597"/>
      <c r="L51" s="597"/>
      <c r="M51" s="597"/>
    </row>
    <row r="52" spans="1:13" ht="12.75">
      <c r="A52" s="583" t="s">
        <v>260</v>
      </c>
      <c r="B52" s="584"/>
      <c r="C52" s="585"/>
      <c r="D52" s="592"/>
      <c r="E52" s="595"/>
      <c r="F52" s="598"/>
      <c r="G52" s="617" t="s">
        <v>263</v>
      </c>
      <c r="H52" s="615"/>
      <c r="I52" s="616"/>
      <c r="J52" s="595"/>
      <c r="K52" s="595"/>
      <c r="L52" s="595"/>
      <c r="M52" s="603">
        <f>L52+I52+F52</f>
        <v>0</v>
      </c>
    </row>
    <row r="53" spans="1:13" ht="12.75">
      <c r="A53" s="586"/>
      <c r="B53" s="587"/>
      <c r="C53" s="588"/>
      <c r="D53" s="593"/>
      <c r="E53" s="596"/>
      <c r="F53" s="599"/>
      <c r="G53" s="617"/>
      <c r="H53" s="615"/>
      <c r="I53" s="616"/>
      <c r="J53" s="596"/>
      <c r="K53" s="596"/>
      <c r="L53" s="596"/>
      <c r="M53" s="596"/>
    </row>
    <row r="54" spans="1:13" ht="12.75">
      <c r="A54" s="589"/>
      <c r="B54" s="590"/>
      <c r="C54" s="591"/>
      <c r="D54" s="594"/>
      <c r="E54" s="597"/>
      <c r="F54" s="600"/>
      <c r="G54" s="617"/>
      <c r="H54" s="615"/>
      <c r="I54" s="616"/>
      <c r="J54" s="597"/>
      <c r="K54" s="597"/>
      <c r="L54" s="597"/>
      <c r="M54" s="597"/>
    </row>
    <row r="55" spans="1:13" ht="12.75">
      <c r="A55" s="583" t="s">
        <v>260</v>
      </c>
      <c r="B55" s="584"/>
      <c r="C55" s="585"/>
      <c r="D55" s="592"/>
      <c r="E55" s="595"/>
      <c r="F55" s="598"/>
      <c r="G55" s="617" t="s">
        <v>264</v>
      </c>
      <c r="H55" s="615"/>
      <c r="I55" s="616"/>
      <c r="J55" s="595"/>
      <c r="K55" s="595"/>
      <c r="L55" s="595"/>
      <c r="M55" s="603">
        <f>L55+I55+F55</f>
        <v>0</v>
      </c>
    </row>
    <row r="56" spans="1:13" ht="12.75">
      <c r="A56" s="586"/>
      <c r="B56" s="587"/>
      <c r="C56" s="588"/>
      <c r="D56" s="593"/>
      <c r="E56" s="596"/>
      <c r="F56" s="599"/>
      <c r="G56" s="617"/>
      <c r="H56" s="615"/>
      <c r="I56" s="616"/>
      <c r="J56" s="596"/>
      <c r="K56" s="596"/>
      <c r="L56" s="596"/>
      <c r="M56" s="596"/>
    </row>
    <row r="57" spans="1:13" ht="13.5" thickBot="1">
      <c r="A57" s="589"/>
      <c r="B57" s="590"/>
      <c r="C57" s="591"/>
      <c r="D57" s="594"/>
      <c r="E57" s="597"/>
      <c r="F57" s="600"/>
      <c r="G57" s="617"/>
      <c r="H57" s="615"/>
      <c r="I57" s="616"/>
      <c r="J57" s="597"/>
      <c r="K57" s="597"/>
      <c r="L57" s="597"/>
      <c r="M57" s="597"/>
    </row>
    <row r="58" spans="1:13" ht="12.75">
      <c r="A58" s="604" t="s">
        <v>245</v>
      </c>
      <c r="B58" s="605"/>
      <c r="C58" s="606"/>
      <c r="D58" s="610"/>
      <c r="E58" s="610"/>
      <c r="F58" s="612">
        <f>SUM(F37:F57)</f>
        <v>84</v>
      </c>
      <c r="G58" s="610"/>
      <c r="H58" s="610"/>
      <c r="I58" s="614">
        <f>SUM(I46:I57)</f>
        <v>0</v>
      </c>
      <c r="J58" s="610"/>
      <c r="K58" s="610"/>
      <c r="L58" s="610"/>
      <c r="M58" s="614">
        <f>SUM(M37:M57)</f>
        <v>84</v>
      </c>
    </row>
    <row r="59" spans="1:13" ht="13.5" thickBot="1">
      <c r="A59" s="607"/>
      <c r="B59" s="608"/>
      <c r="C59" s="609"/>
      <c r="D59" s="611"/>
      <c r="E59" s="611"/>
      <c r="F59" s="613"/>
      <c r="G59" s="611"/>
      <c r="H59" s="611"/>
      <c r="I59" s="611"/>
      <c r="J59" s="611"/>
      <c r="K59" s="611"/>
      <c r="L59" s="611"/>
      <c r="M59" s="611"/>
    </row>
    <row r="60" spans="1:13" ht="15.75">
      <c r="A60" s="130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</row>
    <row r="61" spans="1:13" ht="15.75">
      <c r="A61" s="130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1:13" ht="15.75">
      <c r="A62" s="130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13" ht="15.75">
      <c r="A63" s="130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13" ht="15.75" customHeight="1">
      <c r="A64" s="130" t="s">
        <v>265</v>
      </c>
      <c r="B64" s="113"/>
      <c r="C64" s="113"/>
      <c r="D64" s="113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15.75">
      <c r="A65" s="130" t="s">
        <v>266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1:13" ht="9" customHeight="1" thickBo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ht="12.75">
      <c r="A67" s="571" t="s">
        <v>232</v>
      </c>
      <c r="B67" s="572"/>
      <c r="C67" s="572"/>
      <c r="D67" s="571" t="s">
        <v>267</v>
      </c>
      <c r="E67" s="580"/>
      <c r="F67" s="571" t="s">
        <v>268</v>
      </c>
      <c r="G67" s="580"/>
      <c r="H67" s="571" t="s">
        <v>269</v>
      </c>
      <c r="I67" s="580"/>
      <c r="J67" s="571" t="s">
        <v>270</v>
      </c>
      <c r="K67" s="580"/>
      <c r="L67" s="1"/>
      <c r="M67" s="1"/>
    </row>
    <row r="68" spans="1:13" ht="12.75">
      <c r="A68" s="573"/>
      <c r="B68" s="574"/>
      <c r="C68" s="574"/>
      <c r="D68" s="573"/>
      <c r="E68" s="581"/>
      <c r="F68" s="573"/>
      <c r="G68" s="581"/>
      <c r="H68" s="573"/>
      <c r="I68" s="581"/>
      <c r="J68" s="573"/>
      <c r="K68" s="581"/>
      <c r="L68" s="1"/>
      <c r="M68" s="1"/>
    </row>
    <row r="69" spans="1:13" ht="3.75" customHeight="1" thickBot="1">
      <c r="A69" s="618"/>
      <c r="B69" s="621"/>
      <c r="C69" s="621"/>
      <c r="D69" s="618"/>
      <c r="E69" s="582"/>
      <c r="F69" s="618"/>
      <c r="G69" s="582"/>
      <c r="H69" s="618"/>
      <c r="I69" s="582"/>
      <c r="J69" s="618"/>
      <c r="K69" s="582"/>
      <c r="L69" s="1"/>
      <c r="M69" s="1"/>
    </row>
    <row r="70" spans="1:13" ht="16.5" thickBot="1">
      <c r="A70" s="596" t="s">
        <v>271</v>
      </c>
      <c r="B70" s="596"/>
      <c r="C70" s="596"/>
      <c r="D70" s="596" t="s">
        <v>248</v>
      </c>
      <c r="E70" s="596"/>
      <c r="F70" s="619" t="s">
        <v>248</v>
      </c>
      <c r="G70" s="620"/>
      <c r="H70" s="619" t="s">
        <v>248</v>
      </c>
      <c r="I70" s="620"/>
      <c r="J70" s="596" t="s">
        <v>248</v>
      </c>
      <c r="K70" s="596"/>
      <c r="L70" s="131"/>
      <c r="M70" s="113"/>
    </row>
    <row r="71" spans="1:13" ht="12.75">
      <c r="A71" s="604" t="s">
        <v>245</v>
      </c>
      <c r="B71" s="605"/>
      <c r="C71" s="606"/>
      <c r="D71" s="604"/>
      <c r="E71" s="606"/>
      <c r="F71" s="604"/>
      <c r="G71" s="606"/>
      <c r="H71" s="604"/>
      <c r="I71" s="606"/>
      <c r="J71" s="604" t="s">
        <v>248</v>
      </c>
      <c r="K71" s="606"/>
      <c r="L71" s="622"/>
      <c r="M71" s="622"/>
    </row>
    <row r="72" spans="1:13" ht="3.75" customHeight="1" thickBot="1">
      <c r="A72" s="607"/>
      <c r="B72" s="608"/>
      <c r="C72" s="609"/>
      <c r="D72" s="607"/>
      <c r="E72" s="609"/>
      <c r="F72" s="607"/>
      <c r="G72" s="609"/>
      <c r="H72" s="607"/>
      <c r="I72" s="609"/>
      <c r="J72" s="607"/>
      <c r="K72" s="609"/>
      <c r="L72" s="622"/>
      <c r="M72" s="622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30" t="s">
        <v>272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571" t="s">
        <v>232</v>
      </c>
      <c r="B76" s="572"/>
      <c r="C76" s="572"/>
      <c r="D76" s="571" t="s">
        <v>267</v>
      </c>
      <c r="E76" s="580"/>
      <c r="F76" s="571" t="s">
        <v>273</v>
      </c>
      <c r="G76" s="580"/>
      <c r="H76" s="571" t="s">
        <v>269</v>
      </c>
      <c r="I76" s="580"/>
      <c r="J76" s="571" t="s">
        <v>270</v>
      </c>
      <c r="K76" s="580"/>
      <c r="L76" s="1"/>
      <c r="M76" s="1"/>
    </row>
    <row r="77" spans="1:13" ht="12.75">
      <c r="A77" s="573"/>
      <c r="B77" s="574"/>
      <c r="C77" s="574"/>
      <c r="D77" s="573"/>
      <c r="E77" s="581"/>
      <c r="F77" s="573"/>
      <c r="G77" s="581"/>
      <c r="H77" s="573"/>
      <c r="I77" s="581"/>
      <c r="J77" s="573"/>
      <c r="K77" s="581"/>
      <c r="L77" s="1"/>
      <c r="M77" s="1"/>
    </row>
    <row r="78" spans="1:13" ht="13.5" thickBot="1">
      <c r="A78" s="618"/>
      <c r="B78" s="621"/>
      <c r="C78" s="621"/>
      <c r="D78" s="618"/>
      <c r="E78" s="582"/>
      <c r="F78" s="618"/>
      <c r="G78" s="582"/>
      <c r="H78" s="618"/>
      <c r="I78" s="582"/>
      <c r="J78" s="618"/>
      <c r="K78" s="582"/>
      <c r="L78" s="1"/>
      <c r="M78" s="1"/>
    </row>
    <row r="79" spans="1:13" ht="16.5" thickBot="1">
      <c r="A79" s="596" t="s">
        <v>274</v>
      </c>
      <c r="B79" s="596"/>
      <c r="C79" s="596"/>
      <c r="D79" s="596"/>
      <c r="E79" s="596"/>
      <c r="F79" s="641" t="s">
        <v>248</v>
      </c>
      <c r="G79" s="642"/>
      <c r="H79" s="641"/>
      <c r="I79" s="642"/>
      <c r="J79" s="599"/>
      <c r="K79" s="599"/>
      <c r="L79" s="131"/>
      <c r="M79" s="113"/>
    </row>
    <row r="80" spans="1:13" ht="12.75">
      <c r="A80" s="623" t="s">
        <v>245</v>
      </c>
      <c r="B80" s="624"/>
      <c r="C80" s="625"/>
      <c r="D80" s="629"/>
      <c r="E80" s="630"/>
      <c r="F80" s="633">
        <f>SUM(F79)</f>
        <v>0</v>
      </c>
      <c r="G80" s="634"/>
      <c r="H80" s="637">
        <f>SUM(H79)</f>
        <v>0</v>
      </c>
      <c r="I80" s="638"/>
      <c r="J80" s="637">
        <f>SUM(J79)</f>
        <v>0</v>
      </c>
      <c r="K80" s="638"/>
      <c r="L80" s="643"/>
      <c r="M80" s="643"/>
    </row>
    <row r="81" spans="1:13" ht="6.75" customHeight="1" thickBot="1">
      <c r="A81" s="626"/>
      <c r="B81" s="627"/>
      <c r="C81" s="628"/>
      <c r="D81" s="631"/>
      <c r="E81" s="632"/>
      <c r="F81" s="635"/>
      <c r="G81" s="636"/>
      <c r="H81" s="639"/>
      <c r="I81" s="640"/>
      <c r="J81" s="639"/>
      <c r="K81" s="640"/>
      <c r="L81" s="643"/>
      <c r="M81" s="643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30" t="s">
        <v>275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571" t="s">
        <v>232</v>
      </c>
      <c r="B85" s="572"/>
      <c r="C85" s="572"/>
      <c r="D85" s="571" t="s">
        <v>267</v>
      </c>
      <c r="E85" s="580"/>
      <c r="F85" s="571" t="s">
        <v>268</v>
      </c>
      <c r="G85" s="580"/>
      <c r="H85" s="571" t="s">
        <v>269</v>
      </c>
      <c r="I85" s="580"/>
      <c r="J85" s="571" t="s">
        <v>270</v>
      </c>
      <c r="K85" s="580"/>
      <c r="L85" s="1"/>
      <c r="M85" s="1"/>
    </row>
    <row r="86" spans="1:13" ht="12.75">
      <c r="A86" s="573"/>
      <c r="B86" s="574"/>
      <c r="C86" s="574"/>
      <c r="D86" s="573"/>
      <c r="E86" s="581"/>
      <c r="F86" s="573"/>
      <c r="G86" s="581"/>
      <c r="H86" s="573"/>
      <c r="I86" s="581"/>
      <c r="J86" s="573"/>
      <c r="K86" s="581"/>
      <c r="L86" s="1"/>
      <c r="M86" s="1"/>
    </row>
    <row r="87" spans="1:13" ht="10.5" customHeight="1" thickBot="1">
      <c r="A87" s="618"/>
      <c r="B87" s="621"/>
      <c r="C87" s="621"/>
      <c r="D87" s="618"/>
      <c r="E87" s="582"/>
      <c r="F87" s="618"/>
      <c r="G87" s="582"/>
      <c r="H87" s="618"/>
      <c r="I87" s="582"/>
      <c r="J87" s="618"/>
      <c r="K87" s="582"/>
      <c r="L87" s="1"/>
      <c r="M87" s="1"/>
    </row>
    <row r="88" spans="1:13" ht="16.5" thickBot="1">
      <c r="A88" s="596" t="s">
        <v>274</v>
      </c>
      <c r="B88" s="596"/>
      <c r="C88" s="596"/>
      <c r="D88" s="596"/>
      <c r="E88" s="596"/>
      <c r="F88" s="619" t="s">
        <v>248</v>
      </c>
      <c r="G88" s="620"/>
      <c r="H88" s="619"/>
      <c r="I88" s="620"/>
      <c r="J88" s="596"/>
      <c r="K88" s="596"/>
      <c r="L88" s="131"/>
      <c r="M88" s="113"/>
    </row>
    <row r="89" spans="1:13" ht="12.75">
      <c r="A89" s="623" t="s">
        <v>245</v>
      </c>
      <c r="B89" s="624"/>
      <c r="C89" s="625"/>
      <c r="D89" s="629"/>
      <c r="E89" s="630"/>
      <c r="F89" s="629"/>
      <c r="G89" s="630"/>
      <c r="H89" s="604">
        <f>SUM(H88)</f>
        <v>0</v>
      </c>
      <c r="I89" s="606"/>
      <c r="J89" s="604">
        <f>SUM(J88)</f>
        <v>0</v>
      </c>
      <c r="K89" s="606"/>
      <c r="L89" s="643"/>
      <c r="M89" s="643"/>
    </row>
    <row r="90" spans="1:13" ht="5.25" customHeight="1" thickBot="1">
      <c r="A90" s="626"/>
      <c r="B90" s="627"/>
      <c r="C90" s="628"/>
      <c r="D90" s="631"/>
      <c r="E90" s="632"/>
      <c r="F90" s="631"/>
      <c r="G90" s="632"/>
      <c r="H90" s="607"/>
      <c r="I90" s="609"/>
      <c r="J90" s="607"/>
      <c r="K90" s="609"/>
      <c r="L90" s="643"/>
      <c r="M90" s="643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30" t="s">
        <v>276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571" t="s">
        <v>232</v>
      </c>
      <c r="B94" s="572"/>
      <c r="C94" s="572"/>
      <c r="D94" s="571" t="s">
        <v>267</v>
      </c>
      <c r="E94" s="580"/>
      <c r="F94" s="571" t="s">
        <v>268</v>
      </c>
      <c r="G94" s="580"/>
      <c r="H94" s="571" t="s">
        <v>269</v>
      </c>
      <c r="I94" s="580"/>
      <c r="J94" s="571" t="s">
        <v>270</v>
      </c>
      <c r="K94" s="580"/>
      <c r="L94" s="1"/>
      <c r="M94" s="1"/>
    </row>
    <row r="95" spans="1:13" ht="12.75">
      <c r="A95" s="573"/>
      <c r="B95" s="574"/>
      <c r="C95" s="574"/>
      <c r="D95" s="573"/>
      <c r="E95" s="581"/>
      <c r="F95" s="573"/>
      <c r="G95" s="581"/>
      <c r="H95" s="573"/>
      <c r="I95" s="581"/>
      <c r="J95" s="573"/>
      <c r="K95" s="581"/>
      <c r="L95" s="1"/>
      <c r="M95" s="1"/>
    </row>
    <row r="96" spans="1:13" ht="10.5" customHeight="1" thickBot="1">
      <c r="A96" s="618"/>
      <c r="B96" s="621"/>
      <c r="C96" s="621"/>
      <c r="D96" s="618"/>
      <c r="E96" s="582"/>
      <c r="F96" s="618"/>
      <c r="G96" s="582"/>
      <c r="H96" s="618"/>
      <c r="I96" s="582"/>
      <c r="J96" s="618"/>
      <c r="K96" s="582"/>
      <c r="L96" s="1"/>
      <c r="M96" s="1"/>
    </row>
    <row r="97" spans="1:13" ht="16.5" thickBot="1">
      <c r="A97" s="596" t="s">
        <v>274</v>
      </c>
      <c r="B97" s="596"/>
      <c r="C97" s="596"/>
      <c r="D97" s="596"/>
      <c r="E97" s="596"/>
      <c r="F97" s="619" t="s">
        <v>248</v>
      </c>
      <c r="G97" s="620"/>
      <c r="H97" s="619"/>
      <c r="I97" s="620"/>
      <c r="J97" s="596"/>
      <c r="K97" s="596"/>
      <c r="L97" s="131"/>
      <c r="M97" s="113"/>
    </row>
    <row r="98" spans="1:13" ht="12.75">
      <c r="A98" s="623" t="s">
        <v>245</v>
      </c>
      <c r="B98" s="624"/>
      <c r="C98" s="625"/>
      <c r="D98" s="629"/>
      <c r="E98" s="630"/>
      <c r="F98" s="629"/>
      <c r="G98" s="630"/>
      <c r="H98" s="604">
        <f>SUM(H97)</f>
        <v>0</v>
      </c>
      <c r="I98" s="606"/>
      <c r="J98" s="604">
        <f>SUM(J97)</f>
        <v>0</v>
      </c>
      <c r="K98" s="606"/>
      <c r="L98" s="643"/>
      <c r="M98" s="643"/>
    </row>
    <row r="99" spans="1:13" ht="7.5" customHeight="1" thickBot="1">
      <c r="A99" s="626"/>
      <c r="B99" s="627"/>
      <c r="C99" s="628"/>
      <c r="D99" s="631"/>
      <c r="E99" s="632"/>
      <c r="F99" s="631"/>
      <c r="G99" s="632"/>
      <c r="H99" s="607"/>
      <c r="I99" s="609"/>
      <c r="J99" s="607"/>
      <c r="K99" s="609"/>
      <c r="L99" s="643"/>
      <c r="M99" s="643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 password="AF00" sheet="1" objects="1" scenarios="1" selectLockedCells="1" selectUnlockedCells="1"/>
  <mergeCells count="192"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L80:L81"/>
    <mergeCell ref="M80:M81"/>
    <mergeCell ref="A85:C87"/>
    <mergeCell ref="D85:E87"/>
    <mergeCell ref="F85:G87"/>
    <mergeCell ref="H85:I87"/>
    <mergeCell ref="J85:K87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F67:G69"/>
    <mergeCell ref="H67:I69"/>
    <mergeCell ref="J58:J59"/>
    <mergeCell ref="K58:K59"/>
    <mergeCell ref="G58:G59"/>
    <mergeCell ref="H58:H59"/>
    <mergeCell ref="I58:I59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H55:H57"/>
    <mergeCell ref="I55:I57"/>
    <mergeCell ref="J55:J57"/>
    <mergeCell ref="A55:C57"/>
    <mergeCell ref="D55:D57"/>
    <mergeCell ref="E55:E57"/>
    <mergeCell ref="F55:F57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E43:E45"/>
    <mergeCell ref="F43:F45"/>
    <mergeCell ref="A46:C48"/>
    <mergeCell ref="D46:D48"/>
    <mergeCell ref="E46:E48"/>
    <mergeCell ref="F46:F48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G40:G42"/>
    <mergeCell ref="H40:H42"/>
    <mergeCell ref="J40:J42"/>
    <mergeCell ref="K40:K42"/>
    <mergeCell ref="L40:L42"/>
    <mergeCell ref="M40:M42"/>
    <mergeCell ref="A37:C39"/>
    <mergeCell ref="D37:D39"/>
    <mergeCell ref="E37:E39"/>
    <mergeCell ref="F37:F39"/>
    <mergeCell ref="A40:C42"/>
    <mergeCell ref="D40:D42"/>
    <mergeCell ref="E40:E42"/>
    <mergeCell ref="F40:F42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H16:H17"/>
    <mergeCell ref="I16:I17"/>
    <mergeCell ref="J16:J17"/>
    <mergeCell ref="K16:K17"/>
    <mergeCell ref="L16:L17"/>
    <mergeCell ref="M16:M17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A10:C12"/>
    <mergeCell ref="D10:F10"/>
    <mergeCell ref="G10:I10"/>
    <mergeCell ref="J10:L10"/>
    <mergeCell ref="A1:M1"/>
    <mergeCell ref="A3:M3"/>
    <mergeCell ref="A4:M4"/>
    <mergeCell ref="A5:M5"/>
    <mergeCell ref="M10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125" style="0" customWidth="1"/>
    <col min="2" max="2" width="58.25390625" style="0" customWidth="1"/>
    <col min="3" max="5" width="14.00390625" style="0" customWidth="1"/>
  </cols>
  <sheetData>
    <row r="1" spans="1:7" ht="12.75">
      <c r="A1" s="408" t="s">
        <v>489</v>
      </c>
      <c r="B1" s="408"/>
      <c r="C1" s="408"/>
      <c r="D1" s="408"/>
      <c r="E1" s="408"/>
      <c r="F1" s="408"/>
      <c r="G1" s="408"/>
    </row>
    <row r="3" spans="1:7" ht="12.75">
      <c r="A3" s="514" t="s">
        <v>374</v>
      </c>
      <c r="B3" s="554"/>
      <c r="C3" s="554"/>
      <c r="D3" s="554"/>
      <c r="E3" s="554"/>
      <c r="F3" s="554"/>
      <c r="G3" s="554"/>
    </row>
    <row r="4" spans="1:7" ht="12.75">
      <c r="A4" s="514" t="s">
        <v>375</v>
      </c>
      <c r="B4" s="514"/>
      <c r="C4" s="514"/>
      <c r="D4" s="514"/>
      <c r="E4" s="514"/>
      <c r="F4" s="514"/>
      <c r="G4" s="514"/>
    </row>
    <row r="5" spans="1:7" ht="12.75">
      <c r="A5" s="514" t="s">
        <v>393</v>
      </c>
      <c r="B5" s="514"/>
      <c r="C5" s="514"/>
      <c r="D5" s="514"/>
      <c r="E5" s="514"/>
      <c r="F5" s="514"/>
      <c r="G5" s="514"/>
    </row>
    <row r="6" spans="1:7" ht="12.75">
      <c r="A6" s="661"/>
      <c r="B6" s="661"/>
      <c r="C6" s="661"/>
      <c r="D6" s="661"/>
      <c r="E6" s="661"/>
      <c r="F6" s="661"/>
      <c r="G6" s="661"/>
    </row>
    <row r="7" spans="3:10" ht="13.5" thickBot="1">
      <c r="C7" s="408" t="s">
        <v>390</v>
      </c>
      <c r="D7" s="408"/>
      <c r="E7" s="408"/>
      <c r="F7" s="408"/>
      <c r="G7" s="408"/>
      <c r="H7" s="171"/>
      <c r="I7" s="171"/>
      <c r="J7" s="171"/>
    </row>
    <row r="8" spans="1:7" ht="25.5" customHeight="1">
      <c r="A8" s="657" t="s">
        <v>373</v>
      </c>
      <c r="B8" s="647" t="s">
        <v>360</v>
      </c>
      <c r="C8" s="650" t="s">
        <v>361</v>
      </c>
      <c r="D8" s="650"/>
      <c r="E8" s="650"/>
      <c r="F8" s="651" t="s">
        <v>295</v>
      </c>
      <c r="G8" s="652"/>
    </row>
    <row r="9" spans="1:7" ht="12.75" customHeight="1">
      <c r="A9" s="658"/>
      <c r="B9" s="648"/>
      <c r="C9" s="176">
        <v>2018</v>
      </c>
      <c r="D9" s="176">
        <v>2019</v>
      </c>
      <c r="E9" s="176">
        <v>2020</v>
      </c>
      <c r="F9" s="653"/>
      <c r="G9" s="654"/>
    </row>
    <row r="10" spans="1:7" ht="15" customHeight="1" thickBot="1">
      <c r="A10" s="659"/>
      <c r="B10" s="649"/>
      <c r="C10" s="177"/>
      <c r="D10" s="178" t="s">
        <v>372</v>
      </c>
      <c r="E10" s="177"/>
      <c r="F10" s="655"/>
      <c r="G10" s="656"/>
    </row>
    <row r="11" spans="1:7" ht="17.25" customHeight="1">
      <c r="A11" t="s">
        <v>18</v>
      </c>
      <c r="B11" t="s">
        <v>362</v>
      </c>
      <c r="C11" s="172">
        <v>1100000</v>
      </c>
      <c r="D11" s="172">
        <v>1100000</v>
      </c>
      <c r="E11" s="172">
        <v>1100000</v>
      </c>
      <c r="F11" s="644">
        <f>C11+D11+E11</f>
        <v>3300000</v>
      </c>
      <c r="G11" s="644"/>
    </row>
    <row r="12" spans="1:2" ht="28.5" customHeight="1">
      <c r="A12" s="174" t="s">
        <v>19</v>
      </c>
      <c r="B12" s="173" t="s">
        <v>363</v>
      </c>
    </row>
    <row r="13" spans="1:2" ht="12.75">
      <c r="A13" t="s">
        <v>20</v>
      </c>
      <c r="B13" t="s">
        <v>364</v>
      </c>
    </row>
    <row r="14" spans="1:3" ht="28.5" customHeight="1">
      <c r="A14" s="174" t="s">
        <v>21</v>
      </c>
      <c r="B14" s="173" t="s">
        <v>365</v>
      </c>
      <c r="C14" s="173"/>
    </row>
    <row r="15" spans="1:7" ht="12.75">
      <c r="A15" t="s">
        <v>22</v>
      </c>
      <c r="B15" t="s">
        <v>366</v>
      </c>
      <c r="C15" s="186">
        <v>20000</v>
      </c>
      <c r="D15" s="186">
        <v>20000</v>
      </c>
      <c r="E15" s="186">
        <v>20000</v>
      </c>
      <c r="F15" s="645">
        <f>C15++D15+E15</f>
        <v>60000</v>
      </c>
      <c r="G15" s="645"/>
    </row>
    <row r="16" spans="1:7" ht="12.75">
      <c r="A16" t="s">
        <v>23</v>
      </c>
      <c r="B16" t="s">
        <v>376</v>
      </c>
      <c r="C16" s="187"/>
      <c r="D16" s="187"/>
      <c r="E16" s="187"/>
      <c r="F16" s="187"/>
      <c r="G16" s="187"/>
    </row>
    <row r="17" spans="1:7" ht="12.75">
      <c r="A17" t="s">
        <v>25</v>
      </c>
      <c r="B17" s="175" t="s">
        <v>367</v>
      </c>
      <c r="C17" s="188">
        <v>1120000</v>
      </c>
      <c r="D17" s="188">
        <v>1120000</v>
      </c>
      <c r="E17" s="188">
        <v>112000</v>
      </c>
      <c r="F17" s="646">
        <f>F11+F15</f>
        <v>3360000</v>
      </c>
      <c r="G17" s="646"/>
    </row>
    <row r="18" spans="1:7" ht="18" customHeight="1">
      <c r="A18" s="179" t="s">
        <v>26</v>
      </c>
      <c r="B18" s="179" t="s">
        <v>368</v>
      </c>
      <c r="C18" s="189">
        <v>560000</v>
      </c>
      <c r="D18" s="189">
        <v>560000</v>
      </c>
      <c r="E18" s="189">
        <v>560000</v>
      </c>
      <c r="F18" s="660">
        <f>C18+D18+E18</f>
        <v>1680000</v>
      </c>
      <c r="G18" s="645"/>
    </row>
    <row r="19" spans="1:7" ht="17.25" customHeight="1">
      <c r="A19" t="s">
        <v>27</v>
      </c>
      <c r="B19" s="173" t="s">
        <v>377</v>
      </c>
      <c r="C19" s="186"/>
      <c r="D19" s="186"/>
      <c r="E19" s="186"/>
      <c r="F19" s="186"/>
      <c r="G19" s="186"/>
    </row>
    <row r="20" spans="1:7" ht="12.75">
      <c r="A20" t="s">
        <v>28</v>
      </c>
      <c r="B20" s="173" t="s">
        <v>378</v>
      </c>
      <c r="C20" s="186"/>
      <c r="D20" s="186"/>
      <c r="E20" s="186"/>
      <c r="F20" s="186"/>
      <c r="G20" s="186"/>
    </row>
    <row r="21" spans="1:7" ht="12.75">
      <c r="A21" t="s">
        <v>30</v>
      </c>
      <c r="B21" t="s">
        <v>379</v>
      </c>
      <c r="C21" s="186"/>
      <c r="D21" s="186"/>
      <c r="E21" s="186"/>
      <c r="F21" s="186"/>
      <c r="G21" s="186"/>
    </row>
    <row r="22" spans="1:7" ht="12.75">
      <c r="A22" t="s">
        <v>31</v>
      </c>
      <c r="B22" t="s">
        <v>380</v>
      </c>
      <c r="C22" s="186"/>
      <c r="D22" s="186"/>
      <c r="E22" s="186"/>
      <c r="F22" s="186"/>
      <c r="G22" s="186"/>
    </row>
    <row r="23" spans="1:7" ht="25.5">
      <c r="A23" t="s">
        <v>33</v>
      </c>
      <c r="B23" s="173" t="s">
        <v>381</v>
      </c>
      <c r="C23" s="186"/>
      <c r="D23" s="186"/>
      <c r="E23" s="186"/>
      <c r="F23" s="186"/>
      <c r="G23" s="186"/>
    </row>
    <row r="24" spans="1:7" ht="12.75">
      <c r="A24" t="s">
        <v>35</v>
      </c>
      <c r="B24" s="168" t="s">
        <v>382</v>
      </c>
      <c r="C24" s="186"/>
      <c r="D24" s="186"/>
      <c r="E24" s="186"/>
      <c r="F24" s="186"/>
      <c r="G24" s="186"/>
    </row>
    <row r="25" spans="1:7" ht="12.75">
      <c r="A25" s="175" t="s">
        <v>36</v>
      </c>
      <c r="B25" s="175" t="s">
        <v>369</v>
      </c>
      <c r="C25" s="191" t="s">
        <v>370</v>
      </c>
      <c r="D25" s="191" t="s">
        <v>370</v>
      </c>
      <c r="E25" s="191" t="s">
        <v>248</v>
      </c>
      <c r="F25" s="662" t="s">
        <v>248</v>
      </c>
      <c r="G25" s="662"/>
    </row>
    <row r="26" spans="1:7" ht="27.75" customHeight="1">
      <c r="A26" s="180" t="s">
        <v>38</v>
      </c>
      <c r="B26" s="180" t="s">
        <v>371</v>
      </c>
      <c r="C26" s="190">
        <v>560000</v>
      </c>
      <c r="D26" s="190">
        <v>560000</v>
      </c>
      <c r="E26" s="190">
        <v>560000</v>
      </c>
      <c r="F26" s="663">
        <v>1680000</v>
      </c>
      <c r="G26" s="664"/>
    </row>
  </sheetData>
  <sheetProtection password="AF00" sheet="1" objects="1" scenarios="1" selectLockedCells="1" selectUnlockedCells="1"/>
  <mergeCells count="16">
    <mergeCell ref="A8:A10"/>
    <mergeCell ref="F18:G18"/>
    <mergeCell ref="A6:G6"/>
    <mergeCell ref="F25:G25"/>
    <mergeCell ref="F26:G26"/>
    <mergeCell ref="A5:G5"/>
    <mergeCell ref="A4:G4"/>
    <mergeCell ref="A3:G3"/>
    <mergeCell ref="A1:G1"/>
    <mergeCell ref="F11:G11"/>
    <mergeCell ref="F15:G15"/>
    <mergeCell ref="F17:G17"/>
    <mergeCell ref="B8:B10"/>
    <mergeCell ref="C8:E8"/>
    <mergeCell ref="F8:G10"/>
    <mergeCell ref="C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01" customWidth="1"/>
    <col min="2" max="2" width="58.625" style="0" customWidth="1"/>
    <col min="3" max="3" width="14.625" style="0" customWidth="1"/>
    <col min="4" max="4" width="4.375" style="0" customWidth="1"/>
    <col min="5" max="5" width="14.125" style="0" customWidth="1"/>
    <col min="6" max="6" width="6.75390625" style="0" customWidth="1"/>
  </cols>
  <sheetData>
    <row r="1" spans="2:6" ht="12.75">
      <c r="B1" s="408" t="s">
        <v>477</v>
      </c>
      <c r="C1" s="408"/>
      <c r="D1" s="408"/>
      <c r="E1" s="408"/>
      <c r="F1" s="408"/>
    </row>
    <row r="3" spans="1:7" ht="15.75">
      <c r="A3" s="411"/>
      <c r="B3" s="412"/>
      <c r="C3" s="412"/>
      <c r="D3" s="412"/>
      <c r="E3" s="412"/>
      <c r="F3" s="412"/>
      <c r="G3" s="170"/>
    </row>
    <row r="4" spans="2:6" ht="19.5" customHeight="1">
      <c r="B4" s="410"/>
      <c r="C4" s="410"/>
      <c r="D4" s="410"/>
      <c r="E4" s="410"/>
      <c r="F4" s="410"/>
    </row>
    <row r="5" spans="2:6" ht="15.75">
      <c r="B5" s="409" t="s">
        <v>8</v>
      </c>
      <c r="C5" s="409"/>
      <c r="D5" s="409"/>
      <c r="E5" s="409"/>
      <c r="F5" s="409"/>
    </row>
    <row r="6" spans="2:6" ht="15.75">
      <c r="B6" s="409" t="s">
        <v>86</v>
      </c>
      <c r="C6" s="409"/>
      <c r="D6" s="409"/>
      <c r="E6" s="409"/>
      <c r="F6" s="409"/>
    </row>
    <row r="7" spans="2:6" ht="15.75">
      <c r="B7" s="409" t="s">
        <v>384</v>
      </c>
      <c r="C7" s="409"/>
      <c r="D7" s="409"/>
      <c r="E7" s="409"/>
      <c r="F7" s="409"/>
    </row>
    <row r="8" spans="2:6" ht="7.5" customHeight="1">
      <c r="B8" s="224"/>
      <c r="C8" s="225"/>
      <c r="D8" s="224"/>
      <c r="E8" s="221"/>
      <c r="F8" s="224"/>
    </row>
    <row r="9" spans="1:6" ht="15.75">
      <c r="A9" s="201" t="s">
        <v>18</v>
      </c>
      <c r="B9" s="229" t="s">
        <v>87</v>
      </c>
      <c r="C9" s="225"/>
      <c r="D9" s="224"/>
      <c r="E9" s="221"/>
      <c r="F9" s="224"/>
    </row>
    <row r="10" spans="1:6" ht="15.75">
      <c r="A10" s="201" t="s">
        <v>424</v>
      </c>
      <c r="B10" s="220" t="s">
        <v>88</v>
      </c>
      <c r="C10" s="225"/>
      <c r="D10" s="224"/>
      <c r="E10" s="221">
        <f>C11+C12</f>
        <v>16084295</v>
      </c>
      <c r="F10" s="224" t="s">
        <v>244</v>
      </c>
    </row>
    <row r="11" spans="2:6" ht="31.5">
      <c r="B11" s="230" t="s">
        <v>89</v>
      </c>
      <c r="C11" s="231">
        <f>'Bevételek (2)'!$H$47</f>
        <v>14309431</v>
      </c>
      <c r="D11" s="230" t="s">
        <v>244</v>
      </c>
      <c r="E11" s="221"/>
      <c r="F11" s="224"/>
    </row>
    <row r="12" spans="2:6" ht="31.5">
      <c r="B12" s="230" t="s">
        <v>90</v>
      </c>
      <c r="C12" s="231">
        <f>'Bevételek (2)'!$H$53</f>
        <v>1774864</v>
      </c>
      <c r="D12" s="230" t="s">
        <v>244</v>
      </c>
      <c r="E12" s="221"/>
      <c r="F12" s="224"/>
    </row>
    <row r="13" spans="1:6" ht="15.75">
      <c r="A13" s="201" t="s">
        <v>432</v>
      </c>
      <c r="B13" s="220" t="s">
        <v>91</v>
      </c>
      <c r="C13" s="225"/>
      <c r="D13" s="224"/>
      <c r="E13" s="221">
        <f>'Bevételek (2)'!$H$59</f>
        <v>34532111</v>
      </c>
      <c r="F13" s="224" t="s">
        <v>244</v>
      </c>
    </row>
    <row r="14" spans="1:6" ht="15.75">
      <c r="A14" s="201" t="s">
        <v>433</v>
      </c>
      <c r="B14" s="220" t="s">
        <v>92</v>
      </c>
      <c r="C14" s="225"/>
      <c r="D14" s="224"/>
      <c r="E14" s="221">
        <f>'Bevételek (2)'!$H$70</f>
        <v>1320000</v>
      </c>
      <c r="F14" s="224" t="s">
        <v>244</v>
      </c>
    </row>
    <row r="15" spans="1:6" ht="15.75">
      <c r="A15" s="201" t="s">
        <v>434</v>
      </c>
      <c r="B15" s="220" t="s">
        <v>93</v>
      </c>
      <c r="C15" s="225"/>
      <c r="D15" s="224"/>
      <c r="E15" s="221">
        <f>'Bevételek (2)'!$H$78</f>
        <v>11068723</v>
      </c>
      <c r="F15" s="224" t="s">
        <v>244</v>
      </c>
    </row>
    <row r="16" spans="2:6" ht="3" customHeight="1">
      <c r="B16" s="220"/>
      <c r="C16" s="221"/>
      <c r="D16" s="220"/>
      <c r="E16" s="221">
        <v>0</v>
      </c>
      <c r="F16" s="224" t="s">
        <v>244</v>
      </c>
    </row>
    <row r="17" spans="1:6" ht="15.75">
      <c r="A17" s="201" t="s">
        <v>476</v>
      </c>
      <c r="B17" s="220" t="s">
        <v>94</v>
      </c>
      <c r="C17" s="225"/>
      <c r="D17" s="224"/>
      <c r="E17" s="221">
        <v>0</v>
      </c>
      <c r="F17" s="224" t="s">
        <v>244</v>
      </c>
    </row>
    <row r="18" spans="2:6" ht="31.5">
      <c r="B18" s="230" t="s">
        <v>95</v>
      </c>
      <c r="C18" s="231">
        <v>0</v>
      </c>
      <c r="D18" s="230" t="s">
        <v>244</v>
      </c>
      <c r="E18" s="230"/>
      <c r="F18" s="224"/>
    </row>
    <row r="19" spans="2:6" ht="15.75">
      <c r="B19" s="232" t="s">
        <v>96</v>
      </c>
      <c r="C19" s="231">
        <v>0</v>
      </c>
      <c r="D19" s="224" t="s">
        <v>244</v>
      </c>
      <c r="E19" s="221"/>
      <c r="F19" s="224"/>
    </row>
    <row r="20" spans="1:6" ht="15.75">
      <c r="A20" s="201" t="s">
        <v>475</v>
      </c>
      <c r="B20" s="220" t="s">
        <v>97</v>
      </c>
      <c r="C20" s="225"/>
      <c r="D20" s="224"/>
      <c r="E20" s="221">
        <f>C21+C22</f>
        <v>0</v>
      </c>
      <c r="F20" s="224" t="s">
        <v>244</v>
      </c>
    </row>
    <row r="21" spans="2:6" ht="31.5">
      <c r="B21" s="230" t="s">
        <v>98</v>
      </c>
      <c r="C21" s="225"/>
      <c r="D21" s="224" t="s">
        <v>244</v>
      </c>
      <c r="E21" s="221"/>
      <c r="F21" s="224"/>
    </row>
    <row r="22" spans="2:6" ht="15.75">
      <c r="B22" s="224" t="s">
        <v>99</v>
      </c>
      <c r="C22" s="226"/>
      <c r="D22" s="224" t="s">
        <v>244</v>
      </c>
      <c r="E22" s="221"/>
      <c r="F22" s="224"/>
    </row>
    <row r="23" spans="1:6" ht="15.75">
      <c r="A23" s="201" t="s">
        <v>474</v>
      </c>
      <c r="B23" s="220" t="s">
        <v>100</v>
      </c>
      <c r="C23" s="221"/>
      <c r="D23" s="220"/>
      <c r="E23" s="221">
        <f>E10+E14+E15+E13+E20</f>
        <v>63005129</v>
      </c>
      <c r="F23" s="220" t="s">
        <v>385</v>
      </c>
    </row>
    <row r="24" spans="2:6" ht="15.75">
      <c r="B24" s="220"/>
      <c r="C24" s="221"/>
      <c r="D24" s="220"/>
      <c r="E24" s="221"/>
      <c r="F24" s="220"/>
    </row>
    <row r="25" spans="1:6" ht="15.75">
      <c r="A25" s="201" t="s">
        <v>19</v>
      </c>
      <c r="B25" s="229" t="s">
        <v>101</v>
      </c>
      <c r="C25" s="225"/>
      <c r="D25" s="224"/>
      <c r="E25" s="221"/>
      <c r="F25" s="224"/>
    </row>
    <row r="26" spans="1:6" ht="15.75">
      <c r="A26" s="201" t="s">
        <v>435</v>
      </c>
      <c r="B26" s="65" t="s">
        <v>102</v>
      </c>
      <c r="C26" s="225"/>
      <c r="D26" s="224"/>
      <c r="E26" s="221">
        <f>C28+C29+C30+C31+C32+C33</f>
        <v>40483875</v>
      </c>
      <c r="F26" s="224" t="s">
        <v>244</v>
      </c>
    </row>
    <row r="27" spans="2:6" ht="15.75">
      <c r="B27" s="38" t="s">
        <v>103</v>
      </c>
      <c r="C27" s="225"/>
      <c r="D27" s="224"/>
      <c r="E27" s="221"/>
      <c r="F27" s="224"/>
    </row>
    <row r="28" spans="1:6" ht="15.75">
      <c r="A28" s="201" t="s">
        <v>436</v>
      </c>
      <c r="B28" s="224" t="s">
        <v>441</v>
      </c>
      <c r="C28" s="225">
        <f>'Korm.funkciók (2)'!E33</f>
        <v>8006038</v>
      </c>
      <c r="D28" s="224" t="s">
        <v>244</v>
      </c>
      <c r="E28" s="221"/>
      <c r="F28" s="224"/>
    </row>
    <row r="29" spans="1:6" ht="15.75">
      <c r="A29" s="201" t="s">
        <v>437</v>
      </c>
      <c r="B29" s="224" t="s">
        <v>442</v>
      </c>
      <c r="C29" s="225">
        <f>'Korm.funkciók (2)'!F33</f>
        <v>1778880</v>
      </c>
      <c r="D29" s="224" t="s">
        <v>244</v>
      </c>
      <c r="E29" s="221"/>
      <c r="F29" s="224"/>
    </row>
    <row r="30" spans="1:6" ht="15.75">
      <c r="A30" s="201" t="s">
        <v>438</v>
      </c>
      <c r="B30" s="224" t="s">
        <v>443</v>
      </c>
      <c r="C30" s="225">
        <f>'Korm.funkciók (2)'!G33</f>
        <v>17706797</v>
      </c>
      <c r="D30" s="224" t="s">
        <v>244</v>
      </c>
      <c r="E30" s="221"/>
      <c r="F30" s="224"/>
    </row>
    <row r="31" spans="1:6" ht="15.75">
      <c r="A31" s="201" t="s">
        <v>439</v>
      </c>
      <c r="B31" s="228" t="s">
        <v>444</v>
      </c>
      <c r="C31" s="225">
        <f>'Korm.funkciók (2)'!H33</f>
        <v>1522200</v>
      </c>
      <c r="D31" s="224" t="s">
        <v>244</v>
      </c>
      <c r="E31" s="221"/>
      <c r="F31" s="224"/>
    </row>
    <row r="32" spans="1:6" ht="15.75">
      <c r="A32" s="201" t="s">
        <v>440</v>
      </c>
      <c r="B32" s="224" t="s">
        <v>445</v>
      </c>
      <c r="C32" s="225">
        <v>579986</v>
      </c>
      <c r="D32" s="224" t="s">
        <v>244</v>
      </c>
      <c r="E32" s="221"/>
      <c r="F32" s="224"/>
    </row>
    <row r="33" spans="1:6" ht="15.75">
      <c r="A33" s="201" t="s">
        <v>492</v>
      </c>
      <c r="B33" s="224" t="s">
        <v>491</v>
      </c>
      <c r="C33" s="225">
        <f>10492649+661875-239550-25000</f>
        <v>10889974</v>
      </c>
      <c r="D33" s="224" t="s">
        <v>244</v>
      </c>
      <c r="E33" s="221"/>
      <c r="F33" s="224"/>
    </row>
    <row r="34" spans="1:6" ht="15.75">
      <c r="A34" s="201" t="s">
        <v>427</v>
      </c>
      <c r="B34" s="65" t="s">
        <v>104</v>
      </c>
      <c r="C34" s="221"/>
      <c r="D34" s="220"/>
      <c r="E34" s="227">
        <f>C36+C37</f>
        <v>37282266</v>
      </c>
      <c r="F34" s="220" t="s">
        <v>244</v>
      </c>
    </row>
    <row r="35" spans="2:6" ht="15.75">
      <c r="B35" s="38" t="s">
        <v>103</v>
      </c>
      <c r="C35" s="225"/>
      <c r="D35" s="224"/>
      <c r="E35" s="221"/>
      <c r="F35" s="224"/>
    </row>
    <row r="36" spans="1:6" ht="15.75">
      <c r="A36" s="201" t="s">
        <v>446</v>
      </c>
      <c r="B36" s="224" t="s">
        <v>450</v>
      </c>
      <c r="C36" s="226">
        <f>'Korm.funkciók (2)'!K33</f>
        <v>36465093</v>
      </c>
      <c r="D36" s="224" t="s">
        <v>244</v>
      </c>
      <c r="E36" s="221"/>
      <c r="F36" s="224"/>
    </row>
    <row r="37" spans="1:6" ht="15.75">
      <c r="A37" s="201" t="s">
        <v>447</v>
      </c>
      <c r="B37" s="224" t="s">
        <v>451</v>
      </c>
      <c r="C37" s="226">
        <f>'Korm.funkciók (2)'!L33</f>
        <v>817173</v>
      </c>
      <c r="D37" s="224" t="s">
        <v>244</v>
      </c>
      <c r="E37" s="221"/>
      <c r="F37" s="224"/>
    </row>
    <row r="38" spans="1:6" ht="15.75">
      <c r="A38" s="201" t="s">
        <v>448</v>
      </c>
      <c r="B38" s="224" t="s">
        <v>452</v>
      </c>
      <c r="C38" s="226"/>
      <c r="D38" s="224" t="s">
        <v>244</v>
      </c>
      <c r="E38" s="221"/>
      <c r="F38" s="224"/>
    </row>
    <row r="39" spans="1:6" ht="15.75">
      <c r="A39" s="201" t="s">
        <v>449</v>
      </c>
      <c r="B39" s="224" t="s">
        <v>453</v>
      </c>
      <c r="C39" s="226"/>
      <c r="D39" s="224" t="s">
        <v>244</v>
      </c>
      <c r="E39" s="221"/>
      <c r="F39" s="224"/>
    </row>
    <row r="40" spans="1:6" ht="15.75">
      <c r="A40" s="201" t="s">
        <v>454</v>
      </c>
      <c r="B40" s="220" t="s">
        <v>105</v>
      </c>
      <c r="C40" s="226"/>
      <c r="D40" s="224"/>
      <c r="E40" s="221">
        <f>C41+C42</f>
        <v>498541</v>
      </c>
      <c r="F40" s="224" t="s">
        <v>244</v>
      </c>
    </row>
    <row r="41" spans="2:6" ht="15.75">
      <c r="B41" s="224" t="s">
        <v>359</v>
      </c>
      <c r="C41" s="225">
        <v>498541</v>
      </c>
      <c r="D41" s="224" t="s">
        <v>244</v>
      </c>
      <c r="E41" s="221"/>
      <c r="F41" s="224"/>
    </row>
    <row r="42" spans="2:6" ht="15.75">
      <c r="B42" s="224" t="s">
        <v>106</v>
      </c>
      <c r="C42" s="225"/>
      <c r="D42" s="224" t="s">
        <v>244</v>
      </c>
      <c r="E42" s="221"/>
      <c r="F42" s="224"/>
    </row>
    <row r="43" spans="1:6" ht="23.25" customHeight="1">
      <c r="A43" s="201" t="s">
        <v>455</v>
      </c>
      <c r="B43" s="220" t="s">
        <v>107</v>
      </c>
      <c r="C43" s="221"/>
      <c r="D43" s="220"/>
      <c r="E43" s="221">
        <f>E26+E34+E40</f>
        <v>78264682</v>
      </c>
      <c r="F43" s="220" t="s">
        <v>385</v>
      </c>
    </row>
    <row r="44" spans="1:6" ht="23.25" customHeight="1">
      <c r="A44" s="201" t="s">
        <v>20</v>
      </c>
      <c r="B44" s="220" t="s">
        <v>108</v>
      </c>
      <c r="C44" s="221"/>
      <c r="D44" s="220"/>
      <c r="E44" s="221">
        <f>E23-E43</f>
        <v>-15259553</v>
      </c>
      <c r="F44" s="220" t="s">
        <v>244</v>
      </c>
    </row>
    <row r="45" spans="2:6" ht="23.25" customHeight="1">
      <c r="B45" s="220"/>
      <c r="C45" s="221"/>
      <c r="D45" s="220"/>
      <c r="E45" s="221"/>
      <c r="F45" s="220"/>
    </row>
    <row r="46" spans="1:6" ht="15.75">
      <c r="A46" s="201" t="s">
        <v>21</v>
      </c>
      <c r="B46" s="223" t="s">
        <v>109</v>
      </c>
      <c r="C46" s="221"/>
      <c r="D46" s="220"/>
      <c r="E46" s="221">
        <f>4260731+10998822</f>
        <v>15259553</v>
      </c>
      <c r="F46" s="222" t="s">
        <v>244</v>
      </c>
    </row>
    <row r="47" spans="1:6" ht="25.5" customHeight="1">
      <c r="A47" s="201" t="s">
        <v>22</v>
      </c>
      <c r="B47" s="220" t="s">
        <v>110</v>
      </c>
      <c r="C47" s="221"/>
      <c r="D47" s="220"/>
      <c r="E47" s="221">
        <f>E44+E46</f>
        <v>0</v>
      </c>
      <c r="F47" s="220" t="s">
        <v>244</v>
      </c>
    </row>
  </sheetData>
  <sheetProtection password="AF00" sheet="1" objects="1" scenarios="1" selectLockedCells="1" selectUnlockedCells="1"/>
  <mergeCells count="6">
    <mergeCell ref="B1:F1"/>
    <mergeCell ref="B5:F5"/>
    <mergeCell ref="B6:F6"/>
    <mergeCell ref="B7:F7"/>
    <mergeCell ref="B4:F4"/>
    <mergeCell ref="A3:F3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2"/>
  <sheetViews>
    <sheetView view="pageBreakPreview" zoomScale="115" zoomScaleSheetLayoutView="115" zoomScalePageLayoutView="0" workbookViewId="0" topLeftCell="A1">
      <selection activeCell="F74" sqref="F74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3.625" style="0" customWidth="1"/>
    <col min="7" max="7" width="16.25390625" style="0" customWidth="1"/>
    <col min="8" max="8" width="15.37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417" t="s">
        <v>516</v>
      </c>
      <c r="B1" s="408"/>
      <c r="C1" s="408"/>
      <c r="D1" s="408"/>
      <c r="E1" s="408"/>
      <c r="F1" s="408"/>
      <c r="G1" s="408"/>
      <c r="H1" s="408"/>
      <c r="I1" s="408"/>
    </row>
    <row r="2" spans="1:9" ht="15">
      <c r="A2" s="418"/>
      <c r="B2" s="416"/>
      <c r="C2" s="416"/>
      <c r="D2" s="416"/>
      <c r="E2" s="416"/>
      <c r="F2" s="416"/>
      <c r="G2" s="416"/>
      <c r="H2" s="416"/>
      <c r="I2" s="416"/>
    </row>
    <row r="3" spans="1:9" ht="14.25">
      <c r="A3" s="423"/>
      <c r="B3" s="423"/>
      <c r="C3" s="423"/>
      <c r="D3" s="423"/>
      <c r="E3" s="423"/>
      <c r="F3" s="423"/>
      <c r="G3" s="423"/>
      <c r="H3" s="423"/>
      <c r="I3" s="423"/>
    </row>
    <row r="4" spans="1:9" ht="14.25">
      <c r="A4" s="423" t="s">
        <v>199</v>
      </c>
      <c r="B4" s="423"/>
      <c r="C4" s="423"/>
      <c r="D4" s="423"/>
      <c r="E4" s="423"/>
      <c r="F4" s="423"/>
      <c r="G4" s="423"/>
      <c r="H4" s="423"/>
      <c r="I4" s="423"/>
    </row>
    <row r="5" spans="1:9" ht="14.25">
      <c r="A5" s="423" t="s">
        <v>111</v>
      </c>
      <c r="B5" s="423"/>
      <c r="C5" s="423"/>
      <c r="D5" s="423"/>
      <c r="E5" s="423"/>
      <c r="F5" s="423"/>
      <c r="G5" s="423"/>
      <c r="H5" s="423"/>
      <c r="I5" s="423"/>
    </row>
    <row r="6" spans="1:9" ht="12.75" customHeight="1">
      <c r="A6" s="423" t="s">
        <v>386</v>
      </c>
      <c r="B6" s="423"/>
      <c r="C6" s="423"/>
      <c r="D6" s="423"/>
      <c r="E6" s="423"/>
      <c r="F6" s="423"/>
      <c r="G6" s="423"/>
      <c r="H6" s="423"/>
      <c r="I6" s="423"/>
    </row>
    <row r="7" spans="1:9" ht="15.75" thickBot="1">
      <c r="A7" s="82"/>
      <c r="B7" s="82"/>
      <c r="C7" s="81"/>
      <c r="D7" s="81"/>
      <c r="E7" s="81"/>
      <c r="F7" s="78"/>
      <c r="G7" s="236"/>
      <c r="H7" s="425" t="s">
        <v>389</v>
      </c>
      <c r="I7" s="425"/>
    </row>
    <row r="8" spans="1:9" ht="15">
      <c r="A8" s="426" t="s">
        <v>112</v>
      </c>
      <c r="B8" s="427"/>
      <c r="C8" s="427"/>
      <c r="D8" s="427"/>
      <c r="E8" s="427"/>
      <c r="F8" s="428"/>
      <c r="G8" s="251" t="s">
        <v>0</v>
      </c>
      <c r="H8" s="251" t="s">
        <v>0</v>
      </c>
      <c r="I8" s="76" t="s">
        <v>200</v>
      </c>
    </row>
    <row r="9" spans="1:9" ht="15">
      <c r="A9" s="429"/>
      <c r="B9" s="430"/>
      <c r="C9" s="430"/>
      <c r="D9" s="430"/>
      <c r="E9" s="430"/>
      <c r="F9" s="431"/>
      <c r="G9" s="250" t="s">
        <v>46</v>
      </c>
      <c r="H9" s="250" t="s">
        <v>46</v>
      </c>
      <c r="I9" s="83"/>
    </row>
    <row r="10" spans="1:9" ht="15.75" customHeight="1" thickBot="1">
      <c r="A10" s="432"/>
      <c r="B10" s="433"/>
      <c r="C10" s="433"/>
      <c r="D10" s="433"/>
      <c r="E10" s="433"/>
      <c r="F10" s="434"/>
      <c r="G10" s="249" t="s">
        <v>340</v>
      </c>
      <c r="H10" s="249" t="s">
        <v>386</v>
      </c>
      <c r="I10" s="84" t="s">
        <v>1</v>
      </c>
    </row>
    <row r="11" spans="1:9" ht="29.25" customHeight="1">
      <c r="A11" s="85" t="s">
        <v>113</v>
      </c>
      <c r="B11" s="419" t="s">
        <v>114</v>
      </c>
      <c r="C11" s="419"/>
      <c r="D11" s="419"/>
      <c r="E11" s="419"/>
      <c r="F11" s="419"/>
      <c r="G11" s="66"/>
      <c r="H11" s="243"/>
      <c r="I11" s="66"/>
    </row>
    <row r="12" spans="1:9" ht="15.75" customHeight="1">
      <c r="A12" s="10"/>
      <c r="B12" s="10" t="s">
        <v>18</v>
      </c>
      <c r="C12" s="10" t="s">
        <v>115</v>
      </c>
      <c r="D12" s="10"/>
      <c r="E12" s="10"/>
      <c r="F12" s="10"/>
      <c r="G12" s="237"/>
      <c r="H12" s="237"/>
      <c r="I12" s="10"/>
    </row>
    <row r="13" spans="1:9" ht="29.25" customHeight="1">
      <c r="A13" s="10"/>
      <c r="B13" s="10"/>
      <c r="C13" s="85" t="s">
        <v>18</v>
      </c>
      <c r="D13" s="419" t="s">
        <v>116</v>
      </c>
      <c r="E13" s="419"/>
      <c r="F13" s="419"/>
      <c r="G13" s="243"/>
      <c r="H13" s="243"/>
      <c r="I13" s="66"/>
    </row>
    <row r="14" spans="1:9" ht="28.5" customHeight="1">
      <c r="A14" s="10"/>
      <c r="B14" s="10"/>
      <c r="C14" s="10"/>
      <c r="D14" s="85" t="s">
        <v>18</v>
      </c>
      <c r="E14" s="419" t="s">
        <v>117</v>
      </c>
      <c r="F14" s="419"/>
      <c r="G14" s="243"/>
      <c r="H14" s="243"/>
      <c r="I14" s="66"/>
    </row>
    <row r="15" spans="1:9" ht="28.5" customHeight="1">
      <c r="A15" s="8"/>
      <c r="B15" s="8"/>
      <c r="C15" s="8"/>
      <c r="D15" s="86" t="s">
        <v>118</v>
      </c>
      <c r="E15" s="420" t="s">
        <v>119</v>
      </c>
      <c r="F15" s="421"/>
      <c r="G15" s="234"/>
      <c r="H15" s="234"/>
      <c r="I15" s="67"/>
    </row>
    <row r="16" spans="1:9" ht="29.25" customHeight="1">
      <c r="A16" s="8"/>
      <c r="B16" s="8"/>
      <c r="C16" s="8"/>
      <c r="D16" s="8"/>
      <c r="E16" s="86" t="s">
        <v>120</v>
      </c>
      <c r="F16" s="70" t="s">
        <v>121</v>
      </c>
      <c r="G16" s="236">
        <v>863010</v>
      </c>
      <c r="H16" s="236">
        <v>863010</v>
      </c>
      <c r="I16" s="67">
        <f>(H16/G16)*100</f>
        <v>100</v>
      </c>
    </row>
    <row r="17" spans="1:9" ht="15" customHeight="1">
      <c r="A17" s="8"/>
      <c r="B17" s="8"/>
      <c r="C17" s="8"/>
      <c r="D17" s="8"/>
      <c r="E17" s="8" t="s">
        <v>122</v>
      </c>
      <c r="F17" s="70" t="s">
        <v>123</v>
      </c>
      <c r="G17" s="236">
        <v>576000</v>
      </c>
      <c r="H17" s="236">
        <v>576000</v>
      </c>
      <c r="I17" s="67">
        <f>(H17/G17)*100</f>
        <v>100</v>
      </c>
    </row>
    <row r="18" spans="1:9" ht="27.75" customHeight="1">
      <c r="A18" s="8"/>
      <c r="B18" s="8"/>
      <c r="C18" s="8"/>
      <c r="D18" s="8"/>
      <c r="E18" s="86" t="s">
        <v>124</v>
      </c>
      <c r="F18" s="70" t="s">
        <v>125</v>
      </c>
      <c r="G18" s="236"/>
      <c r="H18" s="236"/>
      <c r="I18" s="67"/>
    </row>
    <row r="19" spans="1:9" ht="14.25" customHeight="1">
      <c r="A19" s="8"/>
      <c r="B19" s="8"/>
      <c r="C19" s="8"/>
      <c r="D19" s="8"/>
      <c r="E19" s="8" t="s">
        <v>126</v>
      </c>
      <c r="F19" s="70" t="s">
        <v>127</v>
      </c>
      <c r="G19" s="236">
        <v>808120</v>
      </c>
      <c r="H19" s="236">
        <v>808120</v>
      </c>
      <c r="I19" s="67">
        <f>(H19/G19)*100</f>
        <v>100</v>
      </c>
    </row>
    <row r="20" spans="1:9" ht="15.75" customHeight="1">
      <c r="A20" s="8"/>
      <c r="B20" s="8"/>
      <c r="C20" s="8"/>
      <c r="D20" s="8" t="s">
        <v>128</v>
      </c>
      <c r="E20" s="8" t="s">
        <v>201</v>
      </c>
      <c r="F20" s="8"/>
      <c r="G20" s="236">
        <v>5000000</v>
      </c>
      <c r="H20" s="236">
        <v>5000000</v>
      </c>
      <c r="I20" s="67">
        <f>(H20/G20)*100</f>
        <v>100</v>
      </c>
    </row>
    <row r="21" spans="1:9" ht="14.25" customHeight="1">
      <c r="A21" s="8"/>
      <c r="B21" s="8"/>
      <c r="C21" s="8"/>
      <c r="D21" s="8"/>
      <c r="E21" s="8"/>
      <c r="F21" s="87" t="s">
        <v>211</v>
      </c>
      <c r="G21" s="236">
        <v>-52753</v>
      </c>
      <c r="H21" s="236">
        <v>-57216</v>
      </c>
      <c r="I21" s="67">
        <f>(H21/G21)*100</f>
        <v>108.46018235929711</v>
      </c>
    </row>
    <row r="22" spans="1:9" ht="18" customHeight="1">
      <c r="A22" s="8"/>
      <c r="B22" s="8"/>
      <c r="C22" s="8"/>
      <c r="D22" s="8" t="s">
        <v>202</v>
      </c>
      <c r="E22" s="8"/>
      <c r="F22" s="8"/>
      <c r="G22" s="235">
        <v>43350</v>
      </c>
      <c r="H22" s="236">
        <v>43350</v>
      </c>
      <c r="I22" s="67">
        <f>(H22/G22)*100</f>
        <v>100</v>
      </c>
    </row>
    <row r="23" spans="1:9" ht="18" customHeight="1">
      <c r="A23" s="8"/>
      <c r="B23" s="8"/>
      <c r="C23" s="8"/>
      <c r="D23" s="8" t="s">
        <v>502</v>
      </c>
      <c r="E23" s="8" t="s">
        <v>501</v>
      </c>
      <c r="F23" s="8"/>
      <c r="G23" s="235"/>
      <c r="H23" s="236">
        <v>1000000</v>
      </c>
      <c r="I23" s="67"/>
    </row>
    <row r="24" spans="1:9" ht="18" customHeight="1">
      <c r="A24" s="8"/>
      <c r="B24" s="8"/>
      <c r="C24" s="8"/>
      <c r="D24" s="8"/>
      <c r="E24" s="8"/>
      <c r="F24" s="8"/>
      <c r="G24" s="235"/>
      <c r="H24" s="236"/>
      <c r="I24" s="67"/>
    </row>
    <row r="25" spans="1:9" ht="8.25" customHeight="1" hidden="1">
      <c r="A25" s="422" t="s">
        <v>129</v>
      </c>
      <c r="B25" s="422"/>
      <c r="C25" s="422"/>
      <c r="D25" s="422"/>
      <c r="E25" s="422"/>
      <c r="F25" s="422"/>
      <c r="G25" s="236"/>
      <c r="H25" s="236"/>
      <c r="I25" s="67"/>
    </row>
    <row r="26" spans="1:9" ht="15.75" customHeight="1">
      <c r="A26" s="422"/>
      <c r="B26" s="422"/>
      <c r="C26" s="422"/>
      <c r="D26" s="422"/>
      <c r="E26" s="422"/>
      <c r="F26" s="422"/>
      <c r="G26" s="248">
        <f>SUM(G15:G25)</f>
        <v>7237727</v>
      </c>
      <c r="H26" s="248">
        <f>SUM(H15:H25)</f>
        <v>8233264</v>
      </c>
      <c r="I26" s="68">
        <f>(H26/G26)*100</f>
        <v>113.75482938220797</v>
      </c>
    </row>
    <row r="27" spans="1:9" ht="32.25" customHeight="1">
      <c r="A27" s="85"/>
      <c r="B27" s="419" t="s">
        <v>500</v>
      </c>
      <c r="C27" s="419"/>
      <c r="D27" s="419"/>
      <c r="E27" s="419"/>
      <c r="F27" s="419"/>
      <c r="G27" s="243"/>
      <c r="H27" s="243"/>
      <c r="I27" s="67"/>
    </row>
    <row r="28" spans="1:9" ht="29.25" customHeight="1">
      <c r="A28" s="8"/>
      <c r="B28" s="8"/>
      <c r="C28" s="8"/>
      <c r="D28" s="86" t="s">
        <v>19</v>
      </c>
      <c r="E28" s="420" t="s">
        <v>203</v>
      </c>
      <c r="F28" s="420"/>
      <c r="G28" s="236">
        <v>1241084</v>
      </c>
      <c r="H28" s="236">
        <v>1124000</v>
      </c>
      <c r="I28" s="67">
        <f>(H28/G28)*100</f>
        <v>90.56598908695946</v>
      </c>
    </row>
    <row r="29" spans="1:9" ht="30" customHeight="1">
      <c r="A29" s="8"/>
      <c r="B29" s="8"/>
      <c r="C29" s="8"/>
      <c r="D29" s="86" t="s">
        <v>20</v>
      </c>
      <c r="E29" s="420" t="s">
        <v>346</v>
      </c>
      <c r="F29" s="420"/>
      <c r="G29" s="236">
        <v>276800</v>
      </c>
      <c r="H29" s="236">
        <f>332160+55360</f>
        <v>387520</v>
      </c>
      <c r="I29" s="67">
        <f>(H29/G29)*100</f>
        <v>140</v>
      </c>
    </row>
    <row r="30" spans="1:9" ht="15" customHeight="1">
      <c r="A30" s="8"/>
      <c r="B30" s="8"/>
      <c r="C30" s="8"/>
      <c r="D30" s="86"/>
      <c r="E30" s="420" t="s">
        <v>347</v>
      </c>
      <c r="F30" s="420"/>
      <c r="G30" s="236">
        <v>2500000</v>
      </c>
      <c r="H30" s="236">
        <v>2500000</v>
      </c>
      <c r="I30" s="67">
        <f>(H30/G30)*100</f>
        <v>100</v>
      </c>
    </row>
    <row r="31" spans="1:9" ht="15" customHeight="1">
      <c r="A31" s="8"/>
      <c r="B31" s="8"/>
      <c r="C31" s="8"/>
      <c r="D31" s="86"/>
      <c r="E31" s="420" t="s">
        <v>499</v>
      </c>
      <c r="F31" s="414"/>
      <c r="G31" s="236"/>
      <c r="H31" s="236">
        <v>128672</v>
      </c>
      <c r="I31" s="67"/>
    </row>
    <row r="32" spans="1:9" ht="12.75" customHeight="1">
      <c r="A32" s="8"/>
      <c r="B32" s="8"/>
      <c r="C32" s="8"/>
      <c r="D32" s="86" t="s">
        <v>22</v>
      </c>
      <c r="E32" s="420" t="s">
        <v>348</v>
      </c>
      <c r="F32" s="420"/>
      <c r="G32" s="236"/>
      <c r="H32" s="236"/>
      <c r="I32" s="67"/>
    </row>
    <row r="33" spans="1:9" ht="30" customHeight="1">
      <c r="A33" s="8"/>
      <c r="B33" s="8"/>
      <c r="C33" s="8"/>
      <c r="D33" s="86"/>
      <c r="E33" s="420" t="s">
        <v>349</v>
      </c>
      <c r="F33" s="420"/>
      <c r="G33" s="236">
        <v>75810</v>
      </c>
      <c r="H33" s="236">
        <v>74100</v>
      </c>
      <c r="I33" s="67"/>
    </row>
    <row r="34" spans="1:9" ht="28.5" customHeight="1">
      <c r="A34" s="88"/>
      <c r="B34" s="88"/>
      <c r="C34" s="435" t="s">
        <v>130</v>
      </c>
      <c r="D34" s="435"/>
      <c r="E34" s="435"/>
      <c r="F34" s="435"/>
      <c r="G34" s="247">
        <f>SUM(G28:G33)</f>
        <v>4093694</v>
      </c>
      <c r="H34" s="247">
        <f>SUM(H28:H33)</f>
        <v>4214292</v>
      </c>
      <c r="I34" s="73">
        <f>(H34/G34)*100</f>
        <v>102.94594564224879</v>
      </c>
    </row>
    <row r="35" spans="1:9" ht="6" customHeight="1" hidden="1">
      <c r="A35" s="8"/>
      <c r="B35" s="8"/>
      <c r="C35" s="8"/>
      <c r="D35" s="8"/>
      <c r="E35" s="8"/>
      <c r="F35" s="8"/>
      <c r="G35" s="236"/>
      <c r="H35" s="236"/>
      <c r="I35" s="67"/>
    </row>
    <row r="36" spans="1:9" ht="26.25" customHeight="1">
      <c r="A36" s="85"/>
      <c r="B36" s="419" t="s">
        <v>498</v>
      </c>
      <c r="C36" s="419"/>
      <c r="D36" s="419"/>
      <c r="E36" s="419"/>
      <c r="F36" s="419"/>
      <c r="G36" s="243"/>
      <c r="H36" s="243"/>
      <c r="I36" s="67"/>
    </row>
    <row r="37" spans="1:9" ht="27" customHeight="1">
      <c r="A37" s="8"/>
      <c r="B37" s="8"/>
      <c r="C37" s="8"/>
      <c r="D37" s="8" t="s">
        <v>18</v>
      </c>
      <c r="E37" s="436" t="s">
        <v>131</v>
      </c>
      <c r="F37" s="436"/>
      <c r="G37" s="234"/>
      <c r="H37" s="234"/>
      <c r="I37" s="67"/>
    </row>
    <row r="38" spans="1:9" ht="33.75" customHeight="1">
      <c r="A38" s="8"/>
      <c r="B38" s="8"/>
      <c r="C38" s="8"/>
      <c r="D38" s="8"/>
      <c r="E38" s="86" t="s">
        <v>132</v>
      </c>
      <c r="F38" s="90" t="s">
        <v>210</v>
      </c>
      <c r="G38" s="234">
        <v>1200000</v>
      </c>
      <c r="H38" s="234">
        <v>1200000</v>
      </c>
      <c r="I38" s="67">
        <f>(H38/G38)*100</f>
        <v>100</v>
      </c>
    </row>
    <row r="39" spans="1:9" ht="31.5" customHeight="1">
      <c r="A39" s="8"/>
      <c r="B39" s="422" t="s">
        <v>212</v>
      </c>
      <c r="C39" s="422"/>
      <c r="D39" s="422"/>
      <c r="E39" s="422"/>
      <c r="F39" s="422"/>
      <c r="G39" s="237">
        <f>SUM(G38:G38)</f>
        <v>1200000</v>
      </c>
      <c r="H39" s="237">
        <f>SUM(H38:H38)</f>
        <v>1200000</v>
      </c>
      <c r="I39" s="68">
        <f>(H39/G39)*100</f>
        <v>100</v>
      </c>
    </row>
    <row r="40" spans="1:9" ht="7.5" customHeight="1">
      <c r="A40" s="8"/>
      <c r="B40" s="219"/>
      <c r="C40" s="219"/>
      <c r="D40" s="219"/>
      <c r="E40" s="219"/>
      <c r="F40" s="219"/>
      <c r="G40" s="237"/>
      <c r="H40" s="237"/>
      <c r="I40" s="68"/>
    </row>
    <row r="41" spans="1:9" ht="22.5" customHeight="1" hidden="1">
      <c r="A41" s="8"/>
      <c r="B41" s="219"/>
      <c r="C41" s="219"/>
      <c r="D41" s="219"/>
      <c r="E41" s="219"/>
      <c r="F41" s="219"/>
      <c r="G41" s="237"/>
      <c r="H41" s="237"/>
      <c r="I41" s="68"/>
    </row>
    <row r="42" spans="1:9" ht="20.25" customHeight="1">
      <c r="A42" s="8"/>
      <c r="B42" s="10" t="s">
        <v>22</v>
      </c>
      <c r="C42" s="10" t="s">
        <v>497</v>
      </c>
      <c r="D42" s="10"/>
      <c r="E42" s="85"/>
      <c r="F42" s="242"/>
      <c r="G42" s="234"/>
      <c r="H42" s="234"/>
      <c r="I42" s="67"/>
    </row>
    <row r="43" spans="1:9" ht="15" customHeight="1">
      <c r="A43" s="8"/>
      <c r="B43" s="8"/>
      <c r="C43" s="8"/>
      <c r="D43" s="8" t="s">
        <v>20</v>
      </c>
      <c r="E43" s="415" t="s">
        <v>496</v>
      </c>
      <c r="F43" s="416"/>
      <c r="H43" s="234">
        <v>661875</v>
      </c>
      <c r="I43" s="67"/>
    </row>
    <row r="44" spans="1:9" ht="15" customHeight="1">
      <c r="A44" s="8"/>
      <c r="B44" s="8"/>
      <c r="C44" s="246" t="s">
        <v>495</v>
      </c>
      <c r="D44" s="246"/>
      <c r="E44" s="245"/>
      <c r="F44" s="244"/>
      <c r="G44" s="234"/>
      <c r="H44" s="243">
        <v>661875</v>
      </c>
      <c r="I44" s="67"/>
    </row>
    <row r="45" spans="1:9" ht="19.5" customHeight="1">
      <c r="A45" s="8"/>
      <c r="B45" s="8"/>
      <c r="C45" s="10"/>
      <c r="D45" s="10"/>
      <c r="E45" s="85"/>
      <c r="F45" s="242"/>
      <c r="G45" s="234"/>
      <c r="H45" s="234"/>
      <c r="I45" s="67"/>
    </row>
    <row r="46" spans="1:9" ht="15" customHeight="1">
      <c r="A46" s="8"/>
      <c r="B46" s="10" t="s">
        <v>23</v>
      </c>
      <c r="C46" s="10" t="s">
        <v>133</v>
      </c>
      <c r="D46" s="10"/>
      <c r="E46" s="66"/>
      <c r="F46" s="66"/>
      <c r="G46" s="234"/>
      <c r="H46" s="234"/>
      <c r="I46" s="67"/>
    </row>
    <row r="47" spans="2:9" ht="28.5" customHeight="1">
      <c r="B47" s="413" t="s">
        <v>204</v>
      </c>
      <c r="C47" s="414"/>
      <c r="D47" s="414"/>
      <c r="E47" s="414"/>
      <c r="F47" s="414"/>
      <c r="G47" s="238">
        <f>G26+G34+G39</f>
        <v>12531421</v>
      </c>
      <c r="H47" s="238">
        <f>H26+H34+H39+H44</f>
        <v>14309431</v>
      </c>
      <c r="I47" s="68">
        <f>(H47/G47)*100</f>
        <v>114.18841486532133</v>
      </c>
    </row>
    <row r="48" spans="1:9" ht="33" customHeight="1">
      <c r="A48" s="240"/>
      <c r="B48" s="424" t="s">
        <v>213</v>
      </c>
      <c r="C48" s="421"/>
      <c r="D48" s="421"/>
      <c r="E48" s="421"/>
      <c r="F48" s="421"/>
      <c r="G48" s="235"/>
      <c r="H48" s="235"/>
      <c r="I48" s="68"/>
    </row>
    <row r="49" spans="1:9" ht="15">
      <c r="A49" s="77"/>
      <c r="B49" s="77"/>
      <c r="C49" s="166" t="s">
        <v>18</v>
      </c>
      <c r="D49" s="79" t="s">
        <v>135</v>
      </c>
      <c r="E49" s="77"/>
      <c r="F49" s="77"/>
      <c r="G49" s="235">
        <v>17000</v>
      </c>
      <c r="H49" s="235">
        <v>52200</v>
      </c>
      <c r="I49" s="67">
        <f>(H49/G49)*100</f>
        <v>307.05882352941177</v>
      </c>
    </row>
    <row r="50" spans="1:9" ht="15">
      <c r="A50" s="77"/>
      <c r="B50" s="77"/>
      <c r="C50" s="77" t="s">
        <v>19</v>
      </c>
      <c r="D50" s="439" t="s">
        <v>136</v>
      </c>
      <c r="E50" s="439"/>
      <c r="F50" s="439"/>
      <c r="G50" s="238"/>
      <c r="H50" s="235">
        <f>722670+723984</f>
        <v>1446654</v>
      </c>
      <c r="I50" s="68"/>
    </row>
    <row r="51" spans="1:9" ht="18" customHeight="1">
      <c r="A51" s="77"/>
      <c r="B51" s="77"/>
      <c r="C51" s="77" t="s">
        <v>21</v>
      </c>
      <c r="D51" s="418" t="s">
        <v>494</v>
      </c>
      <c r="E51" s="412"/>
      <c r="F51" s="412"/>
      <c r="G51" s="238"/>
      <c r="H51" s="235">
        <f>149996+71014</f>
        <v>221010</v>
      </c>
      <c r="I51" s="68"/>
    </row>
    <row r="52" spans="1:9" ht="32.25" customHeight="1">
      <c r="A52" s="77"/>
      <c r="B52" s="77"/>
      <c r="C52" s="77" t="s">
        <v>22</v>
      </c>
      <c r="D52" s="439" t="s">
        <v>493</v>
      </c>
      <c r="E52" s="440"/>
      <c r="F52" s="440"/>
      <c r="G52" s="238"/>
      <c r="H52" s="235">
        <v>55000</v>
      </c>
      <c r="I52" s="68"/>
    </row>
    <row r="53" spans="1:9" ht="29.25" customHeight="1">
      <c r="A53" s="77"/>
      <c r="B53" s="424" t="s">
        <v>137</v>
      </c>
      <c r="C53" s="424"/>
      <c r="D53" s="424"/>
      <c r="E53" s="424"/>
      <c r="F53" s="424"/>
      <c r="G53" s="238">
        <f>G49</f>
        <v>17000</v>
      </c>
      <c r="H53" s="238">
        <f>SUM(H49:H52)</f>
        <v>1774864</v>
      </c>
      <c r="I53" s="67">
        <f>(H53/G53)*100</f>
        <v>10440.376470588235</v>
      </c>
    </row>
    <row r="54" spans="1:9" ht="33.75" customHeight="1">
      <c r="A54" s="424" t="s">
        <v>138</v>
      </c>
      <c r="B54" s="424"/>
      <c r="C54" s="424"/>
      <c r="D54" s="424"/>
      <c r="E54" s="424"/>
      <c r="F54" s="424"/>
      <c r="G54" s="71">
        <f>G47+G53</f>
        <v>12548421</v>
      </c>
      <c r="H54" s="71">
        <f>H47+H53</f>
        <v>16084295</v>
      </c>
      <c r="I54" s="68">
        <f>(H54/G54)*100</f>
        <v>128.17784006449895</v>
      </c>
    </row>
    <row r="55" spans="1:9" ht="30.75" customHeight="1">
      <c r="A55" s="240" t="s">
        <v>134</v>
      </c>
      <c r="B55" s="424" t="s">
        <v>139</v>
      </c>
      <c r="C55" s="424"/>
      <c r="D55" s="424"/>
      <c r="E55" s="424"/>
      <c r="F55" s="424"/>
      <c r="G55" s="71"/>
      <c r="H55" s="238"/>
      <c r="I55" s="68"/>
    </row>
    <row r="56" spans="1:9" ht="15">
      <c r="A56" s="240"/>
      <c r="B56" s="239" t="s">
        <v>18</v>
      </c>
      <c r="C56" s="424" t="s">
        <v>205</v>
      </c>
      <c r="D56" s="424"/>
      <c r="E56" s="424"/>
      <c r="F56" s="424"/>
      <c r="G56" s="235"/>
      <c r="H56" s="235"/>
      <c r="I56" s="67"/>
    </row>
    <row r="57" spans="1:9" ht="13.5" customHeight="1">
      <c r="A57" s="240"/>
      <c r="B57" s="239"/>
      <c r="C57" s="239" t="s">
        <v>18</v>
      </c>
      <c r="D57" s="241" t="s">
        <v>430</v>
      </c>
      <c r="E57" s="239"/>
      <c r="F57" s="239"/>
      <c r="G57" s="235"/>
      <c r="H57" s="235">
        <v>31078900</v>
      </c>
      <c r="I57" s="67"/>
    </row>
    <row r="58" spans="1:9" ht="15">
      <c r="A58" s="240"/>
      <c r="B58" s="239"/>
      <c r="C58" s="239" t="s">
        <v>19</v>
      </c>
      <c r="D58" s="241" t="s">
        <v>431</v>
      </c>
      <c r="E58" s="239"/>
      <c r="F58" s="239"/>
      <c r="G58" s="235"/>
      <c r="H58" s="235">
        <v>3453211</v>
      </c>
      <c r="I58" s="67"/>
    </row>
    <row r="59" spans="1:9" ht="30.75" customHeight="1">
      <c r="A59" s="240"/>
      <c r="B59" s="239"/>
      <c r="C59" s="424" t="s">
        <v>206</v>
      </c>
      <c r="D59" s="424"/>
      <c r="E59" s="424"/>
      <c r="F59" s="424"/>
      <c r="G59" s="71"/>
      <c r="H59" s="71">
        <f>H57+H58</f>
        <v>34532111</v>
      </c>
      <c r="I59" s="8"/>
    </row>
    <row r="60" spans="1:19" ht="15">
      <c r="A60" s="10" t="s">
        <v>140</v>
      </c>
      <c r="B60" s="10" t="s">
        <v>92</v>
      </c>
      <c r="C60" s="10"/>
      <c r="D60" s="10"/>
      <c r="E60" s="10"/>
      <c r="F60" s="10"/>
      <c r="G60" s="10"/>
      <c r="H60" s="237"/>
      <c r="I60" s="67"/>
      <c r="L60" s="437"/>
      <c r="M60" s="438"/>
      <c r="N60" s="438"/>
      <c r="O60" s="438"/>
      <c r="P60" s="438"/>
      <c r="Q60" s="438"/>
      <c r="R60" s="438"/>
      <c r="S60" s="438"/>
    </row>
    <row r="61" spans="1:9" ht="15">
      <c r="A61" s="8"/>
      <c r="B61" s="8" t="s">
        <v>148</v>
      </c>
      <c r="C61" s="8" t="s">
        <v>141</v>
      </c>
      <c r="D61" s="8"/>
      <c r="E61" s="8"/>
      <c r="F61" s="8"/>
      <c r="G61" s="8"/>
      <c r="H61" s="236"/>
      <c r="I61" s="67"/>
    </row>
    <row r="62" spans="1:9" ht="15">
      <c r="A62" s="8"/>
      <c r="B62" s="8"/>
      <c r="C62" s="8" t="s">
        <v>18</v>
      </c>
      <c r="D62" s="8" t="s">
        <v>142</v>
      </c>
      <c r="E62" s="8"/>
      <c r="F62" s="8"/>
      <c r="G62" s="236">
        <v>100000</v>
      </c>
      <c r="H62" s="236">
        <v>100000</v>
      </c>
      <c r="I62" s="67">
        <f>H62/G62*100</f>
        <v>100</v>
      </c>
    </row>
    <row r="63" spans="1:9" ht="15">
      <c r="A63" s="10"/>
      <c r="B63" s="10" t="s">
        <v>18</v>
      </c>
      <c r="C63" s="10" t="s">
        <v>143</v>
      </c>
      <c r="D63" s="10"/>
      <c r="E63" s="10"/>
      <c r="F63" s="10"/>
      <c r="G63" s="10"/>
      <c r="H63" s="237"/>
      <c r="I63" s="67"/>
    </row>
    <row r="64" spans="1:9" ht="15">
      <c r="A64" s="8"/>
      <c r="B64" s="8"/>
      <c r="C64" s="8" t="s">
        <v>18</v>
      </c>
      <c r="D64" s="8" t="s">
        <v>144</v>
      </c>
      <c r="E64" s="8"/>
      <c r="F64" s="8"/>
      <c r="G64" s="236">
        <v>1000000</v>
      </c>
      <c r="H64" s="236">
        <v>1000000</v>
      </c>
      <c r="I64" s="67">
        <f>H64/G64*100</f>
        <v>100</v>
      </c>
    </row>
    <row r="65" spans="1:9" ht="15">
      <c r="A65" s="10"/>
      <c r="B65" s="10" t="s">
        <v>19</v>
      </c>
      <c r="C65" s="10" t="s">
        <v>145</v>
      </c>
      <c r="D65" s="10"/>
      <c r="E65" s="10"/>
      <c r="F65" s="10"/>
      <c r="G65" s="237"/>
      <c r="H65" s="237"/>
      <c r="I65" s="67"/>
    </row>
    <row r="66" spans="1:9" ht="15">
      <c r="A66" s="8"/>
      <c r="B66" s="8"/>
      <c r="C66" s="8" t="s">
        <v>18</v>
      </c>
      <c r="D66" s="8" t="s">
        <v>146</v>
      </c>
      <c r="E66" s="8"/>
      <c r="F66" s="8"/>
      <c r="G66" s="236">
        <v>200000</v>
      </c>
      <c r="H66" s="236">
        <v>200000</v>
      </c>
      <c r="I66" s="67">
        <f>H66/G66*100</f>
        <v>100</v>
      </c>
    </row>
    <row r="67" spans="1:9" ht="15">
      <c r="A67" s="10"/>
      <c r="B67" s="10" t="s">
        <v>21</v>
      </c>
      <c r="C67" s="10" t="s">
        <v>147</v>
      </c>
      <c r="D67" s="10"/>
      <c r="E67" s="10"/>
      <c r="F67" s="10"/>
      <c r="G67" s="237"/>
      <c r="H67" s="237"/>
      <c r="I67" s="67"/>
    </row>
    <row r="68" spans="1:9" ht="15">
      <c r="A68" s="8"/>
      <c r="B68" s="8"/>
      <c r="C68" s="10" t="s">
        <v>18</v>
      </c>
      <c r="D68" s="8" t="s">
        <v>149</v>
      </c>
      <c r="E68" s="8"/>
      <c r="F68" s="8"/>
      <c r="G68" s="236">
        <v>10000</v>
      </c>
      <c r="H68" s="236">
        <v>10000</v>
      </c>
      <c r="I68" s="67">
        <f>H68/G68*100</f>
        <v>100</v>
      </c>
    </row>
    <row r="69" spans="1:9" ht="15">
      <c r="A69" s="8"/>
      <c r="B69" s="8"/>
      <c r="C69" s="10" t="s">
        <v>20</v>
      </c>
      <c r="D69" s="8" t="s">
        <v>150</v>
      </c>
      <c r="E69" s="8"/>
      <c r="F69" s="8"/>
      <c r="G69" s="236">
        <v>10000</v>
      </c>
      <c r="H69" s="236">
        <v>10000</v>
      </c>
      <c r="I69" s="67">
        <f>H69/G69*100</f>
        <v>100</v>
      </c>
    </row>
    <row r="70" spans="1:9" ht="15">
      <c r="A70" s="10" t="s">
        <v>151</v>
      </c>
      <c r="B70" s="77"/>
      <c r="C70" s="77"/>
      <c r="D70" s="77"/>
      <c r="E70" s="77"/>
      <c r="F70" s="77"/>
      <c r="G70" s="238">
        <f>SUM(G62:G69)</f>
        <v>1320000</v>
      </c>
      <c r="H70" s="238">
        <f>SUM(H62:H69)</f>
        <v>1320000</v>
      </c>
      <c r="I70" s="68">
        <f>H70/G70*100</f>
        <v>100</v>
      </c>
    </row>
    <row r="71" spans="1:9" ht="15">
      <c r="A71" s="10" t="s">
        <v>152</v>
      </c>
      <c r="B71" s="10" t="s">
        <v>93</v>
      </c>
      <c r="C71" s="10"/>
      <c r="D71" s="10"/>
      <c r="E71" s="10"/>
      <c r="F71" s="10"/>
      <c r="G71" s="10"/>
      <c r="H71" s="237"/>
      <c r="I71" s="67"/>
    </row>
    <row r="72" spans="1:9" ht="15">
      <c r="A72" s="77"/>
      <c r="B72" s="77" t="s">
        <v>18</v>
      </c>
      <c r="C72" s="441" t="s">
        <v>153</v>
      </c>
      <c r="D72" s="441"/>
      <c r="E72" s="441"/>
      <c r="F72" s="441"/>
      <c r="G72" s="235"/>
      <c r="H72" s="235"/>
      <c r="I72" s="67"/>
    </row>
    <row r="73" spans="1:9" ht="13.5" customHeight="1">
      <c r="A73" s="77"/>
      <c r="B73" s="77"/>
      <c r="C73" s="80" t="s">
        <v>18</v>
      </c>
      <c r="D73" s="80" t="s">
        <v>154</v>
      </c>
      <c r="E73" s="80"/>
      <c r="F73" s="80"/>
      <c r="G73" s="235">
        <v>578000</v>
      </c>
      <c r="H73" s="235">
        <f>568000+23622+10000</f>
        <v>601622</v>
      </c>
      <c r="I73" s="67">
        <f>H73/G73*100</f>
        <v>104.08685121107266</v>
      </c>
    </row>
    <row r="74" spans="1:9" ht="15">
      <c r="A74" s="77"/>
      <c r="B74" s="77"/>
      <c r="C74" s="80" t="s">
        <v>19</v>
      </c>
      <c r="D74" s="80" t="s">
        <v>155</v>
      </c>
      <c r="E74" s="80"/>
      <c r="F74" s="80"/>
      <c r="G74" s="235">
        <v>567000</v>
      </c>
      <c r="H74" s="235">
        <v>534881</v>
      </c>
      <c r="I74" s="67">
        <f>H74/G74*100</f>
        <v>94.33527336860669</v>
      </c>
    </row>
    <row r="75" spans="1:9" ht="13.5" customHeight="1">
      <c r="A75" s="77"/>
      <c r="B75" s="77"/>
      <c r="C75" s="80" t="s">
        <v>20</v>
      </c>
      <c r="D75" s="80" t="s">
        <v>156</v>
      </c>
      <c r="E75" s="77"/>
      <c r="F75" s="77"/>
      <c r="G75" s="235">
        <v>2000</v>
      </c>
      <c r="H75" s="235">
        <v>2000</v>
      </c>
      <c r="I75" s="67">
        <f>H75/G75*100</f>
        <v>100</v>
      </c>
    </row>
    <row r="76" spans="1:9" ht="15">
      <c r="A76" s="77"/>
      <c r="B76" s="77"/>
      <c r="C76" s="80" t="s">
        <v>21</v>
      </c>
      <c r="D76" s="80" t="s">
        <v>401</v>
      </c>
      <c r="E76" s="77"/>
      <c r="F76" s="77"/>
      <c r="G76" s="235"/>
      <c r="H76" s="235">
        <f>159738+144074+74218</f>
        <v>378030</v>
      </c>
      <c r="I76" s="67"/>
    </row>
    <row r="77" spans="1:9" ht="12.75" customHeight="1">
      <c r="A77" s="77"/>
      <c r="B77" s="77"/>
      <c r="C77" s="80" t="s">
        <v>22</v>
      </c>
      <c r="D77" s="80" t="s">
        <v>404</v>
      </c>
      <c r="E77" s="77"/>
      <c r="F77" s="77"/>
      <c r="G77" s="235"/>
      <c r="H77" s="235">
        <f>228520+9323670</f>
        <v>9552190</v>
      </c>
      <c r="I77" s="67"/>
    </row>
    <row r="78" spans="1:9" ht="15.75" customHeight="1">
      <c r="A78" s="10" t="s">
        <v>157</v>
      </c>
      <c r="B78" s="77"/>
      <c r="C78" s="77"/>
      <c r="D78" s="77"/>
      <c r="E78" s="77"/>
      <c r="F78" s="77"/>
      <c r="G78" s="238">
        <f>G73+G74+G75</f>
        <v>1147000</v>
      </c>
      <c r="H78" s="238">
        <f>H73+H74+H75+H76+H77</f>
        <v>11068723</v>
      </c>
      <c r="I78" s="68">
        <f>H78/G78*100</f>
        <v>965.0150828247602</v>
      </c>
    </row>
    <row r="79" spans="1:9" ht="6" customHeight="1" hidden="1">
      <c r="A79" s="10"/>
      <c r="B79" s="77"/>
      <c r="C79" s="77"/>
      <c r="D79" s="77"/>
      <c r="E79" s="77"/>
      <c r="F79" s="77"/>
      <c r="G79" s="238"/>
      <c r="H79" s="238"/>
      <c r="I79" s="68"/>
    </row>
    <row r="80" spans="1:9" ht="15">
      <c r="A80" s="10" t="s">
        <v>158</v>
      </c>
      <c r="B80" s="10" t="s">
        <v>97</v>
      </c>
      <c r="C80" s="10"/>
      <c r="D80" s="10"/>
      <c r="E80" s="10"/>
      <c r="F80" s="10"/>
      <c r="G80" s="10"/>
      <c r="H80" s="237"/>
      <c r="I80" s="67"/>
    </row>
    <row r="81" spans="1:9" ht="27.75" customHeight="1">
      <c r="A81" s="8"/>
      <c r="B81" s="86" t="s">
        <v>18</v>
      </c>
      <c r="C81" s="436" t="s">
        <v>209</v>
      </c>
      <c r="D81" s="436"/>
      <c r="E81" s="436"/>
      <c r="F81" s="436"/>
      <c r="G81" s="70"/>
      <c r="H81" s="234"/>
      <c r="I81" s="67"/>
    </row>
    <row r="82" spans="1:9" ht="0.75" customHeight="1">
      <c r="A82" s="8"/>
      <c r="B82" s="8"/>
      <c r="C82" s="8"/>
      <c r="D82" s="8"/>
      <c r="E82" s="8"/>
      <c r="F82" s="8"/>
      <c r="G82" s="8"/>
      <c r="H82" s="236"/>
      <c r="I82" s="67"/>
    </row>
    <row r="83" spans="1:9" ht="27.75" customHeight="1">
      <c r="A83" s="419" t="s">
        <v>207</v>
      </c>
      <c r="B83" s="419"/>
      <c r="C83" s="419"/>
      <c r="D83" s="419"/>
      <c r="E83" s="419"/>
      <c r="F83" s="419"/>
      <c r="G83" s="71">
        <f>SUM(G82:G82)</f>
        <v>0</v>
      </c>
      <c r="H83" s="71">
        <f>SUM(H82:H82)</f>
        <v>0</v>
      </c>
      <c r="I83" s="68"/>
    </row>
    <row r="84" spans="1:9" ht="17.25" customHeight="1">
      <c r="A84" s="10" t="s">
        <v>159</v>
      </c>
      <c r="B84" s="10"/>
      <c r="C84" s="10"/>
      <c r="D84" s="10"/>
      <c r="E84" s="10"/>
      <c r="F84" s="10"/>
      <c r="G84" s="71">
        <f>G54+G59+G70+G78+G83</f>
        <v>15015421</v>
      </c>
      <c r="H84" s="71">
        <f>H54+H59+H70+H78+H83</f>
        <v>63005129</v>
      </c>
      <c r="I84" s="68">
        <f>H84/G84*100</f>
        <v>419.60281366736234</v>
      </c>
    </row>
    <row r="85" spans="1:9" ht="4.5" customHeight="1">
      <c r="A85" s="10"/>
      <c r="B85" s="10"/>
      <c r="C85" s="10"/>
      <c r="D85" s="10"/>
      <c r="E85" s="10"/>
      <c r="F85" s="10"/>
      <c r="G85" s="71"/>
      <c r="H85" s="71"/>
      <c r="I85" s="68"/>
    </row>
    <row r="86" spans="1:9" ht="15">
      <c r="A86" s="10" t="s">
        <v>160</v>
      </c>
      <c r="B86" s="419" t="s">
        <v>161</v>
      </c>
      <c r="C86" s="419"/>
      <c r="D86" s="419"/>
      <c r="E86" s="419"/>
      <c r="F86" s="419"/>
      <c r="G86" s="10"/>
      <c r="H86" s="234"/>
      <c r="I86" s="68"/>
    </row>
    <row r="87" spans="1:9" ht="15">
      <c r="A87" s="10"/>
      <c r="B87" s="75" t="s">
        <v>18</v>
      </c>
      <c r="C87" s="419" t="s">
        <v>208</v>
      </c>
      <c r="D87" s="419"/>
      <c r="E87" s="419"/>
      <c r="F87" s="419"/>
      <c r="G87" s="235"/>
      <c r="H87" s="234"/>
      <c r="I87" s="68"/>
    </row>
    <row r="88" spans="1:9" ht="15">
      <c r="A88" s="10"/>
      <c r="B88" s="75"/>
      <c r="C88" s="89" t="s">
        <v>18</v>
      </c>
      <c r="D88" s="436" t="s">
        <v>214</v>
      </c>
      <c r="E88" s="436"/>
      <c r="F88" s="436"/>
      <c r="G88" s="233">
        <v>941638</v>
      </c>
      <c r="H88" s="233">
        <f>498541+2950000+692190+130000-10000+72787+400000+10526035</f>
        <v>15259553</v>
      </c>
      <c r="I88" s="68">
        <f>H88/G88*100</f>
        <v>1620.5328374598305</v>
      </c>
    </row>
    <row r="89" spans="1:9" ht="14.25">
      <c r="A89" s="10" t="s">
        <v>161</v>
      </c>
      <c r="B89" s="10"/>
      <c r="C89" s="10"/>
      <c r="D89" s="10"/>
      <c r="E89" s="10"/>
      <c r="F89" s="10"/>
      <c r="G89" s="71">
        <f>G88</f>
        <v>941638</v>
      </c>
      <c r="H89" s="71">
        <f>H88</f>
        <v>15259553</v>
      </c>
      <c r="I89" s="68">
        <f>H89/G89*100</f>
        <v>1620.5328374598305</v>
      </c>
    </row>
    <row r="90" spans="1:9" ht="6" customHeight="1">
      <c r="A90" s="10"/>
      <c r="B90" s="10"/>
      <c r="C90" s="10"/>
      <c r="D90" s="10"/>
      <c r="E90" s="10"/>
      <c r="F90" s="10"/>
      <c r="G90" s="71"/>
      <c r="H90" s="71"/>
      <c r="I90" s="68"/>
    </row>
    <row r="91" spans="1:9" ht="15.75">
      <c r="A91" s="14" t="s">
        <v>162</v>
      </c>
      <c r="B91" s="14"/>
      <c r="C91" s="14"/>
      <c r="D91" s="14"/>
      <c r="E91" s="14"/>
      <c r="F91" s="14"/>
      <c r="G91" s="91">
        <f>G84+G89</f>
        <v>15957059</v>
      </c>
      <c r="H91" s="91">
        <f>H84+H89</f>
        <v>78264682</v>
      </c>
      <c r="I91" s="69">
        <f>H91/G91*100</f>
        <v>490.470593610013</v>
      </c>
    </row>
    <row r="92" spans="1:9" ht="15">
      <c r="A92" s="8"/>
      <c r="B92" s="8"/>
      <c r="C92" s="8"/>
      <c r="D92" s="8"/>
      <c r="E92" s="8"/>
      <c r="F92" s="8"/>
      <c r="G92" s="8"/>
      <c r="H92" s="8"/>
      <c r="I92" s="8"/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"/>
      <c r="B94" s="8"/>
      <c r="C94" s="8"/>
      <c r="D94" s="8"/>
      <c r="E94" s="8"/>
      <c r="F94" s="8"/>
      <c r="G94" s="8"/>
      <c r="H94" s="8"/>
      <c r="I94" s="8"/>
    </row>
    <row r="95" spans="1:9" ht="15">
      <c r="A95" s="8"/>
      <c r="B95" s="8"/>
      <c r="C95" s="8"/>
      <c r="D95" s="8"/>
      <c r="E95" s="8"/>
      <c r="F95" s="8"/>
      <c r="G95" s="8"/>
      <c r="H95" s="8"/>
      <c r="I95" s="8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</sheetData>
  <sheetProtection password="AF00" sheet="1" objects="1" scenarios="1" selectLockedCells="1" selectUnlockedCells="1"/>
  <mergeCells count="42">
    <mergeCell ref="A83:F83"/>
    <mergeCell ref="B86:F86"/>
    <mergeCell ref="C87:F87"/>
    <mergeCell ref="C72:F72"/>
    <mergeCell ref="C81:F81"/>
    <mergeCell ref="D88:F88"/>
    <mergeCell ref="B55:F55"/>
    <mergeCell ref="C56:F56"/>
    <mergeCell ref="C59:F59"/>
    <mergeCell ref="L60:S60"/>
    <mergeCell ref="D50:F50"/>
    <mergeCell ref="B53:F53"/>
    <mergeCell ref="A54:F54"/>
    <mergeCell ref="D51:F51"/>
    <mergeCell ref="D52:F52"/>
    <mergeCell ref="B36:F36"/>
    <mergeCell ref="E37:F37"/>
    <mergeCell ref="E29:F29"/>
    <mergeCell ref="E30:F30"/>
    <mergeCell ref="E32:F32"/>
    <mergeCell ref="E33:F33"/>
    <mergeCell ref="E31:F31"/>
    <mergeCell ref="A5:I5"/>
    <mergeCell ref="B48:F48"/>
    <mergeCell ref="D13:F13"/>
    <mergeCell ref="A6:I6"/>
    <mergeCell ref="H7:I7"/>
    <mergeCell ref="A8:F10"/>
    <mergeCell ref="B11:F11"/>
    <mergeCell ref="B39:F39"/>
    <mergeCell ref="E28:F28"/>
    <mergeCell ref="C34:F34"/>
    <mergeCell ref="B47:F47"/>
    <mergeCell ref="E43:F43"/>
    <mergeCell ref="A1:I1"/>
    <mergeCell ref="A2:I2"/>
    <mergeCell ref="E14:F14"/>
    <mergeCell ref="E15:F15"/>
    <mergeCell ref="A25:F26"/>
    <mergeCell ref="B27:F27"/>
    <mergeCell ref="A3:I3"/>
    <mergeCell ref="A4:I4"/>
  </mergeCells>
  <printOptions/>
  <pageMargins left="0.25" right="0.25" top="0.75" bottom="0.75" header="0.3" footer="0.3"/>
  <pageSetup horizontalDpi="200" verticalDpi="200" orientation="portrait" paperSize="9" scale="85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3" max="3" width="53.625" style="0" customWidth="1"/>
    <col min="4" max="4" width="14.375" style="0" customWidth="1"/>
    <col min="5" max="5" width="15.00390625" style="0" customWidth="1"/>
    <col min="6" max="6" width="19.00390625" style="0" customWidth="1"/>
    <col min="7" max="7" width="25.375" style="0" customWidth="1"/>
  </cols>
  <sheetData>
    <row r="1" spans="1:9" ht="15.75">
      <c r="A1" s="442" t="s">
        <v>478</v>
      </c>
      <c r="B1" s="408"/>
      <c r="C1" s="408"/>
      <c r="D1" s="408"/>
      <c r="E1" s="408"/>
      <c r="F1" s="408"/>
      <c r="G1" s="408"/>
      <c r="H1" s="171"/>
      <c r="I1" s="171"/>
    </row>
    <row r="2" spans="1:16" ht="15.75">
      <c r="A2" s="443"/>
      <c r="B2" s="416"/>
      <c r="C2" s="416"/>
      <c r="D2" s="416"/>
      <c r="E2" s="416"/>
      <c r="F2" s="416"/>
      <c r="G2" s="416"/>
      <c r="H2" s="106"/>
      <c r="I2" s="255"/>
      <c r="J2" s="255"/>
      <c r="K2" s="255"/>
      <c r="L2" s="255"/>
      <c r="M2" s="255"/>
      <c r="N2" s="255"/>
      <c r="O2" s="255"/>
      <c r="P2" s="255"/>
    </row>
    <row r="3" spans="2:16" ht="15.75"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2:16" ht="15.75"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</row>
    <row r="5" spans="2:16" ht="15.75">
      <c r="B5" s="450"/>
      <c r="C5" s="451"/>
      <c r="D5" s="451"/>
      <c r="E5" s="451"/>
      <c r="F5" s="451"/>
      <c r="G5" s="451"/>
      <c r="H5" s="285"/>
      <c r="I5" s="285"/>
      <c r="J5" s="285"/>
      <c r="K5" s="285"/>
      <c r="L5" s="285"/>
      <c r="M5" s="285"/>
      <c r="N5" s="285"/>
      <c r="O5" s="285"/>
      <c r="P5" s="285"/>
    </row>
    <row r="6" spans="2:16" ht="15.75">
      <c r="B6" s="449" t="s">
        <v>324</v>
      </c>
      <c r="C6" s="449"/>
      <c r="D6" s="449"/>
      <c r="E6" s="449"/>
      <c r="F6" s="449"/>
      <c r="G6" s="449"/>
      <c r="H6" s="284"/>
      <c r="I6" s="284"/>
      <c r="J6" s="284"/>
      <c r="K6" s="284"/>
      <c r="L6" s="284"/>
      <c r="M6" s="284"/>
      <c r="N6" s="284"/>
      <c r="O6" s="284"/>
      <c r="P6" s="284"/>
    </row>
    <row r="7" spans="2:16" ht="15.75">
      <c r="B7" s="449" t="s">
        <v>325</v>
      </c>
      <c r="C7" s="449"/>
      <c r="D7" s="449"/>
      <c r="E7" s="449"/>
      <c r="F7" s="449"/>
      <c r="G7" s="449"/>
      <c r="H7" s="284"/>
      <c r="I7" s="284"/>
      <c r="J7" s="284"/>
      <c r="K7" s="284"/>
      <c r="L7" s="284"/>
      <c r="M7" s="284"/>
      <c r="N7" s="284"/>
      <c r="O7" s="284"/>
      <c r="P7" s="284"/>
    </row>
    <row r="8" spans="2:16" ht="15.75">
      <c r="B8" s="449" t="s">
        <v>386</v>
      </c>
      <c r="C8" s="449"/>
      <c r="D8" s="449"/>
      <c r="E8" s="449"/>
      <c r="F8" s="449"/>
      <c r="G8" s="449"/>
      <c r="H8" s="284"/>
      <c r="I8" s="284"/>
      <c r="J8" s="284"/>
      <c r="K8" s="284"/>
      <c r="L8" s="284"/>
      <c r="M8" s="284"/>
      <c r="N8" s="284"/>
      <c r="O8" s="284"/>
      <c r="P8" s="284"/>
    </row>
    <row r="9" spans="2:16" ht="16.5" thickBot="1">
      <c r="B9" s="281"/>
      <c r="C9" s="281"/>
      <c r="D9" s="281"/>
      <c r="E9" s="281"/>
      <c r="F9" s="281"/>
      <c r="G9" s="283" t="s">
        <v>387</v>
      </c>
      <c r="H9" s="281"/>
      <c r="I9" s="281"/>
      <c r="J9" s="282"/>
      <c r="K9" s="281"/>
      <c r="L9" s="281"/>
      <c r="M9" s="281"/>
      <c r="N9" s="282"/>
      <c r="O9" s="282"/>
      <c r="P9" s="281"/>
    </row>
    <row r="10" spans="1:16" ht="16.5" thickBot="1">
      <c r="A10" s="444" t="s">
        <v>406</v>
      </c>
      <c r="B10" s="452" t="s">
        <v>326</v>
      </c>
      <c r="C10" s="455" t="s">
        <v>165</v>
      </c>
      <c r="D10" s="458" t="s">
        <v>327</v>
      </c>
      <c r="E10" s="461" t="s">
        <v>328</v>
      </c>
      <c r="F10" s="462"/>
      <c r="G10" s="463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15.75">
      <c r="A11" s="445"/>
      <c r="B11" s="453"/>
      <c r="C11" s="456"/>
      <c r="D11" s="459"/>
      <c r="E11" s="464" t="s">
        <v>329</v>
      </c>
      <c r="F11" s="464" t="s">
        <v>330</v>
      </c>
      <c r="G11" s="465" t="s">
        <v>331</v>
      </c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16.5" thickBot="1">
      <c r="A12" s="445"/>
      <c r="B12" s="453"/>
      <c r="C12" s="456"/>
      <c r="D12" s="459"/>
      <c r="E12" s="464"/>
      <c r="F12" s="464"/>
      <c r="G12" s="46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ht="15.75">
      <c r="A13" s="445"/>
      <c r="B13" s="453"/>
      <c r="C13" s="456"/>
      <c r="D13" s="459"/>
      <c r="E13" s="466" t="s">
        <v>332</v>
      </c>
      <c r="F13" s="467"/>
      <c r="G13" s="468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1:16" ht="19.5" customHeight="1" thickBot="1">
      <c r="A14" s="446"/>
      <c r="B14" s="454"/>
      <c r="C14" s="457"/>
      <c r="D14" s="460"/>
      <c r="E14" s="469"/>
      <c r="F14" s="470"/>
      <c r="G14" s="471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6" ht="31.5">
      <c r="A15" s="202" t="s">
        <v>18</v>
      </c>
      <c r="B15" s="280" t="s">
        <v>175</v>
      </c>
      <c r="C15" s="279" t="s">
        <v>176</v>
      </c>
      <c r="D15" s="278">
        <f aca="true" t="shared" si="0" ref="D15:D23">E15+F15+G15</f>
        <v>223010</v>
      </c>
      <c r="E15" s="277">
        <f>2000+221010</f>
        <v>223010</v>
      </c>
      <c r="F15" s="277"/>
      <c r="G15" s="276"/>
      <c r="H15" s="259"/>
      <c r="I15" s="259"/>
      <c r="J15" s="257"/>
      <c r="K15" s="275"/>
      <c r="L15" s="256"/>
      <c r="M15" s="256"/>
      <c r="N15" s="257"/>
      <c r="O15" s="257"/>
      <c r="P15" s="256"/>
    </row>
    <row r="16" spans="1:16" ht="15.75">
      <c r="A16" s="203" t="s">
        <v>19</v>
      </c>
      <c r="B16" s="271" t="s">
        <v>333</v>
      </c>
      <c r="C16" s="270" t="s">
        <v>334</v>
      </c>
      <c r="D16" s="269">
        <f t="shared" si="0"/>
        <v>14364431</v>
      </c>
      <c r="E16" s="267">
        <f>13948524-1485000+63336+1000000+65336+55360+661875+55000</f>
        <v>14364431</v>
      </c>
      <c r="F16" s="267"/>
      <c r="G16" s="266"/>
      <c r="H16" s="259"/>
      <c r="I16" s="259"/>
      <c r="J16" s="257"/>
      <c r="K16" s="256"/>
      <c r="L16" s="256"/>
      <c r="M16" s="256"/>
      <c r="N16" s="257"/>
      <c r="O16" s="257"/>
      <c r="P16" s="256"/>
    </row>
    <row r="17" spans="1:16" ht="15.75">
      <c r="A17" s="203" t="s">
        <v>20</v>
      </c>
      <c r="B17" s="271" t="s">
        <v>402</v>
      </c>
      <c r="C17" s="270" t="s">
        <v>403</v>
      </c>
      <c r="D17" s="269">
        <f t="shared" si="0"/>
        <v>15259553</v>
      </c>
      <c r="E17" s="267">
        <f>4260731+10998822</f>
        <v>15259553</v>
      </c>
      <c r="F17" s="267"/>
      <c r="G17" s="266"/>
      <c r="H17" s="259"/>
      <c r="I17" s="259"/>
      <c r="J17" s="257"/>
      <c r="K17" s="256"/>
      <c r="L17" s="256"/>
      <c r="M17" s="256"/>
      <c r="N17" s="257"/>
      <c r="O17" s="257"/>
      <c r="P17" s="256"/>
    </row>
    <row r="18" spans="1:16" ht="15.75">
      <c r="A18" s="203"/>
      <c r="B18" s="271" t="s">
        <v>504</v>
      </c>
      <c r="C18" s="270" t="s">
        <v>503</v>
      </c>
      <c r="D18" s="269">
        <f t="shared" si="0"/>
        <v>1446654</v>
      </c>
      <c r="E18" s="267">
        <f>722670+723984</f>
        <v>1446654</v>
      </c>
      <c r="F18" s="267"/>
      <c r="G18" s="266"/>
      <c r="H18" s="259"/>
      <c r="I18" s="259"/>
      <c r="J18" s="257"/>
      <c r="K18" s="256"/>
      <c r="L18" s="256"/>
      <c r="M18" s="256"/>
      <c r="N18" s="257"/>
      <c r="O18" s="257"/>
      <c r="P18" s="256"/>
    </row>
    <row r="19" spans="1:16" ht="16.5">
      <c r="A19" s="203" t="s">
        <v>21</v>
      </c>
      <c r="B19" s="274" t="s">
        <v>183</v>
      </c>
      <c r="C19" s="273" t="s">
        <v>184</v>
      </c>
      <c r="D19" s="269">
        <f t="shared" si="0"/>
        <v>43929999</v>
      </c>
      <c r="E19" s="267">
        <v>43929999</v>
      </c>
      <c r="F19" s="267"/>
      <c r="G19" s="266"/>
      <c r="H19" s="259"/>
      <c r="I19" s="259"/>
      <c r="J19" s="257"/>
      <c r="K19" s="256"/>
      <c r="L19" s="256"/>
      <c r="M19" s="256"/>
      <c r="N19" s="257"/>
      <c r="O19" s="257"/>
      <c r="P19" s="256"/>
    </row>
    <row r="20" spans="1:16" ht="15.75">
      <c r="A20" s="203" t="s">
        <v>22</v>
      </c>
      <c r="B20" s="271" t="s">
        <v>187</v>
      </c>
      <c r="C20" s="270" t="s">
        <v>188</v>
      </c>
      <c r="D20" s="269">
        <f t="shared" si="0"/>
        <v>761360</v>
      </c>
      <c r="E20" s="267"/>
      <c r="F20" s="267">
        <v>761360</v>
      </c>
      <c r="G20" s="266"/>
      <c r="H20" s="259"/>
      <c r="I20" s="259"/>
      <c r="J20" s="257"/>
      <c r="K20" s="256"/>
      <c r="L20" s="256"/>
      <c r="M20" s="256"/>
      <c r="N20" s="257"/>
      <c r="O20" s="257"/>
      <c r="P20" s="256"/>
    </row>
    <row r="21" spans="1:16" ht="15.75">
      <c r="A21" s="203" t="s">
        <v>23</v>
      </c>
      <c r="B21" s="271">
        <v>104051</v>
      </c>
      <c r="C21" s="270" t="s">
        <v>341</v>
      </c>
      <c r="D21" s="269">
        <f t="shared" si="0"/>
        <v>52200</v>
      </c>
      <c r="E21" s="267"/>
      <c r="F21" s="267"/>
      <c r="G21" s="266">
        <v>52200</v>
      </c>
      <c r="H21" s="259"/>
      <c r="I21" s="259"/>
      <c r="J21" s="257"/>
      <c r="K21" s="256"/>
      <c r="L21" s="256"/>
      <c r="M21" s="256"/>
      <c r="N21" s="257"/>
      <c r="O21" s="257"/>
      <c r="P21" s="256"/>
    </row>
    <row r="22" spans="1:16" ht="15.75">
      <c r="A22" s="203" t="s">
        <v>25</v>
      </c>
      <c r="B22" s="271">
        <v>107051</v>
      </c>
      <c r="C22" s="270" t="s">
        <v>195</v>
      </c>
      <c r="D22" s="269">
        <f t="shared" si="0"/>
        <v>907475</v>
      </c>
      <c r="E22" s="272">
        <v>907475</v>
      </c>
      <c r="F22" s="267"/>
      <c r="G22" s="266"/>
      <c r="H22" s="259"/>
      <c r="I22" s="259"/>
      <c r="J22" s="257"/>
      <c r="K22" s="256"/>
      <c r="L22" s="256"/>
      <c r="M22" s="256"/>
      <c r="N22" s="257"/>
      <c r="O22" s="257"/>
      <c r="P22" s="256"/>
    </row>
    <row r="23" spans="1:16" ht="32.25" thickBot="1">
      <c r="A23" s="205" t="s">
        <v>26</v>
      </c>
      <c r="B23" s="271">
        <v>900020</v>
      </c>
      <c r="C23" s="270" t="s">
        <v>342</v>
      </c>
      <c r="D23" s="269">
        <f t="shared" si="0"/>
        <v>1320000</v>
      </c>
      <c r="E23" s="268">
        <v>1320000</v>
      </c>
      <c r="F23" s="267"/>
      <c r="G23" s="266"/>
      <c r="H23" s="259"/>
      <c r="I23" s="259"/>
      <c r="J23" s="257"/>
      <c r="K23" s="256"/>
      <c r="L23" s="256"/>
      <c r="M23" s="256"/>
      <c r="N23" s="257"/>
      <c r="O23" s="257"/>
      <c r="P23" s="256"/>
    </row>
    <row r="24" spans="1:16" ht="16.5" thickBot="1">
      <c r="A24" s="206" t="s">
        <v>27</v>
      </c>
      <c r="B24" s="265"/>
      <c r="C24" s="264" t="s">
        <v>295</v>
      </c>
      <c r="D24" s="261">
        <f>SUM(D15:D23)</f>
        <v>78264682</v>
      </c>
      <c r="E24" s="263">
        <f>SUM(E15:E23)</f>
        <v>77451122</v>
      </c>
      <c r="F24" s="262">
        <f>SUM(F15:F23)</f>
        <v>761360</v>
      </c>
      <c r="G24" s="261">
        <f>SUM(G15:G23)</f>
        <v>52200</v>
      </c>
      <c r="H24" s="259"/>
      <c r="I24" s="259"/>
      <c r="J24" s="260"/>
      <c r="K24" s="259"/>
      <c r="L24" s="259"/>
      <c r="M24" s="259"/>
      <c r="N24" s="260"/>
      <c r="O24" s="259"/>
      <c r="P24" s="259"/>
    </row>
    <row r="25" spans="2:16" ht="15.75">
      <c r="B25" s="255"/>
      <c r="C25" s="255"/>
      <c r="D25" s="255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</row>
    <row r="26" spans="2:16" ht="15.75">
      <c r="B26" s="255"/>
      <c r="C26" s="255"/>
      <c r="D26" s="255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</row>
    <row r="27" spans="2:16" ht="15.75">
      <c r="B27" s="228"/>
      <c r="C27" s="258"/>
      <c r="D27" s="228"/>
      <c r="E27" s="256"/>
      <c r="F27" s="256"/>
      <c r="G27" s="256"/>
      <c r="H27" s="256"/>
      <c r="I27" s="256"/>
      <c r="J27" s="257"/>
      <c r="K27" s="256"/>
      <c r="L27" s="256"/>
      <c r="M27" s="256"/>
      <c r="N27" s="257"/>
      <c r="O27" s="257"/>
      <c r="P27" s="256"/>
    </row>
    <row r="28" spans="2:16" ht="15.75">
      <c r="B28" s="255"/>
      <c r="C28" s="255"/>
      <c r="D28" s="255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</row>
    <row r="29" spans="2:16" ht="15.75">
      <c r="B29" s="255"/>
      <c r="C29" s="255"/>
      <c r="D29" s="255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</row>
    <row r="30" spans="2:16" ht="12.75">
      <c r="B30" s="253"/>
      <c r="C30" s="253"/>
      <c r="D30" s="253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</row>
  </sheetData>
  <sheetProtection password="AF00" sheet="1" objects="1" scenarios="1" selectLockedCells="1" selectUnlockedCells="1"/>
  <mergeCells count="17">
    <mergeCell ref="C10:C14"/>
    <mergeCell ref="D10:D14"/>
    <mergeCell ref="E10:G10"/>
    <mergeCell ref="E11:E12"/>
    <mergeCell ref="F11:F12"/>
    <mergeCell ref="G11:G12"/>
    <mergeCell ref="E13:G14"/>
    <mergeCell ref="A1:G1"/>
    <mergeCell ref="A2:G2"/>
    <mergeCell ref="A10:A14"/>
    <mergeCell ref="B3:P3"/>
    <mergeCell ref="B4:P4"/>
    <mergeCell ref="B6:G6"/>
    <mergeCell ref="B7:G7"/>
    <mergeCell ref="B8:G8"/>
    <mergeCell ref="B5:G5"/>
    <mergeCell ref="B10:B14"/>
  </mergeCells>
  <printOptions/>
  <pageMargins left="0.2362204724409449" right="0.15748031496062992" top="0.984251968503937" bottom="0.984251968503937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90" zoomScaleNormal="90" zoomScaleSheetLayoutView="90" zoomScalePageLayoutView="0" workbookViewId="0" topLeftCell="A1">
      <selection activeCell="B6" sqref="B6:S6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2.25390625" style="0" customWidth="1"/>
    <col min="5" max="6" width="9.25390625" style="0" bestFit="1" customWidth="1"/>
    <col min="7" max="7" width="10.125" style="0" customWidth="1"/>
    <col min="8" max="8" width="9.25390625" style="0" bestFit="1" customWidth="1"/>
    <col min="9" max="9" width="9.875" style="0" bestFit="1" customWidth="1"/>
    <col min="10" max="10" width="10.875" style="0" customWidth="1"/>
    <col min="11" max="11" width="10.75390625" style="0" customWidth="1"/>
    <col min="12" max="12" width="8.25390625" style="0" customWidth="1"/>
    <col min="13" max="13" width="9.25390625" style="0" bestFit="1" customWidth="1"/>
    <col min="14" max="14" width="10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25390625" style="0" bestFit="1" customWidth="1"/>
    <col min="19" max="19" width="5.25390625" style="0" customWidth="1"/>
  </cols>
  <sheetData>
    <row r="1" spans="1:19" ht="16.5">
      <c r="A1" s="473" t="s">
        <v>479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</row>
    <row r="2" spans="1:19" ht="16.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2:19" ht="16.5" customHeight="1"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</row>
    <row r="4" spans="2:19" ht="18">
      <c r="B4" s="477" t="s">
        <v>163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</row>
    <row r="5" spans="2:19" ht="18">
      <c r="B5" s="477" t="s">
        <v>198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</row>
    <row r="6" spans="2:19" ht="18">
      <c r="B6" s="477" t="s">
        <v>386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</row>
    <row r="7" spans="2:19" ht="17.25" thickBot="1">
      <c r="B7" s="334"/>
      <c r="C7" s="334"/>
      <c r="D7" s="334"/>
      <c r="E7" s="334"/>
      <c r="F7" s="334"/>
      <c r="G7" s="334"/>
      <c r="H7" s="334"/>
      <c r="I7" s="334"/>
      <c r="J7" s="335"/>
      <c r="K7" s="334"/>
      <c r="L7" s="334"/>
      <c r="M7" s="334"/>
      <c r="N7" s="335"/>
      <c r="O7" s="335"/>
      <c r="P7" s="334"/>
      <c r="Q7" s="333"/>
      <c r="R7" s="333" t="s">
        <v>387</v>
      </c>
      <c r="S7" s="27"/>
    </row>
    <row r="8" spans="1:19" ht="17.25" thickBot="1">
      <c r="A8" s="474" t="s">
        <v>406</v>
      </c>
      <c r="B8" s="499" t="s">
        <v>164</v>
      </c>
      <c r="C8" s="501" t="s">
        <v>165</v>
      </c>
      <c r="D8" s="478" t="s">
        <v>166</v>
      </c>
      <c r="E8" s="505" t="s">
        <v>167</v>
      </c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484" t="s">
        <v>459</v>
      </c>
    </row>
    <row r="9" spans="1:19" ht="17.25" thickBot="1">
      <c r="A9" s="475"/>
      <c r="B9" s="500"/>
      <c r="C9" s="502"/>
      <c r="D9" s="479"/>
      <c r="E9" s="486" t="s">
        <v>168</v>
      </c>
      <c r="F9" s="487"/>
      <c r="G9" s="487"/>
      <c r="H9" s="487"/>
      <c r="I9" s="487"/>
      <c r="J9" s="488"/>
      <c r="K9" s="505" t="s">
        <v>169</v>
      </c>
      <c r="L9" s="506"/>
      <c r="M9" s="506"/>
      <c r="N9" s="512"/>
      <c r="O9" s="489" t="s">
        <v>43</v>
      </c>
      <c r="P9" s="489"/>
      <c r="Q9" s="489"/>
      <c r="R9" s="489"/>
      <c r="S9" s="485"/>
    </row>
    <row r="10" spans="1:19" ht="12.75">
      <c r="A10" s="475"/>
      <c r="B10" s="500"/>
      <c r="C10" s="502"/>
      <c r="D10" s="503"/>
      <c r="E10" s="478" t="s">
        <v>29</v>
      </c>
      <c r="F10" s="478" t="s">
        <v>170</v>
      </c>
      <c r="G10" s="478" t="s">
        <v>32</v>
      </c>
      <c r="H10" s="478" t="s">
        <v>34</v>
      </c>
      <c r="I10" s="478" t="s">
        <v>171</v>
      </c>
      <c r="J10" s="496" t="s">
        <v>172</v>
      </c>
      <c r="K10" s="507" t="s">
        <v>37</v>
      </c>
      <c r="L10" s="507" t="s">
        <v>39</v>
      </c>
      <c r="M10" s="478" t="s">
        <v>173</v>
      </c>
      <c r="N10" s="490" t="s">
        <v>174</v>
      </c>
      <c r="O10" s="493" t="s">
        <v>356</v>
      </c>
      <c r="P10" s="478" t="s">
        <v>456</v>
      </c>
      <c r="Q10" s="478" t="s">
        <v>457</v>
      </c>
      <c r="R10" s="481" t="s">
        <v>458</v>
      </c>
      <c r="S10" s="485"/>
    </row>
    <row r="11" spans="1:19" ht="12.75">
      <c r="A11" s="475"/>
      <c r="B11" s="500"/>
      <c r="C11" s="502"/>
      <c r="D11" s="503"/>
      <c r="E11" s="479"/>
      <c r="F11" s="479"/>
      <c r="G11" s="479"/>
      <c r="H11" s="479"/>
      <c r="I11" s="479"/>
      <c r="J11" s="497"/>
      <c r="K11" s="508"/>
      <c r="L11" s="510"/>
      <c r="M11" s="479"/>
      <c r="N11" s="491"/>
      <c r="O11" s="494"/>
      <c r="P11" s="479"/>
      <c r="Q11" s="479"/>
      <c r="R11" s="482"/>
      <c r="S11" s="485"/>
    </row>
    <row r="12" spans="1:19" ht="41.25" customHeight="1" thickBot="1">
      <c r="A12" s="476"/>
      <c r="B12" s="500"/>
      <c r="C12" s="502"/>
      <c r="D12" s="504"/>
      <c r="E12" s="480"/>
      <c r="F12" s="480"/>
      <c r="G12" s="480"/>
      <c r="H12" s="480"/>
      <c r="I12" s="480"/>
      <c r="J12" s="498"/>
      <c r="K12" s="509"/>
      <c r="L12" s="511"/>
      <c r="M12" s="480"/>
      <c r="N12" s="492"/>
      <c r="O12" s="495"/>
      <c r="P12" s="480"/>
      <c r="Q12" s="480"/>
      <c r="R12" s="483"/>
      <c r="S12" s="485"/>
    </row>
    <row r="13" spans="1:19" ht="34.5" customHeight="1">
      <c r="A13" s="202" t="s">
        <v>18</v>
      </c>
      <c r="B13" s="332" t="s">
        <v>175</v>
      </c>
      <c r="C13" s="331" t="s">
        <v>176</v>
      </c>
      <c r="D13" s="330">
        <f>J13+N13</f>
        <v>18469722</v>
      </c>
      <c r="E13" s="313">
        <f>4203359+181155</f>
        <v>4384514</v>
      </c>
      <c r="F13" s="312">
        <f>954363+39855</f>
        <v>994218</v>
      </c>
      <c r="G13" s="312">
        <f>1518629+39990+10797+30000+55000</f>
        <v>1654416</v>
      </c>
      <c r="H13" s="312"/>
      <c r="I13" s="312">
        <f>146600+400000+10492649+661875-239550-25000</f>
        <v>11436574</v>
      </c>
      <c r="J13" s="304">
        <f aca="true" t="shared" si="0" ref="J13:J33">E13+F13+G13+H13+I13</f>
        <v>18469722</v>
      </c>
      <c r="K13" s="311"/>
      <c r="L13" s="294"/>
      <c r="M13" s="294"/>
      <c r="N13" s="304"/>
      <c r="O13" s="314"/>
      <c r="P13" s="293"/>
      <c r="Q13" s="293"/>
      <c r="R13" s="329"/>
      <c r="S13" s="181"/>
    </row>
    <row r="14" spans="1:19" ht="19.5" customHeight="1">
      <c r="A14" s="203" t="s">
        <v>19</v>
      </c>
      <c r="B14" s="274" t="s">
        <v>177</v>
      </c>
      <c r="C14" s="315" t="s">
        <v>178</v>
      </c>
      <c r="D14" s="309">
        <f>J14+N14</f>
        <v>91440</v>
      </c>
      <c r="E14" s="313"/>
      <c r="F14" s="312"/>
      <c r="G14" s="312">
        <v>91440</v>
      </c>
      <c r="H14" s="312"/>
      <c r="I14" s="312"/>
      <c r="J14" s="304">
        <f t="shared" si="0"/>
        <v>91440</v>
      </c>
      <c r="K14" s="311"/>
      <c r="L14" s="294"/>
      <c r="M14" s="294"/>
      <c r="N14" s="304"/>
      <c r="O14" s="314"/>
      <c r="P14" s="293"/>
      <c r="Q14" s="293"/>
      <c r="R14" s="326"/>
      <c r="S14" s="181"/>
    </row>
    <row r="15" spans="1:19" ht="27.75" customHeight="1">
      <c r="A15" s="203" t="s">
        <v>20</v>
      </c>
      <c r="B15" s="328" t="s">
        <v>333</v>
      </c>
      <c r="C15" s="327" t="s">
        <v>344</v>
      </c>
      <c r="D15" s="309">
        <f>J15+N15+R15</f>
        <v>531927</v>
      </c>
      <c r="E15" s="313"/>
      <c r="F15" s="312"/>
      <c r="G15" s="312"/>
      <c r="H15" s="312"/>
      <c r="I15" s="312">
        <v>33386</v>
      </c>
      <c r="J15" s="304">
        <f t="shared" si="0"/>
        <v>33386</v>
      </c>
      <c r="K15" s="311"/>
      <c r="L15" s="294"/>
      <c r="M15" s="294"/>
      <c r="N15" s="304"/>
      <c r="O15" s="314">
        <v>498541</v>
      </c>
      <c r="P15" s="293"/>
      <c r="Q15" s="293"/>
      <c r="R15" s="326">
        <f>O15+P15+Q15</f>
        <v>498541</v>
      </c>
      <c r="S15" s="181"/>
    </row>
    <row r="16" spans="1:19" ht="27.75" customHeight="1">
      <c r="A16" s="203" t="s">
        <v>21</v>
      </c>
      <c r="B16" s="328" t="s">
        <v>504</v>
      </c>
      <c r="C16" s="327" t="s">
        <v>506</v>
      </c>
      <c r="D16" s="309">
        <f>J16+N16+R16</f>
        <v>1468654</v>
      </c>
      <c r="E16" s="313">
        <f>22000+647492+652237</f>
        <v>1321729</v>
      </c>
      <c r="F16" s="312">
        <f>75178+71747</f>
        <v>146925</v>
      </c>
      <c r="G16" s="312"/>
      <c r="H16" s="312"/>
      <c r="I16" s="312"/>
      <c r="J16" s="304">
        <f t="shared" si="0"/>
        <v>1468654</v>
      </c>
      <c r="K16" s="311"/>
      <c r="L16" s="294"/>
      <c r="M16" s="294"/>
      <c r="N16" s="304"/>
      <c r="O16" s="314"/>
      <c r="P16" s="293"/>
      <c r="Q16" s="293"/>
      <c r="R16" s="326"/>
      <c r="S16" s="181"/>
    </row>
    <row r="17" spans="1:19" ht="24" customHeight="1">
      <c r="A17" s="203" t="s">
        <v>22</v>
      </c>
      <c r="B17" s="328" t="s">
        <v>179</v>
      </c>
      <c r="C17" s="327" t="s">
        <v>180</v>
      </c>
      <c r="D17" s="309">
        <f aca="true" t="shared" si="1" ref="D17:D32">J17+N17</f>
        <v>3077000</v>
      </c>
      <c r="E17" s="313"/>
      <c r="F17" s="312"/>
      <c r="G17" s="312">
        <v>2259827</v>
      </c>
      <c r="H17" s="312"/>
      <c r="I17" s="312"/>
      <c r="J17" s="304">
        <f t="shared" si="0"/>
        <v>2259827</v>
      </c>
      <c r="K17" s="311"/>
      <c r="L17" s="294">
        <v>817173</v>
      </c>
      <c r="M17" s="294"/>
      <c r="N17" s="304">
        <f>K17+L17+M17</f>
        <v>817173</v>
      </c>
      <c r="O17" s="314"/>
      <c r="P17" s="293"/>
      <c r="Q17" s="293"/>
      <c r="R17" s="326"/>
      <c r="S17" s="181"/>
    </row>
    <row r="18" spans="1:19" s="174" customFormat="1" ht="33.75" customHeight="1">
      <c r="A18" s="203" t="s">
        <v>23</v>
      </c>
      <c r="B18" s="274" t="s">
        <v>181</v>
      </c>
      <c r="C18" s="325" t="s">
        <v>182</v>
      </c>
      <c r="D18" s="324">
        <f t="shared" si="1"/>
        <v>15240</v>
      </c>
      <c r="E18" s="323"/>
      <c r="F18" s="322"/>
      <c r="G18" s="322">
        <v>15240</v>
      </c>
      <c r="H18" s="322"/>
      <c r="I18" s="322"/>
      <c r="J18" s="319">
        <f t="shared" si="0"/>
        <v>15240</v>
      </c>
      <c r="K18" s="321"/>
      <c r="L18" s="320"/>
      <c r="M18" s="320"/>
      <c r="N18" s="319"/>
      <c r="O18" s="318"/>
      <c r="P18" s="317"/>
      <c r="Q18" s="317"/>
      <c r="R18" s="316"/>
      <c r="S18" s="207"/>
    </row>
    <row r="19" spans="1:19" s="174" customFormat="1" ht="30.75" customHeight="1">
      <c r="A19" s="203" t="s">
        <v>25</v>
      </c>
      <c r="B19" s="274" t="s">
        <v>223</v>
      </c>
      <c r="C19" s="325" t="s">
        <v>224</v>
      </c>
      <c r="D19" s="324">
        <f t="shared" si="1"/>
        <v>54483</v>
      </c>
      <c r="E19" s="323"/>
      <c r="F19" s="322"/>
      <c r="G19" s="322">
        <v>54483</v>
      </c>
      <c r="H19" s="322"/>
      <c r="I19" s="322"/>
      <c r="J19" s="319">
        <f t="shared" si="0"/>
        <v>54483</v>
      </c>
      <c r="K19" s="321"/>
      <c r="L19" s="320"/>
      <c r="M19" s="320"/>
      <c r="N19" s="319"/>
      <c r="O19" s="318"/>
      <c r="P19" s="317"/>
      <c r="Q19" s="317"/>
      <c r="R19" s="316"/>
      <c r="S19" s="207"/>
    </row>
    <row r="20" spans="1:19" ht="18.75" customHeight="1">
      <c r="A20" s="203" t="s">
        <v>26</v>
      </c>
      <c r="B20" s="274" t="s">
        <v>183</v>
      </c>
      <c r="C20" s="273" t="s">
        <v>184</v>
      </c>
      <c r="D20" s="309">
        <f t="shared" si="1"/>
        <v>43929999</v>
      </c>
      <c r="E20" s="313"/>
      <c r="F20" s="312"/>
      <c r="G20" s="312">
        <v>9590804</v>
      </c>
      <c r="H20" s="294"/>
      <c r="I20" s="312"/>
      <c r="J20" s="304">
        <f t="shared" si="0"/>
        <v>9590804</v>
      </c>
      <c r="K20" s="311">
        <v>34339195</v>
      </c>
      <c r="L20" s="294"/>
      <c r="M20" s="294"/>
      <c r="N20" s="304">
        <f>K20+L20+M20</f>
        <v>34339195</v>
      </c>
      <c r="O20" s="314"/>
      <c r="P20" s="293"/>
      <c r="Q20" s="293"/>
      <c r="R20" s="292"/>
      <c r="S20" s="181"/>
    </row>
    <row r="21" spans="1:19" ht="18" customHeight="1">
      <c r="A21" s="203" t="s">
        <v>27</v>
      </c>
      <c r="B21" s="274" t="s">
        <v>185</v>
      </c>
      <c r="C21" s="315" t="s">
        <v>186</v>
      </c>
      <c r="D21" s="309">
        <f t="shared" si="1"/>
        <v>725937</v>
      </c>
      <c r="E21" s="313"/>
      <c r="F21" s="312"/>
      <c r="G21" s="312">
        <v>725937</v>
      </c>
      <c r="H21" s="294"/>
      <c r="I21" s="312"/>
      <c r="J21" s="304">
        <f t="shared" si="0"/>
        <v>725937</v>
      </c>
      <c r="K21" s="311"/>
      <c r="L21" s="294"/>
      <c r="M21" s="294"/>
      <c r="N21" s="304"/>
      <c r="O21" s="314"/>
      <c r="P21" s="293"/>
      <c r="Q21" s="293"/>
      <c r="R21" s="292"/>
      <c r="S21" s="181"/>
    </row>
    <row r="22" spans="1:19" s="174" customFormat="1" ht="18" customHeight="1">
      <c r="A22" s="203" t="s">
        <v>28</v>
      </c>
      <c r="B22" s="274" t="s">
        <v>187</v>
      </c>
      <c r="C22" s="325" t="s">
        <v>188</v>
      </c>
      <c r="D22" s="324">
        <f t="shared" si="1"/>
        <v>2492898</v>
      </c>
      <c r="E22" s="323">
        <f>1402500-1217213</f>
        <v>185287</v>
      </c>
      <c r="F22" s="322">
        <f>308550-267787</f>
        <v>40763</v>
      </c>
      <c r="G22" s="322">
        <v>557248</v>
      </c>
      <c r="H22" s="320"/>
      <c r="I22" s="322"/>
      <c r="J22" s="319">
        <f t="shared" si="0"/>
        <v>783298</v>
      </c>
      <c r="K22" s="321">
        <f>709600+1000000</f>
        <v>1709600</v>
      </c>
      <c r="L22" s="320"/>
      <c r="M22" s="320"/>
      <c r="N22" s="319">
        <f>K22+L22+M22</f>
        <v>1709600</v>
      </c>
      <c r="O22" s="318"/>
      <c r="P22" s="317"/>
      <c r="Q22" s="317"/>
      <c r="R22" s="316"/>
      <c r="S22" s="207">
        <v>1</v>
      </c>
    </row>
    <row r="23" spans="1:19" ht="21" customHeight="1">
      <c r="A23" s="203" t="s">
        <v>30</v>
      </c>
      <c r="B23" s="274" t="s">
        <v>189</v>
      </c>
      <c r="C23" s="315" t="s">
        <v>190</v>
      </c>
      <c r="D23" s="309">
        <f t="shared" si="1"/>
        <v>110236</v>
      </c>
      <c r="E23" s="313"/>
      <c r="F23" s="312"/>
      <c r="G23" s="312">
        <v>110236</v>
      </c>
      <c r="H23" s="294"/>
      <c r="I23" s="312"/>
      <c r="J23" s="304">
        <f t="shared" si="0"/>
        <v>110236</v>
      </c>
      <c r="K23" s="311"/>
      <c r="L23" s="294"/>
      <c r="M23" s="294"/>
      <c r="N23" s="304"/>
      <c r="O23" s="314"/>
      <c r="P23" s="293"/>
      <c r="Q23" s="293"/>
      <c r="R23" s="292"/>
      <c r="S23" s="181"/>
    </row>
    <row r="24" spans="1:19" ht="19.5" customHeight="1">
      <c r="A24" s="203" t="s">
        <v>31</v>
      </c>
      <c r="B24" s="274" t="s">
        <v>191</v>
      </c>
      <c r="C24" s="315" t="s">
        <v>192</v>
      </c>
      <c r="D24" s="309">
        <f t="shared" si="1"/>
        <v>722629</v>
      </c>
      <c r="E24" s="313">
        <v>120000</v>
      </c>
      <c r="F24" s="312">
        <v>24210</v>
      </c>
      <c r="G24" s="312">
        <v>260919</v>
      </c>
      <c r="H24" s="312"/>
      <c r="I24" s="312"/>
      <c r="J24" s="304">
        <f t="shared" si="0"/>
        <v>405129</v>
      </c>
      <c r="K24" s="311">
        <v>317500</v>
      </c>
      <c r="L24" s="294"/>
      <c r="M24" s="294"/>
      <c r="N24" s="304">
        <f>K24+L24+M24</f>
        <v>317500</v>
      </c>
      <c r="O24" s="314"/>
      <c r="P24" s="293"/>
      <c r="Q24" s="293"/>
      <c r="R24" s="292"/>
      <c r="S24" s="181"/>
    </row>
    <row r="25" spans="1:19" ht="31.5" customHeight="1">
      <c r="A25" s="203" t="s">
        <v>33</v>
      </c>
      <c r="B25" s="274" t="s">
        <v>225</v>
      </c>
      <c r="C25" s="315" t="s">
        <v>226</v>
      </c>
      <c r="D25" s="309">
        <f t="shared" si="1"/>
        <v>1050219</v>
      </c>
      <c r="E25" s="313">
        <v>280000</v>
      </c>
      <c r="F25" s="312">
        <v>177729</v>
      </c>
      <c r="G25" s="312">
        <f>382940+209550</f>
        <v>592490</v>
      </c>
      <c r="H25" s="312"/>
      <c r="I25" s="312"/>
      <c r="J25" s="304">
        <f t="shared" si="0"/>
        <v>1050219</v>
      </c>
      <c r="K25" s="311"/>
      <c r="L25" s="294"/>
      <c r="M25" s="294"/>
      <c r="N25" s="304"/>
      <c r="O25" s="314"/>
      <c r="P25" s="293"/>
      <c r="Q25" s="293"/>
      <c r="R25" s="292"/>
      <c r="S25" s="181"/>
    </row>
    <row r="26" spans="1:19" ht="18" customHeight="1">
      <c r="A26" s="203" t="s">
        <v>35</v>
      </c>
      <c r="B26" s="274" t="s">
        <v>227</v>
      </c>
      <c r="C26" s="315" t="s">
        <v>228</v>
      </c>
      <c r="D26" s="309">
        <f t="shared" si="1"/>
        <v>50000</v>
      </c>
      <c r="E26" s="313"/>
      <c r="F26" s="312"/>
      <c r="G26" s="312"/>
      <c r="H26" s="312">
        <v>50000</v>
      </c>
      <c r="I26" s="312"/>
      <c r="J26" s="304">
        <f t="shared" si="0"/>
        <v>50000</v>
      </c>
      <c r="K26" s="311"/>
      <c r="L26" s="294"/>
      <c r="M26" s="294"/>
      <c r="N26" s="304"/>
      <c r="O26" s="314"/>
      <c r="P26" s="293"/>
      <c r="Q26" s="293"/>
      <c r="R26" s="292"/>
      <c r="S26" s="181"/>
    </row>
    <row r="27" spans="1:19" ht="18" customHeight="1">
      <c r="A27" s="203" t="s">
        <v>36</v>
      </c>
      <c r="B27" s="274">
        <v>104037</v>
      </c>
      <c r="C27" s="315" t="s">
        <v>345</v>
      </c>
      <c r="D27" s="309">
        <f t="shared" si="1"/>
        <v>74100</v>
      </c>
      <c r="E27" s="313"/>
      <c r="F27" s="312"/>
      <c r="G27" s="312">
        <v>74100</v>
      </c>
      <c r="H27" s="312"/>
      <c r="I27" s="312"/>
      <c r="J27" s="304">
        <f t="shared" si="0"/>
        <v>74100</v>
      </c>
      <c r="K27" s="311"/>
      <c r="L27" s="294"/>
      <c r="M27" s="294"/>
      <c r="N27" s="304"/>
      <c r="O27" s="314"/>
      <c r="P27" s="293"/>
      <c r="Q27" s="293"/>
      <c r="R27" s="292"/>
      <c r="S27" s="181"/>
    </row>
    <row r="28" spans="1:19" ht="21" customHeight="1">
      <c r="A28" s="203" t="s">
        <v>38</v>
      </c>
      <c r="B28" s="274">
        <v>104051</v>
      </c>
      <c r="C28" s="315" t="s">
        <v>193</v>
      </c>
      <c r="D28" s="309">
        <f t="shared" si="1"/>
        <v>52200</v>
      </c>
      <c r="E28" s="313"/>
      <c r="F28" s="312"/>
      <c r="G28" s="312"/>
      <c r="H28" s="312">
        <v>52200</v>
      </c>
      <c r="I28" s="312"/>
      <c r="J28" s="304">
        <f t="shared" si="0"/>
        <v>52200</v>
      </c>
      <c r="K28" s="311"/>
      <c r="L28" s="294"/>
      <c r="M28" s="294"/>
      <c r="N28" s="304"/>
      <c r="O28" s="314"/>
      <c r="P28" s="293"/>
      <c r="Q28" s="293"/>
      <c r="R28" s="292"/>
      <c r="S28" s="181"/>
    </row>
    <row r="29" spans="1:19" ht="18.75" customHeight="1">
      <c r="A29" s="203" t="s">
        <v>40</v>
      </c>
      <c r="B29" s="274">
        <v>106020</v>
      </c>
      <c r="C29" s="310" t="s">
        <v>194</v>
      </c>
      <c r="D29" s="309">
        <f t="shared" si="1"/>
        <v>0</v>
      </c>
      <c r="E29" s="313"/>
      <c r="F29" s="312"/>
      <c r="G29" s="312"/>
      <c r="H29" s="312">
        <f>60000-60000</f>
        <v>0</v>
      </c>
      <c r="I29" s="312"/>
      <c r="J29" s="304">
        <f t="shared" si="0"/>
        <v>0</v>
      </c>
      <c r="K29" s="311"/>
      <c r="L29" s="294"/>
      <c r="M29" s="294"/>
      <c r="N29" s="304"/>
      <c r="O29" s="314"/>
      <c r="P29" s="293"/>
      <c r="Q29" s="293"/>
      <c r="R29" s="292"/>
      <c r="S29" s="181"/>
    </row>
    <row r="30" spans="1:19" ht="21" customHeight="1">
      <c r="A30" s="203" t="s">
        <v>42</v>
      </c>
      <c r="B30" s="274">
        <v>107051</v>
      </c>
      <c r="C30" s="310" t="s">
        <v>195</v>
      </c>
      <c r="D30" s="309">
        <f t="shared" si="1"/>
        <v>1274326</v>
      </c>
      <c r="E30" s="313"/>
      <c r="F30" s="312"/>
      <c r="G30" s="312">
        <f>1218966+55360</f>
        <v>1274326</v>
      </c>
      <c r="H30" s="312"/>
      <c r="I30" s="312"/>
      <c r="J30" s="304">
        <f t="shared" si="0"/>
        <v>1274326</v>
      </c>
      <c r="K30" s="311"/>
      <c r="L30" s="294"/>
      <c r="M30" s="294"/>
      <c r="N30" s="304"/>
      <c r="O30" s="295"/>
      <c r="P30" s="294"/>
      <c r="Q30" s="293"/>
      <c r="R30" s="292"/>
      <c r="S30" s="181"/>
    </row>
    <row r="31" spans="1:19" ht="21" customHeight="1">
      <c r="A31" s="203" t="s">
        <v>318</v>
      </c>
      <c r="B31" s="274">
        <v>107055</v>
      </c>
      <c r="C31" s="310" t="s">
        <v>343</v>
      </c>
      <c r="D31" s="309">
        <f t="shared" si="1"/>
        <v>2653672</v>
      </c>
      <c r="E31" s="308">
        <f>1609500+51453+53555</f>
        <v>1714508</v>
      </c>
      <c r="F31" s="307">
        <f>371371+11883+11781</f>
        <v>395035</v>
      </c>
      <c r="G31" s="307">
        <f>519129-89999-8799+25000</f>
        <v>445331</v>
      </c>
      <c r="H31" s="307"/>
      <c r="I31" s="307"/>
      <c r="J31" s="304">
        <f t="shared" si="0"/>
        <v>2554874</v>
      </c>
      <c r="K31" s="306">
        <f>89999+8799</f>
        <v>98798</v>
      </c>
      <c r="L31" s="305"/>
      <c r="M31" s="305"/>
      <c r="N31" s="304">
        <f>K31+L31+M31</f>
        <v>98798</v>
      </c>
      <c r="O31" s="295"/>
      <c r="P31" s="294"/>
      <c r="Q31" s="293"/>
      <c r="R31" s="292"/>
      <c r="S31" s="182">
        <v>1</v>
      </c>
    </row>
    <row r="32" spans="1:19" ht="21.75" customHeight="1" thickBot="1">
      <c r="A32" s="203" t="s">
        <v>320</v>
      </c>
      <c r="B32" s="303">
        <v>107060</v>
      </c>
      <c r="C32" s="302" t="s">
        <v>196</v>
      </c>
      <c r="D32" s="301">
        <f t="shared" si="1"/>
        <v>1420000</v>
      </c>
      <c r="E32" s="300"/>
      <c r="F32" s="299"/>
      <c r="G32" s="299"/>
      <c r="H32" s="299">
        <f>1360000+60000</f>
        <v>1420000</v>
      </c>
      <c r="I32" s="299"/>
      <c r="J32" s="296">
        <f t="shared" si="0"/>
        <v>1420000</v>
      </c>
      <c r="K32" s="298"/>
      <c r="L32" s="297"/>
      <c r="M32" s="297"/>
      <c r="N32" s="296"/>
      <c r="O32" s="295"/>
      <c r="P32" s="294"/>
      <c r="Q32" s="293"/>
      <c r="R32" s="292"/>
      <c r="S32" s="182"/>
    </row>
    <row r="33" spans="1:19" ht="16.5" thickBot="1">
      <c r="A33" s="203" t="s">
        <v>505</v>
      </c>
      <c r="B33" s="291"/>
      <c r="C33" s="290" t="s">
        <v>197</v>
      </c>
      <c r="D33" s="289">
        <f>J33+N33+R33</f>
        <v>78264682</v>
      </c>
      <c r="E33" s="287">
        <f>SUM(E13:E32)</f>
        <v>8006038</v>
      </c>
      <c r="F33" s="287">
        <f>SUM(F13:F32)</f>
        <v>1778880</v>
      </c>
      <c r="G33" s="287">
        <f>SUM(G13:G32)</f>
        <v>17706797</v>
      </c>
      <c r="H33" s="287">
        <f>SUM(H13:H32)</f>
        <v>1522200</v>
      </c>
      <c r="I33" s="287">
        <f>SUM(I13:I32)</f>
        <v>11469960</v>
      </c>
      <c r="J33" s="288">
        <f t="shared" si="0"/>
        <v>40483875</v>
      </c>
      <c r="K33" s="287">
        <f>SUM(K13:K32)</f>
        <v>36465093</v>
      </c>
      <c r="L33" s="287">
        <f>SUM(L13:L32)</f>
        <v>817173</v>
      </c>
      <c r="M33" s="287"/>
      <c r="N33" s="287">
        <f>SUM(N13:N32)</f>
        <v>37282266</v>
      </c>
      <c r="O33" s="287">
        <f>SUM(O13:O32)</f>
        <v>498541</v>
      </c>
      <c r="P33" s="287"/>
      <c r="Q33" s="287"/>
      <c r="R33" s="287">
        <f>SUM(R13:R32)</f>
        <v>498541</v>
      </c>
      <c r="S33" s="183">
        <v>2</v>
      </c>
    </row>
    <row r="35" spans="4:10" ht="16.5">
      <c r="D35" s="172"/>
      <c r="J35" s="286"/>
    </row>
    <row r="40" ht="12.75">
      <c r="D40" s="72"/>
    </row>
  </sheetData>
  <sheetProtection password="AF00" sheet="1" objects="1" scenarios="1" selectLockedCells="1" selectUnlockedCells="1"/>
  <mergeCells count="29">
    <mergeCell ref="B4:S4"/>
    <mergeCell ref="B8:B12"/>
    <mergeCell ref="C8:C12"/>
    <mergeCell ref="D8:D12"/>
    <mergeCell ref="E8:R8"/>
    <mergeCell ref="K10:K12"/>
    <mergeCell ref="L10:L12"/>
    <mergeCell ref="M10:M12"/>
    <mergeCell ref="F10:F12"/>
    <mergeCell ref="K9:N9"/>
    <mergeCell ref="O9:R9"/>
    <mergeCell ref="E10:E12"/>
    <mergeCell ref="N10:N12"/>
    <mergeCell ref="O10:O12"/>
    <mergeCell ref="P10:P12"/>
    <mergeCell ref="G10:G12"/>
    <mergeCell ref="H10:H12"/>
    <mergeCell ref="I10:I12"/>
    <mergeCell ref="J10:J12"/>
    <mergeCell ref="A2:S2"/>
    <mergeCell ref="A1:S1"/>
    <mergeCell ref="A8:A12"/>
    <mergeCell ref="B3:S3"/>
    <mergeCell ref="Q10:Q12"/>
    <mergeCell ref="R10:R12"/>
    <mergeCell ref="B5:S5"/>
    <mergeCell ref="B6:S6"/>
    <mergeCell ref="S8:S12"/>
    <mergeCell ref="E9:J9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3" max="3" width="73.00390625" style="0" customWidth="1"/>
    <col min="4" max="4" width="14.625" style="0" customWidth="1"/>
    <col min="5" max="5" width="14.3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5.75">
      <c r="A1" s="442" t="s">
        <v>480</v>
      </c>
      <c r="B1" s="408"/>
      <c r="C1" s="408"/>
      <c r="D1" s="408"/>
      <c r="E1" s="408"/>
      <c r="F1" s="408"/>
      <c r="G1" s="408"/>
    </row>
    <row r="2" spans="1:15" ht="12.75" customHeight="1">
      <c r="A2" s="443"/>
      <c r="B2" s="412"/>
      <c r="C2" s="412"/>
      <c r="D2" s="412"/>
      <c r="E2" s="412"/>
      <c r="F2" s="412"/>
      <c r="G2" s="412"/>
      <c r="H2" s="255"/>
      <c r="I2" s="255"/>
      <c r="J2" s="255"/>
      <c r="K2" s="255"/>
      <c r="L2" s="255"/>
      <c r="M2" s="255"/>
      <c r="N2" s="255"/>
      <c r="O2" s="255"/>
    </row>
    <row r="3" spans="1:15" ht="12.75" customHeight="1">
      <c r="A3" s="513"/>
      <c r="B3" s="514"/>
      <c r="C3" s="514"/>
      <c r="D3" s="514"/>
      <c r="E3" s="514"/>
      <c r="F3" s="514"/>
      <c r="G3" s="514"/>
      <c r="H3" s="255"/>
      <c r="I3" s="255"/>
      <c r="J3" s="255"/>
      <c r="K3" s="255"/>
      <c r="L3" s="255"/>
      <c r="M3" s="255"/>
      <c r="N3" s="255"/>
      <c r="O3" s="255"/>
    </row>
    <row r="4" spans="2:15" ht="15.75">
      <c r="B4" s="449" t="s">
        <v>8</v>
      </c>
      <c r="C4" s="449"/>
      <c r="D4" s="449"/>
      <c r="E4" s="449"/>
      <c r="F4" s="449"/>
      <c r="G4" s="449"/>
      <c r="H4" s="284"/>
      <c r="I4" s="284"/>
      <c r="J4" s="284"/>
      <c r="K4" s="284"/>
      <c r="L4" s="284"/>
      <c r="M4" s="284"/>
      <c r="N4" s="284"/>
      <c r="O4" s="284"/>
    </row>
    <row r="5" spans="2:15" ht="15.75">
      <c r="B5" s="449" t="s">
        <v>335</v>
      </c>
      <c r="C5" s="449"/>
      <c r="D5" s="449"/>
      <c r="E5" s="449"/>
      <c r="F5" s="449"/>
      <c r="G5" s="449"/>
      <c r="H5" s="284"/>
      <c r="I5" s="284"/>
      <c r="J5" s="284"/>
      <c r="K5" s="284"/>
      <c r="L5" s="284"/>
      <c r="M5" s="284"/>
      <c r="N5" s="284"/>
      <c r="O5" s="284"/>
    </row>
    <row r="6" spans="2:15" ht="16.5" thickBot="1">
      <c r="B6" s="449" t="s">
        <v>386</v>
      </c>
      <c r="C6" s="449"/>
      <c r="D6" s="449"/>
      <c r="E6" s="449"/>
      <c r="F6" s="449"/>
      <c r="G6" s="449"/>
      <c r="H6" s="284"/>
      <c r="I6" s="284"/>
      <c r="J6" s="284"/>
      <c r="K6" s="284"/>
      <c r="L6" s="284"/>
      <c r="M6" s="284"/>
      <c r="N6" s="284"/>
      <c r="O6" s="284"/>
    </row>
    <row r="7" spans="1:15" ht="16.5" customHeight="1" thickBot="1">
      <c r="A7" s="515" t="s">
        <v>509</v>
      </c>
      <c r="B7" s="452" t="s">
        <v>326</v>
      </c>
      <c r="C7" s="455" t="s">
        <v>165</v>
      </c>
      <c r="D7" s="458" t="s">
        <v>166</v>
      </c>
      <c r="E7" s="461" t="s">
        <v>328</v>
      </c>
      <c r="F7" s="462"/>
      <c r="G7" s="463"/>
      <c r="H7" s="105"/>
      <c r="I7" s="105"/>
      <c r="J7" s="105"/>
      <c r="K7" s="105"/>
      <c r="L7" s="105"/>
      <c r="M7" s="105"/>
      <c r="N7" s="105"/>
      <c r="O7" s="105"/>
    </row>
    <row r="8" spans="1:15" ht="16.5" customHeight="1">
      <c r="A8" s="516"/>
      <c r="B8" s="453"/>
      <c r="C8" s="456"/>
      <c r="D8" s="459"/>
      <c r="E8" s="464" t="s">
        <v>329</v>
      </c>
      <c r="F8" s="464" t="s">
        <v>330</v>
      </c>
      <c r="G8" s="518" t="s">
        <v>337</v>
      </c>
      <c r="H8" s="145"/>
      <c r="I8" s="145"/>
      <c r="J8" s="145"/>
      <c r="K8" s="145"/>
      <c r="L8" s="145"/>
      <c r="M8" s="145"/>
      <c r="N8" s="145"/>
      <c r="O8" s="145"/>
    </row>
    <row r="9" spans="1:15" ht="14.25" customHeight="1" thickBot="1">
      <c r="A9" s="516"/>
      <c r="B9" s="453"/>
      <c r="C9" s="456"/>
      <c r="D9" s="459"/>
      <c r="E9" s="464"/>
      <c r="F9" s="464"/>
      <c r="G9" s="519"/>
      <c r="H9" s="145"/>
      <c r="I9" s="145"/>
      <c r="J9" s="145"/>
      <c r="K9" s="145"/>
      <c r="L9" s="145"/>
      <c r="M9" s="145"/>
      <c r="N9" s="145"/>
      <c r="O9" s="145"/>
    </row>
    <row r="10" spans="1:15" ht="21" customHeight="1" thickBot="1">
      <c r="A10" s="517"/>
      <c r="B10" s="453"/>
      <c r="C10" s="456"/>
      <c r="D10" s="459"/>
      <c r="E10" s="520" t="s">
        <v>332</v>
      </c>
      <c r="F10" s="521"/>
      <c r="G10" s="522"/>
      <c r="H10" s="145"/>
      <c r="I10" s="145"/>
      <c r="J10" s="145"/>
      <c r="K10" s="145"/>
      <c r="L10" s="145"/>
      <c r="M10" s="145"/>
      <c r="N10" s="145"/>
      <c r="O10" s="145"/>
    </row>
    <row r="11" spans="1:15" ht="31.5">
      <c r="A11" s="202" t="s">
        <v>18</v>
      </c>
      <c r="B11" s="353" t="s">
        <v>175</v>
      </c>
      <c r="C11" s="342" t="s">
        <v>176</v>
      </c>
      <c r="D11" s="352">
        <f aca="true" t="shared" si="0" ref="D11:D30">E11+F11+G11</f>
        <v>18464722</v>
      </c>
      <c r="E11" s="351">
        <f>6643656+10543436+221010+661875-239550+30000-25000+55000-5000</f>
        <v>17885427</v>
      </c>
      <c r="F11" s="350">
        <f>179295+400000</f>
        <v>579295</v>
      </c>
      <c r="G11" s="349"/>
      <c r="H11" s="259"/>
      <c r="I11" s="257"/>
      <c r="J11" s="256"/>
      <c r="K11" s="256"/>
      <c r="L11" s="256"/>
      <c r="M11" s="257"/>
      <c r="N11" s="257"/>
      <c r="O11" s="256"/>
    </row>
    <row r="12" spans="1:15" ht="15.75">
      <c r="A12" s="203" t="s">
        <v>19</v>
      </c>
      <c r="B12" s="343" t="s">
        <v>177</v>
      </c>
      <c r="C12" s="342" t="s">
        <v>178</v>
      </c>
      <c r="D12" s="344">
        <f t="shared" si="0"/>
        <v>91440</v>
      </c>
      <c r="E12" s="347">
        <v>91440</v>
      </c>
      <c r="F12" s="346"/>
      <c r="G12" s="345"/>
      <c r="H12" s="259"/>
      <c r="I12" s="257"/>
      <c r="J12" s="256"/>
      <c r="K12" s="256"/>
      <c r="L12" s="256"/>
      <c r="M12" s="257"/>
      <c r="N12" s="257"/>
      <c r="O12" s="256"/>
    </row>
    <row r="13" spans="1:15" ht="15.75">
      <c r="A13" s="203" t="s">
        <v>20</v>
      </c>
      <c r="B13" s="343" t="s">
        <v>333</v>
      </c>
      <c r="C13" s="342" t="s">
        <v>350</v>
      </c>
      <c r="D13" s="344">
        <f t="shared" si="0"/>
        <v>531927</v>
      </c>
      <c r="E13" s="347">
        <f>498541+33386</f>
        <v>531927</v>
      </c>
      <c r="F13" s="346"/>
      <c r="G13" s="345"/>
      <c r="H13" s="259"/>
      <c r="I13" s="257"/>
      <c r="J13" s="256"/>
      <c r="K13" s="256"/>
      <c r="L13" s="256"/>
      <c r="M13" s="257"/>
      <c r="N13" s="257"/>
      <c r="O13" s="256"/>
    </row>
    <row r="14" spans="1:15" ht="15.75">
      <c r="A14" s="203" t="s">
        <v>21</v>
      </c>
      <c r="B14" s="343" t="s">
        <v>504</v>
      </c>
      <c r="C14" s="342" t="s">
        <v>503</v>
      </c>
      <c r="D14" s="344">
        <f t="shared" si="0"/>
        <v>1468654</v>
      </c>
      <c r="E14" s="347">
        <f>744670+723984</f>
        <v>1468654</v>
      </c>
      <c r="F14" s="346"/>
      <c r="G14" s="345"/>
      <c r="H14" s="259"/>
      <c r="I14" s="257"/>
      <c r="J14" s="256"/>
      <c r="K14" s="256"/>
      <c r="L14" s="256"/>
      <c r="M14" s="257"/>
      <c r="N14" s="257"/>
      <c r="O14" s="256"/>
    </row>
    <row r="15" spans="1:15" ht="15.75">
      <c r="A15" s="203" t="s">
        <v>22</v>
      </c>
      <c r="B15" s="343" t="s">
        <v>179</v>
      </c>
      <c r="C15" s="348" t="s">
        <v>180</v>
      </c>
      <c r="D15" s="344">
        <f t="shared" si="0"/>
        <v>3077000</v>
      </c>
      <c r="E15" s="347">
        <v>3077000</v>
      </c>
      <c r="F15" s="346"/>
      <c r="G15" s="345"/>
      <c r="H15" s="259"/>
      <c r="I15" s="257"/>
      <c r="J15" s="256"/>
      <c r="K15" s="256"/>
      <c r="L15" s="256"/>
      <c r="M15" s="257"/>
      <c r="N15" s="257"/>
      <c r="O15" s="256"/>
    </row>
    <row r="16" spans="1:15" ht="15" customHeight="1">
      <c r="A16" s="203" t="s">
        <v>23</v>
      </c>
      <c r="B16" s="343" t="s">
        <v>181</v>
      </c>
      <c r="C16" s="342" t="s">
        <v>508</v>
      </c>
      <c r="D16" s="344">
        <f t="shared" si="0"/>
        <v>15240</v>
      </c>
      <c r="E16" s="347">
        <v>15240</v>
      </c>
      <c r="F16" s="346"/>
      <c r="G16" s="345"/>
      <c r="H16" s="259"/>
      <c r="I16" s="257"/>
      <c r="J16" s="256"/>
      <c r="K16" s="256"/>
      <c r="L16" s="256"/>
      <c r="M16" s="257"/>
      <c r="N16" s="257"/>
      <c r="O16" s="256"/>
    </row>
    <row r="17" spans="1:15" ht="15.75">
      <c r="A17" s="203" t="s">
        <v>25</v>
      </c>
      <c r="B17" s="343" t="s">
        <v>223</v>
      </c>
      <c r="C17" s="342" t="s">
        <v>351</v>
      </c>
      <c r="D17" s="344">
        <f t="shared" si="0"/>
        <v>54483</v>
      </c>
      <c r="E17" s="347">
        <v>54483</v>
      </c>
      <c r="F17" s="346"/>
      <c r="G17" s="345"/>
      <c r="H17" s="259"/>
      <c r="I17" s="257"/>
      <c r="J17" s="256"/>
      <c r="K17" s="256"/>
      <c r="L17" s="256"/>
      <c r="M17" s="257"/>
      <c r="N17" s="257"/>
      <c r="O17" s="256"/>
    </row>
    <row r="18" spans="1:15" ht="16.5" customHeight="1">
      <c r="A18" s="203" t="s">
        <v>26</v>
      </c>
      <c r="B18" s="274" t="s">
        <v>183</v>
      </c>
      <c r="C18" s="273" t="s">
        <v>184</v>
      </c>
      <c r="D18" s="344">
        <f t="shared" si="0"/>
        <v>43929999</v>
      </c>
      <c r="E18" s="347">
        <v>43929999</v>
      </c>
      <c r="F18" s="346"/>
      <c r="G18" s="345"/>
      <c r="H18" s="259"/>
      <c r="I18" s="257"/>
      <c r="J18" s="256"/>
      <c r="K18" s="256"/>
      <c r="L18" s="256"/>
      <c r="M18" s="257"/>
      <c r="N18" s="257"/>
      <c r="O18" s="256"/>
    </row>
    <row r="19" spans="1:15" ht="13.5" customHeight="1">
      <c r="A19" s="203" t="s">
        <v>27</v>
      </c>
      <c r="B19" s="343" t="s">
        <v>185</v>
      </c>
      <c r="C19" s="342" t="s">
        <v>186</v>
      </c>
      <c r="D19" s="344">
        <f t="shared" si="0"/>
        <v>725937</v>
      </c>
      <c r="E19" s="347">
        <v>725937</v>
      </c>
      <c r="F19" s="346"/>
      <c r="G19" s="345"/>
      <c r="H19" s="259"/>
      <c r="I19" s="257"/>
      <c r="J19" s="256"/>
      <c r="K19" s="256"/>
      <c r="L19" s="256"/>
      <c r="M19" s="257"/>
      <c r="N19" s="257"/>
      <c r="O19" s="256"/>
    </row>
    <row r="20" spans="1:15" ht="15.75">
      <c r="A20" s="203" t="s">
        <v>28</v>
      </c>
      <c r="B20" s="343" t="s">
        <v>187</v>
      </c>
      <c r="C20" s="342" t="s">
        <v>188</v>
      </c>
      <c r="D20" s="344">
        <f t="shared" si="0"/>
        <v>2492898</v>
      </c>
      <c r="E20" s="347">
        <f>2977898-1485000+1000000</f>
        <v>2492898</v>
      </c>
      <c r="F20" s="346"/>
      <c r="G20" s="345"/>
      <c r="H20" s="259"/>
      <c r="I20" s="257"/>
      <c r="J20" s="256"/>
      <c r="K20" s="256"/>
      <c r="L20" s="256"/>
      <c r="M20" s="257"/>
      <c r="N20" s="257"/>
      <c r="O20" s="256"/>
    </row>
    <row r="21" spans="1:15" ht="15.75">
      <c r="A21" s="203" t="s">
        <v>30</v>
      </c>
      <c r="B21" s="343" t="s">
        <v>189</v>
      </c>
      <c r="C21" s="342" t="s">
        <v>190</v>
      </c>
      <c r="D21" s="344">
        <f t="shared" si="0"/>
        <v>110236</v>
      </c>
      <c r="E21" s="347">
        <v>110236</v>
      </c>
      <c r="F21" s="346"/>
      <c r="G21" s="345"/>
      <c r="H21" s="259"/>
      <c r="I21" s="257"/>
      <c r="J21" s="256"/>
      <c r="K21" s="256"/>
      <c r="L21" s="256"/>
      <c r="M21" s="257"/>
      <c r="N21" s="257"/>
      <c r="O21" s="256"/>
    </row>
    <row r="22" spans="1:15" ht="15.75">
      <c r="A22" s="203" t="s">
        <v>31</v>
      </c>
      <c r="B22" s="343" t="s">
        <v>191</v>
      </c>
      <c r="C22" s="342" t="s">
        <v>192</v>
      </c>
      <c r="D22" s="344">
        <f t="shared" si="0"/>
        <v>722629</v>
      </c>
      <c r="E22" s="347">
        <v>722629</v>
      </c>
      <c r="F22" s="346"/>
      <c r="G22" s="345"/>
      <c r="H22" s="259"/>
      <c r="I22" s="257"/>
      <c r="J22" s="256"/>
      <c r="K22" s="256"/>
      <c r="L22" s="256"/>
      <c r="M22" s="257"/>
      <c r="N22" s="257"/>
      <c r="O22" s="256"/>
    </row>
    <row r="23" spans="1:15" ht="19.5" customHeight="1">
      <c r="A23" s="203" t="s">
        <v>33</v>
      </c>
      <c r="B23" s="343" t="s">
        <v>225</v>
      </c>
      <c r="C23" s="342" t="s">
        <v>352</v>
      </c>
      <c r="D23" s="344">
        <f t="shared" si="0"/>
        <v>1050219</v>
      </c>
      <c r="E23" s="347">
        <f>382940+209550</f>
        <v>592490</v>
      </c>
      <c r="F23" s="346">
        <v>457729</v>
      </c>
      <c r="G23" s="345"/>
      <c r="H23" s="259"/>
      <c r="I23" s="257"/>
      <c r="J23" s="256"/>
      <c r="K23" s="256"/>
      <c r="L23" s="256"/>
      <c r="M23" s="257"/>
      <c r="N23" s="257"/>
      <c r="O23" s="256"/>
    </row>
    <row r="24" spans="1:15" ht="15.75">
      <c r="A24" s="203" t="s">
        <v>35</v>
      </c>
      <c r="B24" s="343" t="s">
        <v>227</v>
      </c>
      <c r="C24" s="342" t="s">
        <v>228</v>
      </c>
      <c r="D24" s="344">
        <f t="shared" si="0"/>
        <v>50000</v>
      </c>
      <c r="E24" s="347">
        <v>50000</v>
      </c>
      <c r="F24" s="346"/>
      <c r="G24" s="345"/>
      <c r="H24" s="259"/>
      <c r="I24" s="257"/>
      <c r="J24" s="256"/>
      <c r="K24" s="256"/>
      <c r="L24" s="256"/>
      <c r="M24" s="257"/>
      <c r="N24" s="257"/>
      <c r="O24" s="256"/>
    </row>
    <row r="25" spans="1:15" ht="15.75">
      <c r="A25" s="203" t="s">
        <v>36</v>
      </c>
      <c r="B25" s="343">
        <v>104037</v>
      </c>
      <c r="C25" s="342" t="s">
        <v>353</v>
      </c>
      <c r="D25" s="344">
        <f t="shared" si="0"/>
        <v>74100</v>
      </c>
      <c r="E25" s="347">
        <v>74100</v>
      </c>
      <c r="F25" s="346"/>
      <c r="G25" s="345"/>
      <c r="H25" s="259"/>
      <c r="I25" s="257"/>
      <c r="J25" s="256"/>
      <c r="K25" s="256"/>
      <c r="L25" s="256"/>
      <c r="M25" s="257"/>
      <c r="N25" s="257"/>
      <c r="O25" s="256"/>
    </row>
    <row r="26" spans="1:15" ht="14.25" customHeight="1">
      <c r="A26" s="203" t="s">
        <v>38</v>
      </c>
      <c r="B26" s="343">
        <v>104051</v>
      </c>
      <c r="C26" s="342" t="s">
        <v>193</v>
      </c>
      <c r="D26" s="344">
        <f t="shared" si="0"/>
        <v>52200</v>
      </c>
      <c r="E26" s="347"/>
      <c r="F26" s="346"/>
      <c r="G26" s="345">
        <v>52200</v>
      </c>
      <c r="H26" s="259"/>
      <c r="I26" s="257"/>
      <c r="J26" s="256"/>
      <c r="K26" s="256"/>
      <c r="L26" s="256"/>
      <c r="M26" s="257"/>
      <c r="N26" s="257"/>
      <c r="O26" s="256"/>
    </row>
    <row r="27" spans="1:15" ht="15.75">
      <c r="A27" s="203" t="s">
        <v>40</v>
      </c>
      <c r="B27" s="343">
        <v>106020</v>
      </c>
      <c r="C27" s="342" t="s">
        <v>354</v>
      </c>
      <c r="D27" s="344">
        <f t="shared" si="0"/>
        <v>60000</v>
      </c>
      <c r="E27" s="347">
        <v>60000</v>
      </c>
      <c r="F27" s="346"/>
      <c r="G27" s="345"/>
      <c r="H27" s="259"/>
      <c r="I27" s="257"/>
      <c r="J27" s="256"/>
      <c r="K27" s="256"/>
      <c r="L27" s="256"/>
      <c r="M27" s="257"/>
      <c r="N27" s="257"/>
      <c r="O27" s="256"/>
    </row>
    <row r="28" spans="1:15" ht="14.25" customHeight="1">
      <c r="A28" s="203" t="s">
        <v>42</v>
      </c>
      <c r="B28" s="343">
        <v>107051</v>
      </c>
      <c r="C28" s="342" t="s">
        <v>195</v>
      </c>
      <c r="D28" s="344">
        <f t="shared" si="0"/>
        <v>1274326</v>
      </c>
      <c r="E28" s="347">
        <f>1218966+55360</f>
        <v>1274326</v>
      </c>
      <c r="F28" s="346"/>
      <c r="G28" s="345"/>
      <c r="H28" s="259"/>
      <c r="I28" s="257"/>
      <c r="J28" s="256"/>
      <c r="K28" s="256"/>
      <c r="L28" s="256"/>
      <c r="M28" s="257"/>
      <c r="N28" s="257"/>
      <c r="O28" s="256"/>
    </row>
    <row r="29" spans="1:15" ht="14.25" customHeight="1">
      <c r="A29" s="203" t="s">
        <v>318</v>
      </c>
      <c r="B29" s="343">
        <v>107055</v>
      </c>
      <c r="C29" s="342" t="s">
        <v>507</v>
      </c>
      <c r="D29" s="344">
        <f t="shared" si="0"/>
        <v>2658672</v>
      </c>
      <c r="E29" s="340">
        <f>2500000+63336+65336+25000+5000</f>
        <v>2658672</v>
      </c>
      <c r="F29" s="339"/>
      <c r="G29" s="338"/>
      <c r="H29" s="259"/>
      <c r="I29" s="257"/>
      <c r="J29" s="256"/>
      <c r="K29" s="256"/>
      <c r="L29" s="256"/>
      <c r="M29" s="257"/>
      <c r="N29" s="257"/>
      <c r="O29" s="256"/>
    </row>
    <row r="30" spans="1:15" ht="16.5" thickBot="1">
      <c r="A30" s="203" t="s">
        <v>320</v>
      </c>
      <c r="B30" s="343">
        <v>107060</v>
      </c>
      <c r="C30" s="342" t="s">
        <v>336</v>
      </c>
      <c r="D30" s="341">
        <f t="shared" si="0"/>
        <v>1360000</v>
      </c>
      <c r="E30" s="340">
        <v>1360000</v>
      </c>
      <c r="F30" s="339"/>
      <c r="G30" s="338"/>
      <c r="H30" s="259"/>
      <c r="I30" s="257"/>
      <c r="J30" s="256"/>
      <c r="K30" s="256"/>
      <c r="L30" s="256"/>
      <c r="M30" s="257"/>
      <c r="N30" s="257"/>
      <c r="O30" s="256"/>
    </row>
    <row r="31" spans="1:15" ht="16.5" thickBot="1">
      <c r="A31" s="204" t="s">
        <v>505</v>
      </c>
      <c r="B31" s="265"/>
      <c r="C31" s="337" t="s">
        <v>295</v>
      </c>
      <c r="D31" s="262">
        <f>SUM(D11:D30)</f>
        <v>78264682</v>
      </c>
      <c r="E31" s="263">
        <f>SUM(E11:E30)</f>
        <v>77175458</v>
      </c>
      <c r="F31" s="336">
        <f>SUM(F11:F30)</f>
        <v>1037024</v>
      </c>
      <c r="G31" s="262">
        <f>SUM(G11:G30)</f>
        <v>52200</v>
      </c>
      <c r="H31" s="259"/>
      <c r="I31" s="260"/>
      <c r="J31" s="259"/>
      <c r="K31" s="259"/>
      <c r="L31" s="259"/>
      <c r="M31" s="260"/>
      <c r="N31" s="259"/>
      <c r="O31" s="259"/>
    </row>
    <row r="32" spans="2:15" ht="15.75">
      <c r="B32" s="255"/>
      <c r="C32" s="255"/>
      <c r="D32" s="255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</row>
    <row r="33" spans="2:15" ht="15.75">
      <c r="B33" s="255"/>
      <c r="C33" s="255"/>
      <c r="D33" s="255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</row>
    <row r="34" spans="2:15" ht="15.75">
      <c r="B34" s="228"/>
      <c r="C34" s="258"/>
      <c r="D34" s="228"/>
      <c r="E34" s="256"/>
      <c r="F34" s="256"/>
      <c r="G34" s="256"/>
      <c r="H34" s="256"/>
      <c r="I34" s="257"/>
      <c r="J34" s="256"/>
      <c r="K34" s="256"/>
      <c r="L34" s="256"/>
      <c r="M34" s="257"/>
      <c r="N34" s="257"/>
      <c r="O34" s="256"/>
    </row>
    <row r="35" spans="2:15" ht="15.75">
      <c r="B35" s="255"/>
      <c r="C35" s="255"/>
      <c r="D35" s="255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</row>
  </sheetData>
  <sheetProtection password="AF00" sheet="1" objects="1" scenarios="1" selectLockedCells="1" selectUnlockedCells="1"/>
  <mergeCells count="15">
    <mergeCell ref="A1:G1"/>
    <mergeCell ref="F8:F9"/>
    <mergeCell ref="G8:G9"/>
    <mergeCell ref="E10:G10"/>
    <mergeCell ref="A2:G2"/>
    <mergeCell ref="A3:G3"/>
    <mergeCell ref="B4:G4"/>
    <mergeCell ref="B5:G5"/>
    <mergeCell ref="B6:G6"/>
    <mergeCell ref="A7:A10"/>
    <mergeCell ref="B7:B10"/>
    <mergeCell ref="C7:C10"/>
    <mergeCell ref="D7:D10"/>
    <mergeCell ref="E7:G7"/>
    <mergeCell ref="E8:E9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08" customWidth="1"/>
    <col min="2" max="2" width="71.75390625" style="92" customWidth="1"/>
    <col min="3" max="3" width="16.625" style="92" customWidth="1"/>
    <col min="4" max="16384" width="9.125" style="92" customWidth="1"/>
  </cols>
  <sheetData>
    <row r="1" spans="2:4" ht="15.75">
      <c r="B1" s="533" t="s">
        <v>481</v>
      </c>
      <c r="C1" s="533"/>
      <c r="D1" s="18"/>
    </row>
    <row r="2" spans="2:4" ht="6" customHeight="1">
      <c r="B2" s="21"/>
      <c r="C2" s="21"/>
      <c r="D2" s="22"/>
    </row>
    <row r="3" spans="2:4" ht="15.75" customHeight="1">
      <c r="B3" s="534"/>
      <c r="C3" s="534"/>
      <c r="D3" s="93"/>
    </row>
    <row r="4" spans="2:4" ht="16.5">
      <c r="B4" s="94"/>
      <c r="C4" s="94"/>
      <c r="D4" s="93"/>
    </row>
    <row r="5" spans="1:4" s="96" customFormat="1" ht="15.75" customHeight="1">
      <c r="A5" s="209"/>
      <c r="B5" s="534" t="s">
        <v>8</v>
      </c>
      <c r="C5" s="534"/>
      <c r="D5" s="95"/>
    </row>
    <row r="6" spans="1:6" s="9" customFormat="1" ht="15.75">
      <c r="A6" s="210"/>
      <c r="B6" s="535" t="s">
        <v>5</v>
      </c>
      <c r="C6" s="535"/>
      <c r="D6" s="23"/>
      <c r="E6" s="15"/>
      <c r="F6" s="15"/>
    </row>
    <row r="7" spans="1:6" s="8" customFormat="1" ht="16.5">
      <c r="A7" s="211"/>
      <c r="B7" s="532" t="s">
        <v>388</v>
      </c>
      <c r="C7" s="532"/>
      <c r="D7" s="24"/>
      <c r="E7" s="16"/>
      <c r="F7" s="16"/>
    </row>
    <row r="8" spans="2:4" ht="15.75" customHeight="1" thickBot="1">
      <c r="B8" s="93"/>
      <c r="C8" s="97" t="s">
        <v>400</v>
      </c>
      <c r="D8" s="93"/>
    </row>
    <row r="9" spans="1:4" ht="15" customHeight="1">
      <c r="A9" s="523" t="s">
        <v>406</v>
      </c>
      <c r="B9" s="526" t="s">
        <v>3</v>
      </c>
      <c r="C9" s="529" t="s">
        <v>9</v>
      </c>
      <c r="D9" s="95"/>
    </row>
    <row r="10" spans="1:4" ht="15.75" customHeight="1">
      <c r="A10" s="524"/>
      <c r="B10" s="527"/>
      <c r="C10" s="530"/>
      <c r="D10" s="95"/>
    </row>
    <row r="11" spans="1:4" ht="16.5" thickBot="1">
      <c r="A11" s="525"/>
      <c r="B11" s="528"/>
      <c r="C11" s="531"/>
      <c r="D11" s="95"/>
    </row>
    <row r="12" spans="2:4" ht="11.25" customHeight="1">
      <c r="B12" s="95"/>
      <c r="C12" s="95"/>
      <c r="D12" s="95"/>
    </row>
    <row r="13" spans="1:4" ht="15.75">
      <c r="A13" s="212" t="s">
        <v>18</v>
      </c>
      <c r="B13" s="100" t="s">
        <v>6</v>
      </c>
      <c r="C13" s="17"/>
      <c r="D13" s="11"/>
    </row>
    <row r="14" spans="1:4" s="98" customFormat="1" ht="15.75">
      <c r="A14" s="213"/>
      <c r="B14" s="100" t="s">
        <v>222</v>
      </c>
      <c r="C14" s="17"/>
      <c r="D14" s="11"/>
    </row>
    <row r="15" spans="1:4" s="98" customFormat="1" ht="15.75">
      <c r="A15" s="213"/>
      <c r="B15" s="11"/>
      <c r="C15" s="17"/>
      <c r="D15" s="11"/>
    </row>
    <row r="16" spans="1:4" ht="15.75">
      <c r="A16" s="212" t="s">
        <v>424</v>
      </c>
      <c r="B16" s="11" t="s">
        <v>215</v>
      </c>
      <c r="C16" s="102">
        <v>52200</v>
      </c>
      <c r="D16" s="11"/>
    </row>
    <row r="17" spans="1:4" ht="15.75">
      <c r="A17" s="212"/>
      <c r="B17" s="11"/>
      <c r="C17" s="17"/>
      <c r="D17" s="11"/>
    </row>
    <row r="18" spans="1:4" ht="31.5">
      <c r="A18" s="212" t="s">
        <v>19</v>
      </c>
      <c r="B18" s="103" t="s">
        <v>216</v>
      </c>
      <c r="C18" s="17"/>
      <c r="D18" s="11"/>
    </row>
    <row r="19" spans="1:4" ht="33" customHeight="1">
      <c r="A19" s="212" t="s">
        <v>435</v>
      </c>
      <c r="B19" s="104" t="s">
        <v>217</v>
      </c>
      <c r="C19" s="17">
        <v>60000</v>
      </c>
      <c r="D19" s="11"/>
    </row>
    <row r="20" spans="1:4" ht="17.25" customHeight="1">
      <c r="A20" s="212" t="s">
        <v>427</v>
      </c>
      <c r="B20" s="104" t="s">
        <v>394</v>
      </c>
      <c r="C20" s="17">
        <v>200000</v>
      </c>
      <c r="D20" s="11"/>
    </row>
    <row r="21" spans="1:4" ht="15.75" customHeight="1">
      <c r="A21" s="212" t="s">
        <v>454</v>
      </c>
      <c r="B21" s="104" t="s">
        <v>218</v>
      </c>
      <c r="C21" s="184">
        <v>50000</v>
      </c>
      <c r="D21" s="11"/>
    </row>
    <row r="22" spans="1:4" ht="19.5" customHeight="1">
      <c r="A22" s="212"/>
      <c r="B22" s="11"/>
      <c r="C22" s="102">
        <f>C19+C20+C21</f>
        <v>310000</v>
      </c>
      <c r="D22" s="11"/>
    </row>
    <row r="23" spans="1:4" ht="11.25" customHeight="1">
      <c r="A23" s="212"/>
      <c r="B23" s="11"/>
      <c r="C23" s="17"/>
      <c r="D23" s="11"/>
    </row>
    <row r="24" spans="1:4" ht="21" customHeight="1">
      <c r="A24" s="212" t="s">
        <v>20</v>
      </c>
      <c r="B24" s="100" t="s">
        <v>219</v>
      </c>
      <c r="C24" s="17"/>
      <c r="D24" s="11"/>
    </row>
    <row r="25" spans="1:4" s="99" customFormat="1" ht="16.5">
      <c r="A25" s="214" t="s">
        <v>429</v>
      </c>
      <c r="B25" s="11" t="s">
        <v>220</v>
      </c>
      <c r="C25" s="17">
        <v>350000</v>
      </c>
      <c r="D25" s="11"/>
    </row>
    <row r="26" spans="1:4" s="99" customFormat="1" ht="16.5">
      <c r="A26" s="214" t="s">
        <v>460</v>
      </c>
      <c r="B26" s="11" t="s">
        <v>396</v>
      </c>
      <c r="C26" s="17">
        <v>350000</v>
      </c>
      <c r="D26" s="11"/>
    </row>
    <row r="27" spans="1:4" ht="15.75">
      <c r="A27" s="212" t="s">
        <v>461</v>
      </c>
      <c r="B27" s="11" t="s">
        <v>395</v>
      </c>
      <c r="C27" s="17">
        <v>200000</v>
      </c>
      <c r="D27" s="11"/>
    </row>
    <row r="28" spans="1:4" ht="15.75">
      <c r="A28" s="212" t="s">
        <v>462</v>
      </c>
      <c r="B28" s="11" t="s">
        <v>221</v>
      </c>
      <c r="C28" s="185">
        <v>80000</v>
      </c>
      <c r="D28" s="11"/>
    </row>
    <row r="29" spans="1:4" ht="15.75">
      <c r="A29" s="212" t="s">
        <v>463</v>
      </c>
      <c r="B29" s="11" t="s">
        <v>397</v>
      </c>
      <c r="C29" s="184">
        <v>130000</v>
      </c>
      <c r="D29" s="11"/>
    </row>
    <row r="30" spans="1:4" ht="15.75">
      <c r="A30" s="212"/>
      <c r="B30" s="100"/>
      <c r="C30" s="102">
        <f>SUM(C25:C29)</f>
        <v>1110000</v>
      </c>
      <c r="D30" s="11"/>
    </row>
    <row r="31" spans="1:4" ht="15.75">
      <c r="A31" s="212" t="s">
        <v>21</v>
      </c>
      <c r="B31" s="100" t="s">
        <v>398</v>
      </c>
      <c r="C31" s="102"/>
      <c r="D31" s="11"/>
    </row>
    <row r="32" spans="1:4" ht="15.75">
      <c r="A32" s="212" t="s">
        <v>464</v>
      </c>
      <c r="B32" s="11" t="s">
        <v>399</v>
      </c>
      <c r="C32" s="17">
        <v>50000</v>
      </c>
      <c r="D32" s="11"/>
    </row>
    <row r="33" spans="1:4" ht="15.75">
      <c r="A33" s="212"/>
      <c r="B33" s="11"/>
      <c r="C33" s="17"/>
      <c r="D33" s="11"/>
    </row>
    <row r="34" spans="1:4" ht="15.75">
      <c r="A34" s="212"/>
      <c r="B34" s="100" t="s">
        <v>7</v>
      </c>
      <c r="C34" s="102">
        <f>C16+C30+C32+C22</f>
        <v>1522200</v>
      </c>
      <c r="D34" s="101"/>
    </row>
    <row r="35" spans="2:4" ht="15.75">
      <c r="B35" s="100"/>
      <c r="C35" s="102"/>
      <c r="D35" s="101"/>
    </row>
    <row r="36" spans="2:4" ht="15.75">
      <c r="B36" s="100"/>
      <c r="C36" s="17"/>
      <c r="D36" s="11"/>
    </row>
    <row r="37" spans="2:4" ht="15.75">
      <c r="B37" s="11"/>
      <c r="C37" s="17"/>
      <c r="D37" s="11"/>
    </row>
    <row r="38" spans="2:4" ht="15.75">
      <c r="B38" s="11"/>
      <c r="C38" s="17"/>
      <c r="D38" s="11"/>
    </row>
    <row r="39" spans="2:4" ht="15.75">
      <c r="B39" s="11"/>
      <c r="C39" s="17"/>
      <c r="D39" s="11"/>
    </row>
    <row r="40" spans="2:4" ht="15.75">
      <c r="B40" s="11"/>
      <c r="C40" s="17"/>
      <c r="D40" s="11"/>
    </row>
    <row r="41" spans="2:4" ht="15.75">
      <c r="B41" s="100"/>
      <c r="C41" s="102"/>
      <c r="D41" s="11"/>
    </row>
    <row r="42" spans="2:4" ht="15.75">
      <c r="B42" s="100"/>
      <c r="C42" s="102"/>
      <c r="D42" s="101"/>
    </row>
    <row r="43" spans="2:4" ht="15.75">
      <c r="B43" s="100"/>
      <c r="C43" s="102"/>
      <c r="D43" s="101"/>
    </row>
    <row r="44" spans="2:4" ht="15.75">
      <c r="B44" s="95"/>
      <c r="C44" s="95"/>
      <c r="D44" s="95"/>
    </row>
    <row r="45" spans="2:4" ht="15.75">
      <c r="B45" s="95"/>
      <c r="C45" s="95"/>
      <c r="D45" s="95"/>
    </row>
    <row r="46" spans="2:4" ht="15.75">
      <c r="B46" s="95"/>
      <c r="C46" s="95"/>
      <c r="D46" s="95"/>
    </row>
    <row r="47" spans="2:4" ht="15.75">
      <c r="B47" s="95"/>
      <c r="C47" s="95"/>
      <c r="D47" s="95"/>
    </row>
    <row r="48" spans="2:4" ht="15.75">
      <c r="B48" s="95"/>
      <c r="C48" s="95"/>
      <c r="D48" s="95"/>
    </row>
    <row r="49" spans="2:4" ht="15.75">
      <c r="B49" s="95"/>
      <c r="C49" s="95"/>
      <c r="D49" s="95"/>
    </row>
    <row r="50" spans="2:4" ht="15.75">
      <c r="B50" s="95"/>
      <c r="C50" s="95"/>
      <c r="D50" s="95"/>
    </row>
    <row r="51" spans="2:4" ht="15.75">
      <c r="B51" s="95"/>
      <c r="C51" s="95"/>
      <c r="D51" s="95"/>
    </row>
    <row r="52" spans="2:4" ht="16.5">
      <c r="B52" s="93"/>
      <c r="C52" s="93"/>
      <c r="D52" s="93"/>
    </row>
    <row r="53" spans="2:4" ht="16.5">
      <c r="B53" s="93"/>
      <c r="C53" s="93"/>
      <c r="D53" s="93"/>
    </row>
    <row r="54" spans="2:4" ht="16.5">
      <c r="B54" s="93"/>
      <c r="C54" s="93"/>
      <c r="D54" s="93"/>
    </row>
    <row r="55" spans="2:4" ht="16.5">
      <c r="B55" s="93"/>
      <c r="C55" s="93"/>
      <c r="D55" s="93"/>
    </row>
    <row r="56" spans="2:4" ht="16.5">
      <c r="B56" s="93"/>
      <c r="C56" s="93"/>
      <c r="D56" s="93"/>
    </row>
    <row r="57" spans="2:4" ht="16.5">
      <c r="B57" s="93"/>
      <c r="C57" s="93"/>
      <c r="D57" s="93"/>
    </row>
    <row r="58" spans="2:4" ht="16.5">
      <c r="B58" s="93"/>
      <c r="C58" s="93"/>
      <c r="D58" s="93"/>
    </row>
    <row r="59" spans="2:4" ht="16.5">
      <c r="B59" s="93"/>
      <c r="C59" s="93"/>
      <c r="D59" s="93"/>
    </row>
    <row r="60" spans="2:4" ht="16.5">
      <c r="B60" s="93"/>
      <c r="C60" s="93"/>
      <c r="D60" s="93"/>
    </row>
    <row r="61" spans="2:4" ht="16.5">
      <c r="B61" s="93"/>
      <c r="C61" s="93"/>
      <c r="D61" s="93"/>
    </row>
    <row r="62" spans="2:4" ht="16.5">
      <c r="B62" s="93"/>
      <c r="C62" s="93"/>
      <c r="D62" s="93"/>
    </row>
    <row r="63" spans="2:4" ht="16.5">
      <c r="B63" s="93"/>
      <c r="C63" s="93"/>
      <c r="D63" s="93"/>
    </row>
    <row r="64" spans="2:4" ht="16.5">
      <c r="B64" s="93"/>
      <c r="C64" s="93"/>
      <c r="D64" s="93"/>
    </row>
    <row r="65" spans="2:4" ht="16.5">
      <c r="B65" s="93"/>
      <c r="C65" s="93"/>
      <c r="D65" s="93"/>
    </row>
    <row r="66" spans="2:4" ht="16.5">
      <c r="B66" s="93"/>
      <c r="C66" s="93"/>
      <c r="D66" s="93"/>
    </row>
    <row r="67" spans="2:4" ht="16.5">
      <c r="B67" s="93"/>
      <c r="C67" s="93"/>
      <c r="D67" s="93"/>
    </row>
    <row r="68" spans="2:4" ht="16.5">
      <c r="B68" s="93"/>
      <c r="C68" s="93"/>
      <c r="D68" s="93"/>
    </row>
    <row r="69" spans="2:4" ht="16.5">
      <c r="B69" s="93"/>
      <c r="C69" s="93"/>
      <c r="D69" s="93"/>
    </row>
    <row r="70" spans="2:4" ht="16.5">
      <c r="B70" s="93"/>
      <c r="C70" s="93"/>
      <c r="D70" s="93"/>
    </row>
    <row r="71" spans="2:4" ht="16.5">
      <c r="B71" s="93"/>
      <c r="C71" s="93"/>
      <c r="D71" s="93"/>
    </row>
    <row r="72" spans="2:4" ht="16.5">
      <c r="B72" s="93"/>
      <c r="C72" s="93"/>
      <c r="D72" s="93"/>
    </row>
    <row r="73" spans="2:4" ht="16.5">
      <c r="B73" s="93"/>
      <c r="C73" s="93"/>
      <c r="D73" s="93"/>
    </row>
    <row r="74" spans="2:4" ht="16.5">
      <c r="B74" s="93"/>
      <c r="C74" s="93"/>
      <c r="D74" s="93"/>
    </row>
    <row r="75" spans="2:4" ht="16.5">
      <c r="B75" s="93"/>
      <c r="C75" s="93"/>
      <c r="D75" s="93"/>
    </row>
    <row r="76" spans="2:4" ht="16.5">
      <c r="B76" s="93"/>
      <c r="C76" s="93"/>
      <c r="D76" s="93"/>
    </row>
    <row r="77" spans="2:4" ht="16.5">
      <c r="B77" s="93"/>
      <c r="C77" s="93"/>
      <c r="D77" s="93"/>
    </row>
    <row r="78" spans="2:4" ht="16.5">
      <c r="B78" s="93"/>
      <c r="C78" s="93"/>
      <c r="D78" s="93"/>
    </row>
    <row r="79" spans="2:4" ht="16.5">
      <c r="B79" s="93"/>
      <c r="C79" s="93"/>
      <c r="D79" s="93"/>
    </row>
    <row r="80" spans="2:4" ht="16.5">
      <c r="B80" s="93"/>
      <c r="C80" s="93"/>
      <c r="D80" s="93"/>
    </row>
    <row r="81" spans="2:4" ht="16.5">
      <c r="B81" s="93"/>
      <c r="C81" s="93"/>
      <c r="D81" s="93"/>
    </row>
    <row r="82" spans="2:4" ht="16.5">
      <c r="B82" s="93"/>
      <c r="C82" s="93"/>
      <c r="D82" s="93"/>
    </row>
    <row r="83" spans="2:4" ht="16.5">
      <c r="B83" s="93"/>
      <c r="C83" s="93"/>
      <c r="D83" s="93"/>
    </row>
    <row r="84" spans="2:4" ht="16.5">
      <c r="B84" s="93"/>
      <c r="C84" s="93"/>
      <c r="D84" s="93"/>
    </row>
    <row r="85" spans="2:4" ht="16.5">
      <c r="B85" s="93"/>
      <c r="C85" s="93"/>
      <c r="D85" s="93"/>
    </row>
    <row r="86" spans="2:4" ht="16.5">
      <c r="B86" s="93"/>
      <c r="C86" s="93"/>
      <c r="D86" s="93"/>
    </row>
    <row r="87" spans="2:4" ht="16.5">
      <c r="B87" s="93"/>
      <c r="C87" s="93"/>
      <c r="D87" s="93"/>
    </row>
    <row r="88" spans="2:4" ht="16.5">
      <c r="B88" s="93"/>
      <c r="C88" s="93"/>
      <c r="D88" s="93"/>
    </row>
    <row r="89" spans="2:4" ht="16.5">
      <c r="B89" s="93"/>
      <c r="C89" s="93"/>
      <c r="D89" s="93"/>
    </row>
    <row r="90" spans="2:4" ht="16.5">
      <c r="B90" s="93"/>
      <c r="C90" s="93"/>
      <c r="D90" s="93"/>
    </row>
    <row r="91" spans="2:4" ht="16.5">
      <c r="B91" s="93"/>
      <c r="C91" s="93"/>
      <c r="D91" s="93"/>
    </row>
    <row r="92" spans="2:4" ht="16.5">
      <c r="B92" s="93"/>
      <c r="C92" s="93"/>
      <c r="D92" s="93"/>
    </row>
    <row r="93" spans="2:4" ht="16.5">
      <c r="B93" s="93"/>
      <c r="C93" s="93"/>
      <c r="D93" s="93"/>
    </row>
    <row r="94" spans="2:4" ht="16.5">
      <c r="B94" s="93"/>
      <c r="C94" s="93"/>
      <c r="D94" s="93"/>
    </row>
    <row r="95" spans="2:4" ht="16.5">
      <c r="B95" s="93"/>
      <c r="C95" s="93"/>
      <c r="D95" s="93"/>
    </row>
    <row r="96" spans="2:4" ht="16.5">
      <c r="B96" s="93"/>
      <c r="C96" s="93"/>
      <c r="D96" s="93"/>
    </row>
    <row r="97" spans="2:4" ht="16.5">
      <c r="B97" s="93"/>
      <c r="C97" s="93"/>
      <c r="D97" s="93"/>
    </row>
    <row r="98" spans="2:4" ht="16.5">
      <c r="B98" s="93"/>
      <c r="C98" s="93"/>
      <c r="D98" s="93"/>
    </row>
    <row r="99" spans="2:4" ht="16.5">
      <c r="B99" s="93"/>
      <c r="C99" s="93"/>
      <c r="D99" s="93"/>
    </row>
    <row r="100" spans="2:4" ht="16.5">
      <c r="B100" s="93"/>
      <c r="C100" s="93"/>
      <c r="D100" s="93"/>
    </row>
    <row r="101" spans="2:4" ht="16.5">
      <c r="B101" s="93"/>
      <c r="C101" s="93"/>
      <c r="D101" s="93"/>
    </row>
    <row r="102" spans="2:4" ht="16.5">
      <c r="B102" s="93"/>
      <c r="C102" s="93"/>
      <c r="D102" s="93"/>
    </row>
    <row r="103" spans="2:4" ht="16.5">
      <c r="B103" s="93"/>
      <c r="C103" s="93"/>
      <c r="D103" s="93"/>
    </row>
    <row r="104" spans="2:4" ht="16.5">
      <c r="B104" s="93"/>
      <c r="C104" s="93"/>
      <c r="D104" s="93"/>
    </row>
    <row r="105" spans="2:4" ht="16.5">
      <c r="B105" s="93"/>
      <c r="C105" s="93"/>
      <c r="D105" s="93"/>
    </row>
    <row r="106" spans="2:4" ht="16.5">
      <c r="B106" s="93"/>
      <c r="C106" s="93"/>
      <c r="D106" s="93"/>
    </row>
    <row r="107" spans="2:4" ht="16.5">
      <c r="B107" s="93"/>
      <c r="C107" s="93"/>
      <c r="D107" s="93"/>
    </row>
    <row r="108" spans="2:4" ht="16.5">
      <c r="B108" s="93"/>
      <c r="C108" s="93"/>
      <c r="D108" s="93"/>
    </row>
    <row r="109" spans="2:4" ht="16.5">
      <c r="B109" s="93"/>
      <c r="C109" s="93"/>
      <c r="D109" s="93"/>
    </row>
    <row r="110" spans="2:4" ht="16.5">
      <c r="B110" s="93"/>
      <c r="C110" s="93"/>
      <c r="D110" s="93"/>
    </row>
  </sheetData>
  <sheetProtection password="AF00" sheet="1" objects="1" scenarios="1" selectLockedCells="1" selectUnlockedCells="1"/>
  <mergeCells count="8">
    <mergeCell ref="A9:A11"/>
    <mergeCell ref="B9:B11"/>
    <mergeCell ref="C9:C11"/>
    <mergeCell ref="B7:C7"/>
    <mergeCell ref="B1:C1"/>
    <mergeCell ref="B3:C3"/>
    <mergeCell ref="B5:C5"/>
    <mergeCell ref="B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125" style="8" bestFit="1" customWidth="1"/>
    <col min="2" max="3" width="9.125" style="8" customWidth="1"/>
    <col min="4" max="4" width="24.25390625" style="8" customWidth="1"/>
    <col min="5" max="5" width="17.375" style="8" customWidth="1"/>
    <col min="6" max="6" width="18.00390625" style="8" customWidth="1"/>
    <col min="7" max="7" width="17.125" style="8" customWidth="1"/>
    <col min="8" max="16384" width="9.125" style="8" customWidth="1"/>
  </cols>
  <sheetData>
    <row r="1" spans="4:10" ht="15.75">
      <c r="D1" s="533" t="s">
        <v>482</v>
      </c>
      <c r="E1" s="533"/>
      <c r="F1" s="533"/>
      <c r="G1" s="533"/>
      <c r="H1" s="18"/>
      <c r="I1" s="18"/>
      <c r="J1" s="18"/>
    </row>
    <row r="2" spans="2:7" ht="9" customHeight="1">
      <c r="B2" s="549"/>
      <c r="C2" s="549"/>
      <c r="D2" s="549"/>
      <c r="E2" s="549"/>
      <c r="F2" s="549"/>
      <c r="G2" s="549"/>
    </row>
    <row r="3" spans="2:7" ht="15.75">
      <c r="B3" s="535"/>
      <c r="C3" s="535"/>
      <c r="D3" s="535"/>
      <c r="E3" s="535"/>
      <c r="F3" s="535"/>
      <c r="G3" s="535"/>
    </row>
    <row r="4" ht="12.75" customHeight="1"/>
    <row r="5" spans="2:7" s="9" customFormat="1" ht="15.75">
      <c r="B5" s="535" t="s">
        <v>8</v>
      </c>
      <c r="C5" s="535"/>
      <c r="D5" s="535"/>
      <c r="E5" s="535"/>
      <c r="F5" s="535"/>
      <c r="G5" s="535"/>
    </row>
    <row r="6" spans="2:7" s="9" customFormat="1" ht="15.75">
      <c r="B6" s="535" t="s">
        <v>11</v>
      </c>
      <c r="C6" s="535"/>
      <c r="D6" s="535"/>
      <c r="E6" s="535"/>
      <c r="F6" s="535"/>
      <c r="G6" s="535"/>
    </row>
    <row r="7" spans="2:7" ht="15.75">
      <c r="B7" s="536" t="s">
        <v>386</v>
      </c>
      <c r="C7" s="536"/>
      <c r="D7" s="536"/>
      <c r="E7" s="536"/>
      <c r="F7" s="536"/>
      <c r="G7" s="536"/>
    </row>
    <row r="8" ht="15">
      <c r="G8" s="36" t="s">
        <v>387</v>
      </c>
    </row>
    <row r="9" spans="1:7" ht="15">
      <c r="A9" s="550" t="s">
        <v>406</v>
      </c>
      <c r="B9" s="537" t="s">
        <v>3</v>
      </c>
      <c r="C9" s="538"/>
      <c r="D9" s="538"/>
      <c r="E9" s="538"/>
      <c r="F9" s="539"/>
      <c r="G9" s="546" t="s">
        <v>4</v>
      </c>
    </row>
    <row r="10" spans="1:7" ht="15">
      <c r="A10" s="551"/>
      <c r="B10" s="540"/>
      <c r="C10" s="541"/>
      <c r="D10" s="541"/>
      <c r="E10" s="541"/>
      <c r="F10" s="542"/>
      <c r="G10" s="547"/>
    </row>
    <row r="11" spans="1:7" ht="15">
      <c r="A11" s="552"/>
      <c r="B11" s="543"/>
      <c r="C11" s="544"/>
      <c r="D11" s="544"/>
      <c r="E11" s="544"/>
      <c r="F11" s="545"/>
      <c r="G11" s="548"/>
    </row>
    <row r="12" spans="2:7" ht="15.75">
      <c r="B12" s="32"/>
      <c r="C12" s="32"/>
      <c r="D12" s="32"/>
      <c r="E12" s="32"/>
      <c r="F12" s="32"/>
      <c r="G12" s="33"/>
    </row>
    <row r="13" spans="1:7" ht="15.75">
      <c r="A13" s="211" t="s">
        <v>18</v>
      </c>
      <c r="B13" s="34" t="s">
        <v>12</v>
      </c>
      <c r="C13" s="32"/>
      <c r="D13" s="32"/>
      <c r="E13" s="32"/>
      <c r="F13" s="32"/>
      <c r="G13" s="33"/>
    </row>
    <row r="14" spans="1:7" ht="21.75" customHeight="1">
      <c r="A14" s="211" t="s">
        <v>465</v>
      </c>
      <c r="B14" s="553" t="s">
        <v>13</v>
      </c>
      <c r="C14" s="553"/>
      <c r="D14" s="553"/>
      <c r="E14" s="553"/>
      <c r="F14" s="553"/>
      <c r="G14" s="25"/>
    </row>
    <row r="15" spans="1:7" ht="1.5" customHeight="1">
      <c r="A15" s="211">
        <v>42736</v>
      </c>
      <c r="B15" s="19"/>
      <c r="C15" s="19"/>
      <c r="D15" s="19"/>
      <c r="E15" s="19"/>
      <c r="F15" s="19"/>
      <c r="G15" s="25"/>
    </row>
    <row r="16" spans="1:256" ht="15.75">
      <c r="A16" s="211" t="s">
        <v>422</v>
      </c>
      <c r="B16" s="26" t="s">
        <v>10</v>
      </c>
      <c r="C16" s="26"/>
      <c r="D16" s="26"/>
      <c r="E16" s="26"/>
      <c r="F16" s="26"/>
      <c r="G16" s="25">
        <v>85000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5.75">
      <c r="A17" s="211" t="s">
        <v>466</v>
      </c>
      <c r="B17" s="26" t="s">
        <v>355</v>
      </c>
      <c r="C17" s="26"/>
      <c r="D17" s="26"/>
      <c r="E17" s="26"/>
      <c r="F17" s="26"/>
      <c r="G17" s="2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5.75">
      <c r="A18" s="211" t="s">
        <v>467</v>
      </c>
      <c r="B18" s="169" t="s">
        <v>472</v>
      </c>
      <c r="C18" s="26"/>
      <c r="D18" s="26"/>
      <c r="E18" s="26"/>
      <c r="F18" s="26"/>
      <c r="G18" s="25">
        <v>6000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5.75">
      <c r="A19" s="211" t="s">
        <v>468</v>
      </c>
      <c r="B19" s="169" t="s">
        <v>470</v>
      </c>
      <c r="C19" s="26"/>
      <c r="D19" s="26"/>
      <c r="E19" s="26"/>
      <c r="F19" s="26"/>
      <c r="G19" s="25">
        <v>41700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5.75">
      <c r="A20" s="211" t="s">
        <v>469</v>
      </c>
      <c r="B20" s="169" t="s">
        <v>471</v>
      </c>
      <c r="C20" s="26"/>
      <c r="D20" s="26"/>
      <c r="E20" s="26"/>
      <c r="F20" s="26"/>
      <c r="G20" s="25">
        <v>13900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7" ht="35.25" customHeight="1">
      <c r="A21" s="211"/>
      <c r="B21" s="553" t="s">
        <v>14</v>
      </c>
      <c r="C21" s="416"/>
      <c r="D21" s="416"/>
      <c r="E21" s="416"/>
      <c r="F21" s="416"/>
      <c r="G21" s="35">
        <f>G16+G18+G19+G20</f>
        <v>146600</v>
      </c>
    </row>
    <row r="22" spans="1:7" ht="17.25" customHeight="1">
      <c r="A22" s="211"/>
      <c r="B22" s="167"/>
      <c r="C22" s="168"/>
      <c r="D22" s="168"/>
      <c r="E22" s="168"/>
      <c r="F22" s="168"/>
      <c r="G22" s="25"/>
    </row>
    <row r="23" spans="1:7" ht="17.25" customHeight="1">
      <c r="A23" s="211"/>
      <c r="B23" s="553"/>
      <c r="C23" s="416"/>
      <c r="D23" s="416"/>
      <c r="E23" s="416"/>
      <c r="F23" s="416"/>
      <c r="G23" s="25"/>
    </row>
    <row r="24" spans="1:7" ht="18" customHeight="1">
      <c r="A24" s="211"/>
      <c r="B24" s="167"/>
      <c r="C24" s="168"/>
      <c r="D24" s="168"/>
      <c r="E24" s="168"/>
      <c r="F24" s="168"/>
      <c r="G24" s="25"/>
    </row>
    <row r="25" spans="1:9" ht="26.25" customHeight="1">
      <c r="A25" s="211"/>
      <c r="B25" s="31" t="s">
        <v>15</v>
      </c>
      <c r="C25" s="19"/>
      <c r="D25" s="19"/>
      <c r="E25" s="19"/>
      <c r="F25" s="19"/>
      <c r="G25" s="35">
        <f>G21</f>
        <v>146600</v>
      </c>
      <c r="H25" s="13"/>
      <c r="I25" s="13"/>
    </row>
    <row r="26" spans="2:9" ht="12.75" customHeight="1">
      <c r="B26" s="31"/>
      <c r="C26" s="19"/>
      <c r="D26" s="19"/>
      <c r="E26" s="19"/>
      <c r="F26" s="19"/>
      <c r="G26" s="25"/>
      <c r="H26" s="13"/>
      <c r="I26" s="13"/>
    </row>
    <row r="27" spans="2:7" ht="15.75">
      <c r="B27" s="19"/>
      <c r="C27" s="19"/>
      <c r="D27" s="19"/>
      <c r="E27" s="19"/>
      <c r="F27" s="19"/>
      <c r="G27" s="19"/>
    </row>
    <row r="28" spans="2:7" ht="15.75">
      <c r="B28" s="19"/>
      <c r="C28" s="19"/>
      <c r="D28" s="19"/>
      <c r="E28" s="19"/>
      <c r="F28" s="19"/>
      <c r="G28" s="19"/>
    </row>
    <row r="29" spans="2:7" ht="15.75">
      <c r="B29" s="19"/>
      <c r="C29" s="19"/>
      <c r="D29" s="19"/>
      <c r="E29" s="19"/>
      <c r="F29" s="19"/>
      <c r="G29" s="19"/>
    </row>
    <row r="30" spans="2:7" ht="15.75">
      <c r="B30" s="19"/>
      <c r="C30" s="19"/>
      <c r="D30" s="19"/>
      <c r="E30" s="19"/>
      <c r="F30" s="19"/>
      <c r="G30" s="19"/>
    </row>
    <row r="31" spans="2:7" ht="15.75">
      <c r="B31" s="19"/>
      <c r="C31" s="19"/>
      <c r="D31" s="19"/>
      <c r="E31" s="19"/>
      <c r="F31" s="19"/>
      <c r="G31" s="19"/>
    </row>
    <row r="32" spans="2:7" ht="15.75">
      <c r="B32" s="19"/>
      <c r="C32" s="19"/>
      <c r="D32" s="19"/>
      <c r="E32" s="19"/>
      <c r="F32" s="19"/>
      <c r="G32" s="19"/>
    </row>
    <row r="33" spans="2:7" ht="15.75">
      <c r="B33" s="19"/>
      <c r="C33" s="19"/>
      <c r="D33" s="19"/>
      <c r="E33" s="19"/>
      <c r="F33" s="19"/>
      <c r="G33" s="19"/>
    </row>
    <row r="34" spans="2:7" ht="15.75">
      <c r="B34" s="19"/>
      <c r="C34" s="19"/>
      <c r="D34" s="19"/>
      <c r="E34" s="19"/>
      <c r="F34" s="19"/>
      <c r="G34" s="19"/>
    </row>
    <row r="35" spans="2:7" ht="15.75">
      <c r="B35" s="19"/>
      <c r="C35" s="19"/>
      <c r="D35" s="19"/>
      <c r="E35" s="19"/>
      <c r="F35" s="19"/>
      <c r="G35" s="19"/>
    </row>
    <row r="36" spans="2:7" ht="15.75">
      <c r="B36" s="19"/>
      <c r="C36" s="19"/>
      <c r="D36" s="19"/>
      <c r="E36" s="19"/>
      <c r="F36" s="19"/>
      <c r="G36" s="19"/>
    </row>
    <row r="37" spans="2:7" ht="15.75">
      <c r="B37" s="19"/>
      <c r="C37" s="19"/>
      <c r="D37" s="19"/>
      <c r="E37" s="19"/>
      <c r="F37" s="19"/>
      <c r="G37" s="19"/>
    </row>
    <row r="38" spans="2:7" ht="15.75">
      <c r="B38" s="19"/>
      <c r="C38" s="19"/>
      <c r="D38" s="19"/>
      <c r="E38" s="19"/>
      <c r="F38" s="19"/>
      <c r="G38" s="19"/>
    </row>
    <row r="39" spans="2:7" ht="15.75">
      <c r="B39" s="19"/>
      <c r="C39" s="19"/>
      <c r="D39" s="19"/>
      <c r="E39" s="19"/>
      <c r="F39" s="19"/>
      <c r="G39" s="19"/>
    </row>
    <row r="40" spans="2:7" ht="15.75">
      <c r="B40" s="19"/>
      <c r="C40" s="19"/>
      <c r="D40" s="19"/>
      <c r="E40" s="19"/>
      <c r="F40" s="19"/>
      <c r="G40" s="19"/>
    </row>
    <row r="41" spans="2:7" ht="15.75">
      <c r="B41" s="19"/>
      <c r="C41" s="19"/>
      <c r="D41" s="19"/>
      <c r="E41" s="19"/>
      <c r="F41" s="19"/>
      <c r="G41" s="19"/>
    </row>
    <row r="42" spans="2:7" ht="15.75">
      <c r="B42" s="19"/>
      <c r="C42" s="19"/>
      <c r="D42" s="19"/>
      <c r="E42" s="19"/>
      <c r="F42" s="19"/>
      <c r="G42" s="19"/>
    </row>
    <row r="43" spans="2:7" ht="15.75">
      <c r="B43" s="19"/>
      <c r="C43" s="19"/>
      <c r="D43" s="19"/>
      <c r="E43" s="19"/>
      <c r="F43" s="19"/>
      <c r="G43" s="19"/>
    </row>
    <row r="44" spans="2:7" ht="15.75">
      <c r="B44" s="19"/>
      <c r="C44" s="19"/>
      <c r="D44" s="19"/>
      <c r="E44" s="19"/>
      <c r="F44" s="19"/>
      <c r="G44" s="19"/>
    </row>
    <row r="45" spans="2:7" ht="15.75">
      <c r="B45" s="19"/>
      <c r="C45" s="19"/>
      <c r="D45" s="19"/>
      <c r="E45" s="19"/>
      <c r="F45" s="19"/>
      <c r="G45" s="19"/>
    </row>
    <row r="46" spans="2:7" ht="15.75">
      <c r="B46" s="19"/>
      <c r="C46" s="19"/>
      <c r="D46" s="19"/>
      <c r="E46" s="19"/>
      <c r="F46" s="19"/>
      <c r="G46" s="19"/>
    </row>
    <row r="47" spans="2:7" ht="15.75">
      <c r="B47" s="19"/>
      <c r="C47" s="19"/>
      <c r="D47" s="19"/>
      <c r="E47" s="19"/>
      <c r="F47" s="19"/>
      <c r="G47" s="19"/>
    </row>
    <row r="48" spans="2:7" ht="15.75">
      <c r="B48" s="19"/>
      <c r="C48" s="19"/>
      <c r="D48" s="19"/>
      <c r="E48" s="19"/>
      <c r="F48" s="19"/>
      <c r="G48" s="19"/>
    </row>
    <row r="49" spans="2:7" ht="15.75">
      <c r="B49" s="19"/>
      <c r="C49" s="19"/>
      <c r="D49" s="19"/>
      <c r="E49" s="19"/>
      <c r="F49" s="19"/>
      <c r="G49" s="19"/>
    </row>
    <row r="50" spans="2:7" ht="15.75">
      <c r="B50" s="19"/>
      <c r="C50" s="19"/>
      <c r="D50" s="19"/>
      <c r="E50" s="19"/>
      <c r="F50" s="19"/>
      <c r="G50" s="19"/>
    </row>
    <row r="51" spans="2:7" ht="15.75">
      <c r="B51" s="19"/>
      <c r="C51" s="19"/>
      <c r="D51" s="19"/>
      <c r="E51" s="19"/>
      <c r="F51" s="19"/>
      <c r="G51" s="19"/>
    </row>
    <row r="52" spans="2:7" ht="15.75">
      <c r="B52" s="19"/>
      <c r="C52" s="19"/>
      <c r="D52" s="19"/>
      <c r="E52" s="19"/>
      <c r="F52" s="19"/>
      <c r="G52" s="19"/>
    </row>
    <row r="53" spans="2:7" ht="15.75">
      <c r="B53" s="19"/>
      <c r="C53" s="19"/>
      <c r="D53" s="19"/>
      <c r="E53" s="19"/>
      <c r="F53" s="19"/>
      <c r="G53" s="19"/>
    </row>
    <row r="54" spans="2:7" ht="15.75">
      <c r="B54" s="19"/>
      <c r="C54" s="19"/>
      <c r="D54" s="19"/>
      <c r="E54" s="19"/>
      <c r="F54" s="19"/>
      <c r="G54" s="19"/>
    </row>
    <row r="55" spans="2:7" ht="15.75">
      <c r="B55" s="19"/>
      <c r="C55" s="19"/>
      <c r="D55" s="19"/>
      <c r="E55" s="19"/>
      <c r="F55" s="19"/>
      <c r="G55" s="19"/>
    </row>
    <row r="56" spans="2:7" ht="15.75">
      <c r="B56" s="19"/>
      <c r="C56" s="19"/>
      <c r="D56" s="19"/>
      <c r="E56" s="19"/>
      <c r="F56" s="19"/>
      <c r="G56" s="19"/>
    </row>
    <row r="57" spans="2:7" ht="15.75">
      <c r="B57" s="19"/>
      <c r="C57" s="19"/>
      <c r="D57" s="19"/>
      <c r="E57" s="19"/>
      <c r="F57" s="19"/>
      <c r="G57" s="19"/>
    </row>
    <row r="58" spans="2:7" ht="15.75">
      <c r="B58" s="19"/>
      <c r="C58" s="19"/>
      <c r="D58" s="19"/>
      <c r="E58" s="19"/>
      <c r="F58" s="19"/>
      <c r="G58" s="19"/>
    </row>
    <row r="59" spans="2:7" ht="15.75">
      <c r="B59" s="19"/>
      <c r="C59" s="19"/>
      <c r="D59" s="19"/>
      <c r="E59" s="19"/>
      <c r="F59" s="19"/>
      <c r="G59" s="19"/>
    </row>
    <row r="60" spans="2:7" ht="15.75">
      <c r="B60" s="19"/>
      <c r="C60" s="19"/>
      <c r="D60" s="19"/>
      <c r="E60" s="19"/>
      <c r="F60" s="19"/>
      <c r="G60" s="19"/>
    </row>
    <row r="61" spans="2:7" ht="15.75">
      <c r="B61" s="19"/>
      <c r="C61" s="19"/>
      <c r="D61" s="19"/>
      <c r="E61" s="19"/>
      <c r="F61" s="19"/>
      <c r="G61" s="19"/>
    </row>
  </sheetData>
  <sheetProtection password="AF00" sheet="1" objects="1" scenarios="1" selectLockedCells="1" selectUnlockedCells="1"/>
  <mergeCells count="12">
    <mergeCell ref="B23:F23"/>
    <mergeCell ref="B5:G5"/>
    <mergeCell ref="B6:G6"/>
    <mergeCell ref="B14:F14"/>
    <mergeCell ref="B21:F21"/>
    <mergeCell ref="D1:G1"/>
    <mergeCell ref="B7:G7"/>
    <mergeCell ref="B9:F11"/>
    <mergeCell ref="G9:G11"/>
    <mergeCell ref="B2:G2"/>
    <mergeCell ref="A9:A11"/>
    <mergeCell ref="B3:G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00390625" defaultRowHeight="12.75"/>
  <cols>
    <col min="2" max="2" width="63.875" style="0" customWidth="1"/>
    <col min="3" max="3" width="14.00390625" style="0" customWidth="1"/>
  </cols>
  <sheetData>
    <row r="1" spans="1:14" ht="12.75">
      <c r="A1" s="408" t="s">
        <v>483</v>
      </c>
      <c r="B1" s="408"/>
      <c r="C1" s="408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5" spans="1:3" ht="12.75">
      <c r="A5" s="554"/>
      <c r="B5" s="554"/>
      <c r="C5" s="554"/>
    </row>
    <row r="7" spans="1:4" ht="15.75" customHeight="1">
      <c r="A7" s="555" t="s">
        <v>8</v>
      </c>
      <c r="B7" s="555"/>
      <c r="C7" s="555"/>
      <c r="D7" s="555"/>
    </row>
    <row r="8" spans="1:3" ht="21" customHeight="1">
      <c r="A8" s="554" t="s">
        <v>405</v>
      </c>
      <c r="B8" s="554"/>
      <c r="C8" s="554"/>
    </row>
    <row r="9" spans="1:3" ht="13.5" thickBot="1">
      <c r="A9" s="554" t="s">
        <v>386</v>
      </c>
      <c r="B9" s="554"/>
      <c r="C9" s="554"/>
    </row>
    <row r="10" spans="1:3" ht="40.5" customHeight="1" thickBot="1">
      <c r="A10" s="206" t="s">
        <v>406</v>
      </c>
      <c r="B10" s="206" t="s">
        <v>3</v>
      </c>
      <c r="C10" s="358" t="s">
        <v>515</v>
      </c>
    </row>
    <row r="12" spans="1:2" ht="15.75">
      <c r="A12" t="s">
        <v>18</v>
      </c>
      <c r="B12" s="357" t="s">
        <v>407</v>
      </c>
    </row>
    <row r="13" ht="15.75">
      <c r="B13" s="19"/>
    </row>
    <row r="14" spans="1:3" ht="15.75">
      <c r="A14" s="192" t="s">
        <v>424</v>
      </c>
      <c r="B14" s="19" t="s">
        <v>408</v>
      </c>
      <c r="C14" s="172">
        <v>34339195</v>
      </c>
    </row>
    <row r="15" ht="15.75">
      <c r="B15" s="31" t="s">
        <v>245</v>
      </c>
    </row>
    <row r="16" spans="2:3" ht="15.75">
      <c r="B16" s="19"/>
      <c r="C16" s="199">
        <f>C14</f>
        <v>34339195</v>
      </c>
    </row>
    <row r="17" ht="15.75">
      <c r="B17" s="357" t="s">
        <v>426</v>
      </c>
    </row>
    <row r="18" spans="1:2" ht="15.75">
      <c r="A18" t="s">
        <v>19</v>
      </c>
      <c r="B18" s="19"/>
    </row>
    <row r="19" ht="15.75">
      <c r="B19" s="19" t="s">
        <v>425</v>
      </c>
    </row>
    <row r="20" spans="1:3" ht="15.75">
      <c r="A20" s="192" t="s">
        <v>435</v>
      </c>
      <c r="B20" s="19" t="s">
        <v>428</v>
      </c>
      <c r="C20" s="172">
        <v>480000</v>
      </c>
    </row>
    <row r="21" spans="1:3" ht="15.75">
      <c r="A21" s="192" t="s">
        <v>427</v>
      </c>
      <c r="B21" s="19" t="s">
        <v>409</v>
      </c>
      <c r="C21" s="172">
        <v>78740</v>
      </c>
    </row>
    <row r="22" spans="2:3" ht="15.75">
      <c r="B22" s="31" t="s">
        <v>410</v>
      </c>
      <c r="C22" s="354">
        <v>150860</v>
      </c>
    </row>
    <row r="23" spans="2:3" ht="15.75">
      <c r="B23" s="31"/>
      <c r="C23" s="199">
        <v>709600</v>
      </c>
    </row>
    <row r="24" spans="2:3" ht="15.75">
      <c r="B24" s="19" t="s">
        <v>514</v>
      </c>
      <c r="C24" s="199"/>
    </row>
    <row r="25" spans="1:3" ht="15.75">
      <c r="A25" s="194" t="s">
        <v>454</v>
      </c>
      <c r="B25" s="19" t="s">
        <v>409</v>
      </c>
      <c r="C25" s="355">
        <v>787402</v>
      </c>
    </row>
    <row r="26" spans="1:3" ht="15.75">
      <c r="A26" s="194" t="s">
        <v>455</v>
      </c>
      <c r="B26" s="31" t="s">
        <v>410</v>
      </c>
      <c r="C26" s="354">
        <v>212598</v>
      </c>
    </row>
    <row r="27" spans="2:3" ht="15.75">
      <c r="B27" s="19"/>
      <c r="C27" s="199">
        <v>1000000</v>
      </c>
    </row>
    <row r="28" ht="15.75">
      <c r="B28" s="357" t="s">
        <v>411</v>
      </c>
    </row>
    <row r="29" spans="1:2" ht="15.75">
      <c r="A29" t="s">
        <v>20</v>
      </c>
      <c r="B29" s="19" t="s">
        <v>412</v>
      </c>
    </row>
    <row r="30" spans="1:3" ht="15.75">
      <c r="A30" s="192" t="s">
        <v>429</v>
      </c>
      <c r="B30" s="19" t="s">
        <v>409</v>
      </c>
      <c r="C30" s="172">
        <v>250000</v>
      </c>
    </row>
    <row r="31" spans="2:3" ht="15.75">
      <c r="B31" s="31" t="s">
        <v>410</v>
      </c>
      <c r="C31" s="354">
        <v>67500</v>
      </c>
    </row>
    <row r="32" spans="2:3" ht="12.75">
      <c r="B32" s="198"/>
      <c r="C32" s="199">
        <v>317500</v>
      </c>
    </row>
    <row r="33" spans="2:3" ht="15.75">
      <c r="B33" s="356" t="s">
        <v>513</v>
      </c>
      <c r="C33" s="199"/>
    </row>
    <row r="34" spans="1:3" ht="15.75">
      <c r="A34" s="194" t="s">
        <v>21</v>
      </c>
      <c r="B34" s="19" t="s">
        <v>512</v>
      </c>
      <c r="C34" s="199"/>
    </row>
    <row r="35" spans="1:3" ht="15.75">
      <c r="A35" s="194" t="s">
        <v>464</v>
      </c>
      <c r="B35" s="19" t="s">
        <v>511</v>
      </c>
      <c r="C35" s="355">
        <v>70865</v>
      </c>
    </row>
    <row r="36" spans="1:3" ht="15.75">
      <c r="A36" s="194" t="s">
        <v>510</v>
      </c>
      <c r="B36" s="19" t="s">
        <v>409</v>
      </c>
      <c r="C36" s="355">
        <v>6928</v>
      </c>
    </row>
    <row r="37" spans="2:3" ht="15.75">
      <c r="B37" s="31" t="s">
        <v>410</v>
      </c>
      <c r="C37" s="354">
        <v>21005</v>
      </c>
    </row>
    <row r="38" ht="12.75">
      <c r="C38" s="199">
        <f>C35+C36+C37</f>
        <v>98798</v>
      </c>
    </row>
    <row r="39" ht="12.75">
      <c r="B39" s="198" t="s">
        <v>413</v>
      </c>
    </row>
    <row r="40" ht="12.75">
      <c r="C40" s="199">
        <f>C16+C23+C27+C32+C38</f>
        <v>36465093</v>
      </c>
    </row>
  </sheetData>
  <sheetProtection password="AF00" sheet="1" objects="1" scenarios="1" selectLockedCells="1" selectUnlockedCells="1"/>
  <mergeCells count="5">
    <mergeCell ref="A1:C1"/>
    <mergeCell ref="A5:C5"/>
    <mergeCell ref="A7:D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2017-02-10T08:15:29Z</cp:lastPrinted>
  <dcterms:created xsi:type="dcterms:W3CDTF">2002-11-26T17:22:50Z</dcterms:created>
  <dcterms:modified xsi:type="dcterms:W3CDTF">2017-11-22T08:13:09Z</dcterms:modified>
  <cp:category/>
  <cp:version/>
  <cp:contentType/>
  <cp:contentStatus/>
</cp:coreProperties>
</file>