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80" windowWidth="19320" windowHeight="10230" activeTab="12"/>
  </bookViews>
  <sheets>
    <sheet name="1_mell" sheetId="1" r:id="rId1"/>
    <sheet name="2_mell" sheetId="2" r:id="rId2"/>
    <sheet name="3_mell" sheetId="3" r:id="rId3"/>
    <sheet name="4_mell" sheetId="4" r:id="rId4"/>
    <sheet name="4 1_mell" sheetId="5" r:id="rId5"/>
    <sheet name="5_mell" sheetId="6" r:id="rId6"/>
    <sheet name="6_mell" sheetId="7" r:id="rId7"/>
    <sheet name="7_mell" sheetId="8" r:id="rId8"/>
    <sheet name="8_mell" sheetId="9" r:id="rId9"/>
    <sheet name="9_mell" sheetId="10" r:id="rId10"/>
    <sheet name="10_mell" sheetId="11" r:id="rId11"/>
    <sheet name="11_mell" sheetId="12" r:id="rId12"/>
    <sheet name="11 1_mell" sheetId="13" r:id="rId13"/>
    <sheet name="12_mell" sheetId="14" r:id="rId14"/>
    <sheet name="13_mell" sheetId="15" r:id="rId15"/>
    <sheet name="14_mell" sheetId="16" r:id="rId16"/>
    <sheet name="15_mell" sheetId="17" r:id="rId17"/>
    <sheet name="16_mell" sheetId="18" r:id="rId18"/>
    <sheet name="17_mell" sheetId="19" r:id="rId19"/>
    <sheet name="18_mell" sheetId="20" r:id="rId20"/>
    <sheet name="19_mell" sheetId="21" r:id="rId21"/>
    <sheet name="20_mell" sheetId="22" r:id="rId22"/>
  </sheets>
  <externalReferences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0">'1_mell'!$A$1:$E$116</definedName>
    <definedName name="_xlnm.Print_Area" localSheetId="10">'10_mell'!$A$1:$L$45</definedName>
    <definedName name="_xlnm.Print_Area" localSheetId="12">'11 1_mell'!$A$1:$K$25</definedName>
    <definedName name="_xlnm.Print_Area" localSheetId="11">'11_mell'!$A$1:$M$23</definedName>
    <definedName name="_xlnm.Print_Area" localSheetId="13">'12_mell'!$A$1:$Z$79</definedName>
    <definedName name="_xlnm.Print_Area" localSheetId="14">'13_mell'!$A$1:$H$74</definedName>
    <definedName name="_xlnm.Print_Area" localSheetId="16">'15_mell'!$A$1:$P$32</definedName>
    <definedName name="_xlnm.Print_Area" localSheetId="17">'16_mell'!$A$1:$P$32</definedName>
    <definedName name="_xlnm.Print_Area" localSheetId="18">'17_mell'!$A$1:$P$33</definedName>
    <definedName name="_xlnm.Print_Area" localSheetId="19">'18_mell'!$A$1:$P$33</definedName>
    <definedName name="_xlnm.Print_Area" localSheetId="20">'19_mell'!$A$1:$P$33</definedName>
    <definedName name="_xlnm.Print_Area" localSheetId="1">'2_mell'!$A$1:$E$35</definedName>
    <definedName name="_xlnm.Print_Area" localSheetId="21">'20_mell'!$A$1:$P$32</definedName>
    <definedName name="_xlnm.Print_Area" localSheetId="2">'3_mell'!$A$1:$M$36</definedName>
    <definedName name="_xlnm.Print_Area" localSheetId="3">'4_mell'!$A$1:$M$36</definedName>
    <definedName name="_xlnm.Print_Area" localSheetId="5">'5_mell'!$A$1:$D$31</definedName>
    <definedName name="_xlnm.Print_Area" localSheetId="6">'6_mell'!$A$1:$J$45</definedName>
    <definedName name="_xlnm.Print_Area" localSheetId="7">'7_mell'!$A$1:$D$53</definedName>
    <definedName name="_xlnm.Print_Area" localSheetId="9">'9_mell'!$A$1:$G$27</definedName>
  </definedNames>
  <calcPr fullCalcOnLoad="1"/>
</workbook>
</file>

<file path=xl/sharedStrings.xml><?xml version="1.0" encoding="utf-8"?>
<sst xmlns="http://schemas.openxmlformats.org/spreadsheetml/2006/main" count="1854" uniqueCount="644">
  <si>
    <t>Intézmény/ jogcím</t>
  </si>
  <si>
    <t>Int.bev.</t>
  </si>
  <si>
    <t>Pénzm.</t>
  </si>
  <si>
    <t>Átvett pénzeszköz</t>
  </si>
  <si>
    <t>Finansz.</t>
  </si>
  <si>
    <t>Összesen</t>
  </si>
  <si>
    <t>Kiadás</t>
  </si>
  <si>
    <t>műk.</t>
  </si>
  <si>
    <t>PM</t>
  </si>
  <si>
    <t>felh.</t>
  </si>
  <si>
    <t>Állami támogatás</t>
  </si>
  <si>
    <t>A</t>
  </si>
  <si>
    <t>B</t>
  </si>
  <si>
    <t>C</t>
  </si>
  <si>
    <t>D</t>
  </si>
  <si>
    <t>E</t>
  </si>
  <si>
    <t>F</t>
  </si>
  <si>
    <t>G</t>
  </si>
  <si>
    <t>H</t>
  </si>
  <si>
    <t>J</t>
  </si>
  <si>
    <t>1.</t>
  </si>
  <si>
    <t>2012.er.ei.</t>
  </si>
  <si>
    <t>2.</t>
  </si>
  <si>
    <t>2012.mód.ei.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</si>
  <si>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</si>
  <si>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</si>
  <si>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</si>
  <si>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</si>
  <si>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</si>
  <si>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</si>
  <si>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</si>
  <si>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</si>
  <si>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</si>
  <si>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</si>
  <si>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</si>
  <si>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</si>
  <si>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</si>
  <si>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</si>
  <si>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</si>
  <si>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</si>
  <si>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Kiadás összesen</t>
  </si>
  <si>
    <t>felhalm.</t>
  </si>
  <si>
    <t>19.</t>
  </si>
  <si>
    <t>Battonya Város Önkormányzata</t>
  </si>
  <si>
    <t>2012. er.ei.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</si>
  <si>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</si>
  <si>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</si>
  <si>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</si>
  <si>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</si>
  <si>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</si>
  <si>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</si>
  <si>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</si>
  <si>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</si>
  <si>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</si>
  <si>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</si>
  <si>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</si>
  <si>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</si>
  <si>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Önkormányzat mindössz.</t>
  </si>
  <si>
    <t>2013.évi er.ei.</t>
  </si>
  <si>
    <t>év</t>
  </si>
  <si>
    <t>szem.jutt</t>
  </si>
  <si>
    <t>járulék</t>
  </si>
  <si>
    <t>dologi</t>
  </si>
  <si>
    <t>műk.össz.</t>
  </si>
  <si>
    <t>átadott pénzeszközök</t>
  </si>
  <si>
    <t>összesen</t>
  </si>
  <si>
    <t>segély</t>
  </si>
  <si>
    <t>I</t>
  </si>
  <si>
    <t>Városi Művelődési Központ és Könyvtár</t>
  </si>
  <si>
    <t>Önkormányzat mindösszesen</t>
  </si>
  <si>
    <t>Átadott pénzeszközök  ( eFt-ban )</t>
  </si>
  <si>
    <t>Megnevezés</t>
  </si>
  <si>
    <t>er.ei.</t>
  </si>
  <si>
    <t>Működésre átadott összesen</t>
  </si>
  <si>
    <t>Felhalmozásra átadott</t>
  </si>
  <si>
    <t>Átadott pénzeszköz összesen</t>
  </si>
  <si>
    <t>Polgármesteri Hivatal</t>
  </si>
  <si>
    <t xml:space="preserve">2013. </t>
  </si>
  <si>
    <t>Iskolai étkeztetés támogatása</t>
  </si>
  <si>
    <t>Társadalom- és szociálpolitikai juttatások (eFt-ban)</t>
  </si>
  <si>
    <t>2012. évi költségvetés</t>
  </si>
  <si>
    <t>Saját forr.</t>
  </si>
  <si>
    <t>Külső forr.</t>
  </si>
  <si>
    <t>Polghiv.</t>
  </si>
  <si>
    <t>Önk.</t>
  </si>
  <si>
    <t>Rendszeres szociális segély</t>
  </si>
  <si>
    <t>Egészségkárosodottak</t>
  </si>
  <si>
    <t>FHT</t>
  </si>
  <si>
    <t xml:space="preserve">Időskorúak járadéka </t>
  </si>
  <si>
    <t>Ápolási dij</t>
  </si>
  <si>
    <t>Lakásfenntartási támogatás</t>
  </si>
  <si>
    <t>Egyes jövedelempótló támogatás összesen</t>
  </si>
  <si>
    <t>Temetési segély</t>
  </si>
  <si>
    <t>Átmeneti segély</t>
  </si>
  <si>
    <t>Családok átmeneti gondozása(Orosháza)</t>
  </si>
  <si>
    <t>Rendkívüli gyermekvédelmi tám.</t>
  </si>
  <si>
    <t>Rászorultságtól függő ellátás</t>
  </si>
  <si>
    <t>Átmeneti segély utalvány</t>
  </si>
  <si>
    <t>Szoc.étkeztetés(zsíroskenyér)</t>
  </si>
  <si>
    <t>Rendkívüli gyermekvédelmi utalvány</t>
  </si>
  <si>
    <t>Köztemetés</t>
  </si>
  <si>
    <t>Közgyógyellátás</t>
  </si>
  <si>
    <t>Természetben nyújtott összesen</t>
  </si>
  <si>
    <t>Iskolatej program 21/2012.(I.26.) KT.h.</t>
  </si>
  <si>
    <t>Óvodáztatási támogatás</t>
  </si>
  <si>
    <t>Ingyenes nyári gyermekétkeztetés</t>
  </si>
  <si>
    <t>Téli étkeztetés</t>
  </si>
  <si>
    <t>Mindösszesen önk.által folyósított szoc.ellátás</t>
  </si>
  <si>
    <t>Szociális segélyek összesen</t>
  </si>
  <si>
    <t>Mozgáskorlátozottak támogatása</t>
  </si>
  <si>
    <t>Pénzbeni kártérítés egyéb pénzbeni juttatás összesen</t>
  </si>
  <si>
    <t>Ápolási díj tb járuléka visszaigényelhető</t>
  </si>
  <si>
    <t xml:space="preserve">Ápolási díj tb járuléka </t>
  </si>
  <si>
    <t>Járulékok összesen</t>
  </si>
  <si>
    <t>Szociális segélyezés összesen</t>
  </si>
  <si>
    <t>Felhalmozási kiadások eft-ban</t>
  </si>
  <si>
    <t>Beruházási kiadás</t>
  </si>
  <si>
    <t>Battonya Város Önkormányzata felhalmozási tartalék</t>
  </si>
  <si>
    <t>Felújítási kiadás</t>
  </si>
  <si>
    <t>Beruházás</t>
  </si>
  <si>
    <t>Felújítás</t>
  </si>
  <si>
    <t>Mindösszesen</t>
  </si>
  <si>
    <t>2013.</t>
  </si>
  <si>
    <t>Bevételek</t>
  </si>
  <si>
    <t>I.Saját bevételek</t>
  </si>
  <si>
    <t>Intézményi bevételek</t>
  </si>
  <si>
    <t xml:space="preserve"> -intézményi működési bevétel</t>
  </si>
  <si>
    <t xml:space="preserve"> -közhatalmi bevétel</t>
  </si>
  <si>
    <t xml:space="preserve"> -működési c. kamat bevétel</t>
  </si>
  <si>
    <t>Kommunális adó</t>
  </si>
  <si>
    <t xml:space="preserve"> -magánszemélyek</t>
  </si>
  <si>
    <t>Iparűzési adó</t>
  </si>
  <si>
    <t>Turisztikai adó</t>
  </si>
  <si>
    <t>Talajterhelési díj</t>
  </si>
  <si>
    <t>Pótlék, bírság</t>
  </si>
  <si>
    <t>II. Átengedett bevételek</t>
  </si>
  <si>
    <t>Gépjármű adó</t>
  </si>
  <si>
    <t>Termőföld SZJA</t>
  </si>
  <si>
    <t>III. Állami hozzájárulás</t>
  </si>
  <si>
    <t xml:space="preserve">IV. Átvett pénzeszközök, visszatérülések  </t>
  </si>
  <si>
    <t>Működésre átvett pénzeszközök</t>
  </si>
  <si>
    <t>TB</t>
  </si>
  <si>
    <t>Kiegészítő támogatás egyes jövpótló fel.</t>
  </si>
  <si>
    <t xml:space="preserve">Mezőőri szolgálatra átvett     </t>
  </si>
  <si>
    <t>Vállalkozók mezőőri hozzájárulása</t>
  </si>
  <si>
    <t>Szenvedélybetegek Közösségi Ellátása</t>
  </si>
  <si>
    <t>Felhalmozásra átvett</t>
  </si>
  <si>
    <t>V. Kölcsön visszatérülés</t>
  </si>
  <si>
    <t>Önkormányzati dolgozóknak nyújtott kölcsönök</t>
  </si>
  <si>
    <t>Költségvetési bevételek összesen</t>
  </si>
  <si>
    <t>Bevételek összesen</t>
  </si>
  <si>
    <t>Kiadások összesen</t>
  </si>
  <si>
    <t>Kiadások</t>
  </si>
  <si>
    <t>2.számú melléklet a 2012. évi CCIV. törvényhez</t>
  </si>
  <si>
    <t>mennyiségi egység</t>
  </si>
  <si>
    <t>új mutató</t>
  </si>
  <si>
    <t>új ft</t>
  </si>
  <si>
    <t>I.</t>
  </si>
  <si>
    <t>I.1.a)</t>
  </si>
  <si>
    <t>Önkormányzati hivatal működésének támogatása</t>
  </si>
  <si>
    <t>fő</t>
  </si>
  <si>
    <t>I.1.ab) 2013. május  1-jétől 8 havi időarányos támogatása- elismert hivatali létszám alapján</t>
  </si>
  <si>
    <t>I.1.b)</t>
  </si>
  <si>
    <t>Település-üzemeltetéshez kapcsolódó feladatellátás támogatása összesen</t>
  </si>
  <si>
    <t>I.1.bb) Közvilágítás fenntartásának támogatása</t>
  </si>
  <si>
    <t>I.1.bc) Köztemető fenntartással kapcsolatos feladatok támogatása</t>
  </si>
  <si>
    <t>I.1.bd) Közutak fenntartásának támogatása</t>
  </si>
  <si>
    <t>I.1.c)</t>
  </si>
  <si>
    <t>Beszámítás összege</t>
  </si>
  <si>
    <t>I.1.a)-c)(1) 2013. április 30-áig az I.1.a-c) jogcímen nyújtott éves támogatás összesen</t>
  </si>
  <si>
    <t>I.1.a)-c)(1) 2013. május 1-jétől  az I.1.a-c) jogcímen nyújtott éves támogatás összesen</t>
  </si>
  <si>
    <t xml:space="preserve">I.1.d) </t>
  </si>
  <si>
    <t>Egyéb kötelező önkormányzati feladatok támogatása</t>
  </si>
  <si>
    <t>Mindösszesen I. :</t>
  </si>
  <si>
    <t>III.</t>
  </si>
  <si>
    <t>Települési önkormányzatok szociális és gyermekjóléti feladatainak támogatása</t>
  </si>
  <si>
    <t>III.2.</t>
  </si>
  <si>
    <t>Hozzájárulás a pénzbeni szociális ellátásokhoz</t>
  </si>
  <si>
    <t>III.3.</t>
  </si>
  <si>
    <t>Egyes szociális és gyermekjóléti feladatok támogatása</t>
  </si>
  <si>
    <t>III.3.ab(1) 70000fő lakosságszámig működési engedéllyel családsegítés</t>
  </si>
  <si>
    <t>III.3.ab(1) 70000fő lakosságszámig működési engedéllyel gyermekjóléti szolgálat</t>
  </si>
  <si>
    <t>III.3.c(1) szociális étkeztetés</t>
  </si>
  <si>
    <t>III.3.d(1) házi segítségnyújtás</t>
  </si>
  <si>
    <t>III.3.f(1) időskorúak nappali intézményi ellátása</t>
  </si>
  <si>
    <t>III.3.g(1) fogyatékos személyek nappali intézményi ellátása</t>
  </si>
  <si>
    <t>Mindösszesen  III  :</t>
  </si>
  <si>
    <t>IV.</t>
  </si>
  <si>
    <t>Könyvtári, közművelődési és múzeumi feladatok támogatása</t>
  </si>
  <si>
    <t>fö</t>
  </si>
  <si>
    <t>Mindösszesen IV.</t>
  </si>
  <si>
    <r>
      <t>I.1.aa) 2013. év</t>
    </r>
    <r>
      <rPr>
        <sz val="10"/>
        <color indexed="12"/>
        <rFont val="Arial"/>
        <family val="2"/>
      </rPr>
      <t xml:space="preserve"> első négy hónapjának átmeneti támogatása</t>
    </r>
    <r>
      <rPr>
        <sz val="10"/>
        <rFont val="Arial"/>
        <family val="0"/>
      </rPr>
      <t>- elismert hivatali létszám alapján</t>
    </r>
  </si>
  <si>
    <t>II.</t>
  </si>
  <si>
    <t>Egészségügyi és Szociális  Ellátó Szervezet</t>
  </si>
  <si>
    <t>V.</t>
  </si>
  <si>
    <t>VI.</t>
  </si>
  <si>
    <t>VII.</t>
  </si>
  <si>
    <t>VIII.</t>
  </si>
  <si>
    <t>IX.</t>
  </si>
  <si>
    <t>X.</t>
  </si>
  <si>
    <t>Szociális segélyezés járulékokkal</t>
  </si>
  <si>
    <t xml:space="preserve">          Saját forrás</t>
  </si>
  <si>
    <t xml:space="preserve">          Külső forrás</t>
  </si>
  <si>
    <t>Működésre átadott pénzeszközök</t>
  </si>
  <si>
    <t>Felhalmozásra átadott pénzeszköz</t>
  </si>
  <si>
    <t>Felhalmozási kiadások</t>
  </si>
  <si>
    <t xml:space="preserve">               -beruházás</t>
  </si>
  <si>
    <t xml:space="preserve">               - felújítás</t>
  </si>
  <si>
    <t>Pénzügyi befektetés</t>
  </si>
  <si>
    <t>Költségvetési kiadások összesen</t>
  </si>
  <si>
    <t>Bevétel összesen</t>
  </si>
  <si>
    <t>Felhalmozási bevételek</t>
  </si>
  <si>
    <t>Jogcím</t>
  </si>
  <si>
    <t>Felhalmozási célú kölcsön visszatérülés</t>
  </si>
  <si>
    <t>Felhalmozási bevételek összesen</t>
  </si>
  <si>
    <t>bevételek</t>
  </si>
  <si>
    <t>kiadások</t>
  </si>
  <si>
    <t>megnevezés</t>
  </si>
  <si>
    <t>Beruházási feladatok</t>
  </si>
  <si>
    <t>Felújítási kiadások</t>
  </si>
  <si>
    <t>Kötvény kamata</t>
  </si>
  <si>
    <t>Felhalmozási kiadás összesen</t>
  </si>
  <si>
    <t>Bevétel - kiadás</t>
  </si>
  <si>
    <t>Bevételi többlet</t>
  </si>
  <si>
    <t>Több éves kihatású kötelezettségvállalások ( eFt-ban)</t>
  </si>
  <si>
    <t>Hitelvisszafizetési kötelezettség</t>
  </si>
  <si>
    <t>"BATTONYA 2027" kötvény</t>
  </si>
  <si>
    <t>2013. április 01-től félévetne 0,0333 CHF -2027. október 01-ig</t>
  </si>
  <si>
    <t>300000 ft, 1.986.361 CHF</t>
  </si>
  <si>
    <t>246 ft-os árfolyamon</t>
  </si>
  <si>
    <t>2010. és 2011. évben megvalósult beruházásokhoz kapcsoslódó önk.saját erő finanszírozása</t>
  </si>
  <si>
    <t>2013. 03-31-tól negyedévente 2.500 eft, 2020.12.31-ig</t>
  </si>
  <si>
    <t>Tőketörlesztés összesen</t>
  </si>
  <si>
    <t>Kamatok</t>
  </si>
  <si>
    <t>Kamatok összesen</t>
  </si>
  <si>
    <t>Adósságszolgálat összesen</t>
  </si>
  <si>
    <t>Felhalmozási célú kötvény törlesztése</t>
  </si>
  <si>
    <t>Felhalmozási c.hitel törlesztése</t>
  </si>
  <si>
    <t>Finanszírozási műveletek</t>
  </si>
  <si>
    <t>Felhalmozási c. hitel törlesztése</t>
  </si>
  <si>
    <t>kiadás</t>
  </si>
  <si>
    <t>889926 KÖZÖSSÉGI ELLÁTÁS</t>
  </si>
  <si>
    <t>Bevétel</t>
  </si>
  <si>
    <t>Személyi juttatás</t>
  </si>
  <si>
    <t>Rendszeres személyi juttatás</t>
  </si>
  <si>
    <t>2 fő közalkalmazott bére</t>
  </si>
  <si>
    <t xml:space="preserve">2011. dec.havi alapill. </t>
  </si>
  <si>
    <t>ft*1 hó</t>
  </si>
  <si>
    <t>Ft*11 hó</t>
  </si>
  <si>
    <t>Nem rendszeres személyi juttatás</t>
  </si>
  <si>
    <t>munkábajárás ktsg-e</t>
  </si>
  <si>
    <t>21 nap*36 km*9Ft/km*12 hó</t>
  </si>
  <si>
    <t>Közlekedési költségtérítés</t>
  </si>
  <si>
    <t xml:space="preserve">      52223         Külsős megbizási díj,és további jogviszony</t>
  </si>
  <si>
    <t>szakmai vezető megbízási díja</t>
  </si>
  <si>
    <t>80000*12 hó</t>
  </si>
  <si>
    <t>Személyi juttatás összesen</t>
  </si>
  <si>
    <t>Munkaadókat terhelő járulékok</t>
  </si>
  <si>
    <t xml:space="preserve"> Társadalombiztosítási járulék</t>
  </si>
  <si>
    <t>Járulék összesen</t>
  </si>
  <si>
    <t>Dologi kiadás</t>
  </si>
  <si>
    <t>irodaszer</t>
  </si>
  <si>
    <t>Könyv, folyóirat, egyéb inf.hord.</t>
  </si>
  <si>
    <t>szakmai lapok, DVD, CD</t>
  </si>
  <si>
    <t>Szakmai anyag</t>
  </si>
  <si>
    <t>Kisértékű TE</t>
  </si>
  <si>
    <t>munkaruha</t>
  </si>
  <si>
    <t>5000/fő</t>
  </si>
  <si>
    <t>telefon</t>
  </si>
  <si>
    <t xml:space="preserve">mobil </t>
  </si>
  <si>
    <t>3*2000Ft/hó</t>
  </si>
  <si>
    <t>vonalas</t>
  </si>
  <si>
    <t>12 hó*12000Ft/hó</t>
  </si>
  <si>
    <t>gázenergia</t>
  </si>
  <si>
    <t>villamosenergia</t>
  </si>
  <si>
    <t>vízdíj</t>
  </si>
  <si>
    <t>karbantartási szolgáltatás</t>
  </si>
  <si>
    <t>egyéb szolgáltatás</t>
  </si>
  <si>
    <t>vásárolt közszolgáltatás</t>
  </si>
  <si>
    <t>pszichiáter megbiz.díj</t>
  </si>
  <si>
    <t>50000ft/hó</t>
  </si>
  <si>
    <t>pszichológus 40000Ft/hó</t>
  </si>
  <si>
    <t>továbbképzés</t>
  </si>
  <si>
    <t>előadók díja</t>
  </si>
  <si>
    <t>belföldi kiküldetés</t>
  </si>
  <si>
    <t>területre kijárás, továbbképzés utiktsge</t>
  </si>
  <si>
    <t>ÁFA</t>
  </si>
  <si>
    <t>Dologi kiadás összesen</t>
  </si>
  <si>
    <t>889926  Szakfeladat összesen</t>
  </si>
  <si>
    <t>Szoc.hozzájárulási adó</t>
  </si>
  <si>
    <t>Bevétel-kiadás</t>
  </si>
  <si>
    <t>Önkormányzat</t>
  </si>
  <si>
    <t>Battonya Város Polgármesteri Hivatala és Battonya Város Önkormányzata kiadásai szakfeladatonként</t>
  </si>
  <si>
    <t>e Ft-ban</t>
  </si>
  <si>
    <t>SZAKFELADATOK</t>
  </si>
  <si>
    <t>Személyi juttatások</t>
  </si>
  <si>
    <t>Munkaadót terhelő járulékok</t>
  </si>
  <si>
    <t>Dologi és folyó kiadások</t>
  </si>
  <si>
    <t>Beruházások, felújítások, pénzügyi befektetések</t>
  </si>
  <si>
    <t>Pénzeszköz átadás</t>
  </si>
  <si>
    <t>Ellátottak pénzbeni juttatása</t>
  </si>
  <si>
    <t>Működésre átadott</t>
  </si>
  <si>
    <t>Intézmény finanszírozás</t>
  </si>
  <si>
    <t>Önkormányzati képviselők</t>
  </si>
  <si>
    <t>Polgármesteri Hivatal összesen</t>
  </si>
  <si>
    <t>ÖNKORMÁNYZATI KIADÁSOK</t>
  </si>
  <si>
    <t>Közterületek rendjének fenntartása</t>
  </si>
  <si>
    <t>Közfoglalkoztatás</t>
  </si>
  <si>
    <t>Támogatások</t>
  </si>
  <si>
    <t>Önkormányzat összesen</t>
  </si>
  <si>
    <t>( tájékoztató adat)</t>
  </si>
  <si>
    <t>Gyerekház támogatása</t>
  </si>
  <si>
    <t>2012-ben 8950 eft. Előtörlesztés</t>
  </si>
  <si>
    <t>Folyószámla hitel átváltás hosszú lejáratú hitelnek</t>
  </si>
  <si>
    <t>10 éves futamidőre</t>
  </si>
  <si>
    <t>Strandfürdő működési támogatás</t>
  </si>
  <si>
    <t>Sportegyesület támogatása</t>
  </si>
  <si>
    <t xml:space="preserve">  -ingatlan értékesítés</t>
  </si>
  <si>
    <t>Ingatlan értékesítés, vagyon hasznosítása</t>
  </si>
  <si>
    <t>Egészségügyi és Szociális Ellátó Szervezet</t>
  </si>
  <si>
    <t>2012. ÉVI SZÖVEGES KÖLTSÉGVETÉS ÖSSZESÍTŐ</t>
  </si>
  <si>
    <t>járulékok</t>
  </si>
  <si>
    <t xml:space="preserve">dologi </t>
  </si>
  <si>
    <t>Korai fejl..gond.</t>
  </si>
  <si>
    <t>Közösségi ellátás</t>
  </si>
  <si>
    <t>Nappali ellátás</t>
  </si>
  <si>
    <t>Demens</t>
  </si>
  <si>
    <t>Gyerekjólét</t>
  </si>
  <si>
    <t>Családsegítö</t>
  </si>
  <si>
    <t>Házi segítségnyújtás</t>
  </si>
  <si>
    <t>Fogászat</t>
  </si>
  <si>
    <t>Védőnők</t>
  </si>
  <si>
    <t>Ifjúságieü.gondozás</t>
  </si>
  <si>
    <t>Labor</t>
  </si>
  <si>
    <t>Háziorvos</t>
  </si>
  <si>
    <t>műk-re átvett pénz</t>
  </si>
  <si>
    <t>TB fin</t>
  </si>
  <si>
    <t>műk.bev</t>
  </si>
  <si>
    <t>Dologi kiadások</t>
  </si>
  <si>
    <t>kiadások összesen :</t>
  </si>
  <si>
    <t xml:space="preserve"> Víztermelés,-kezelés,-ellátás</t>
  </si>
  <si>
    <t>Egyéb nem veszélyes hulladék gyűjtése, szállítása, átrakása</t>
  </si>
  <si>
    <t xml:space="preserve"> Közutak, hidak, alagutak üzemelt. Fenntartása(buszváró)</t>
  </si>
  <si>
    <t xml:space="preserve"> Intézményi étkeztetés</t>
  </si>
  <si>
    <t xml:space="preserve"> Lakóingatlan bérbeadása, üzemeltetése</t>
  </si>
  <si>
    <t xml:space="preserve"> Nem lakóingatlan bérbeadása, üzemeltetése</t>
  </si>
  <si>
    <t>Állat-egészségügyi ellátás</t>
  </si>
  <si>
    <t>M.n.s. egyéb kiegészítő szolg. -102</t>
  </si>
  <si>
    <t>Közvilágítás</t>
  </si>
  <si>
    <t>Város,-községgazdálkodási m.n.s. szolg.(piac)</t>
  </si>
  <si>
    <t>Sportlétesítmények működtetése és fejlesztése</t>
  </si>
  <si>
    <t>Köztemető fenntartás és működtetés</t>
  </si>
  <si>
    <t>állami</t>
  </si>
  <si>
    <t>Helyi Önkormányzatok müködésének általános támogatása</t>
  </si>
  <si>
    <t>Pénzforgalmi mérleg ( e ft-ban )</t>
  </si>
  <si>
    <t>II.félév</t>
  </si>
  <si>
    <t>I.félév</t>
  </si>
  <si>
    <t>Működési kiadások összesen (I-V.)</t>
  </si>
  <si>
    <t>Járulék alap</t>
  </si>
  <si>
    <t>Köztisztviselők, jegyző, polgármesterek</t>
  </si>
  <si>
    <t>Önkéntes tűzoltók</t>
  </si>
  <si>
    <t>intézmény összesen</t>
  </si>
  <si>
    <t>Városellátó Szervezet</t>
  </si>
  <si>
    <t>Önk.igazgatási feladatai</t>
  </si>
  <si>
    <t>Mezőőri szolgálat</t>
  </si>
  <si>
    <t>Önkéntes tűzoltói tevékenység</t>
  </si>
  <si>
    <t>Közfoglalkoztatás saját forrás</t>
  </si>
  <si>
    <t>átadott peszk.műk.</t>
  </si>
  <si>
    <t>átadott peszk. felhalm..</t>
  </si>
  <si>
    <t>hitel törl.</t>
  </si>
  <si>
    <t>kiadás össz.</t>
  </si>
  <si>
    <t>kiadás összesen:</t>
  </si>
  <si>
    <t>finanszírozás forrása</t>
  </si>
  <si>
    <t>Szociális étkezés</t>
  </si>
  <si>
    <t>Szociális segélyezés</t>
  </si>
  <si>
    <t>Közművelődési tev.</t>
  </si>
  <si>
    <t>Múzeumi tevékenység</t>
  </si>
  <si>
    <t>Könyvt.áll.gyarapítása</t>
  </si>
  <si>
    <t>Könyvt.áll.védelme</t>
  </si>
  <si>
    <t>Könyvtári szolg.</t>
  </si>
  <si>
    <t>felhal.bev.</t>
  </si>
  <si>
    <t>adó</t>
  </si>
  <si>
    <t>egyéb sajátos</t>
  </si>
  <si>
    <t>többlet bevételű tevékenységekről</t>
  </si>
  <si>
    <t>átengedett</t>
  </si>
  <si>
    <t>kölcsön visszatér</t>
  </si>
  <si>
    <t>bev.összesen</t>
  </si>
  <si>
    <t>tevékenység</t>
  </si>
  <si>
    <t>bevétel</t>
  </si>
  <si>
    <t>Előirányzat-felhasználási terv</t>
  </si>
  <si>
    <t>Ezer forintban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</si>
  <si>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</si>
  <si>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</si>
  <si>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</si>
  <si>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</si>
  <si>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</si>
  <si>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</si>
  <si>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</si>
  <si>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</si>
  <si>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</si>
  <si>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</si>
  <si>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</si>
  <si>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</si>
  <si>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</si>
  <si>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</si>
  <si>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Közhatalmi bevételek</t>
  </si>
  <si>
    <t>Intézményi működési bevételek</t>
  </si>
  <si>
    <t>Támogatások, hozzájárulások bevételei</t>
  </si>
  <si>
    <t>Támogatásértékű bevételek</t>
  </si>
  <si>
    <t>Felhalmozási célú bevételek</t>
  </si>
  <si>
    <t>Átvett pénzeszközök</t>
  </si>
  <si>
    <t>Kölcsönök</t>
  </si>
  <si>
    <t>Előző évi pénzmaradvány, vállalkozási eredmény</t>
  </si>
  <si>
    <t>Bevételek összesen:</t>
  </si>
  <si>
    <t>Munkaadókat terhelő járulékok és szociális hozzájárulási adó</t>
  </si>
  <si>
    <t>Ellátottak pénzbeli juttatása</t>
  </si>
  <si>
    <t>Támogatások, elvonások</t>
  </si>
  <si>
    <t>Támogatásértékű kiadások</t>
  </si>
  <si>
    <t>Lakosságnak juttatott tám., szociális, rászorultság jellegű tám.</t>
  </si>
  <si>
    <t>Tartalékok</t>
  </si>
  <si>
    <t>Hitelek kamatai</t>
  </si>
  <si>
    <t>Felhalmozási költségvetés kiadásai</t>
  </si>
  <si>
    <t>Finanszírozási célú kiadások</t>
  </si>
  <si>
    <t>Kiadások összesen:</t>
  </si>
  <si>
    <t>Egyenleg</t>
  </si>
  <si>
    <t>Nyitó pénzkészlet</t>
  </si>
  <si>
    <t>-----</t>
  </si>
  <si>
    <t>Támogatások, hozzájárulások</t>
  </si>
  <si>
    <t>Finanszírozási célú bevételek</t>
  </si>
  <si>
    <t>Egyenleg (10-23)</t>
  </si>
  <si>
    <t>ebből folyószámla hitel</t>
  </si>
  <si>
    <t>Egyenleg (24-11)</t>
  </si>
  <si>
    <t xml:space="preserve"> Szociális hozzájárulási adó</t>
  </si>
  <si>
    <t>Battonya Város Önkormányzat likviditási terve
2013. évre</t>
  </si>
  <si>
    <t>Battonya Város Önkormányzat előirányzat felhasználási terve
2013. évre</t>
  </si>
  <si>
    <t>2013. évre</t>
  </si>
  <si>
    <t>Állami támogatás ft-ban</t>
  </si>
  <si>
    <t>Battonyai Polgármesteri Hivatal</t>
  </si>
  <si>
    <t>Felhalmozási célú kamat</t>
  </si>
  <si>
    <t>Strandfürdő támogatás</t>
  </si>
  <si>
    <t>intézmény</t>
  </si>
  <si>
    <t>mindösszesen</t>
  </si>
  <si>
    <t>2013. évi er.ei.</t>
  </si>
  <si>
    <t>2012. évi mód.ei.</t>
  </si>
  <si>
    <t>Battonya Város Önkormányzatának 2013. évi engedélyezett létszámkerete</t>
  </si>
  <si>
    <t xml:space="preserve">Közfoglalkoztatás </t>
  </si>
  <si>
    <t>Battonya Város Önkormányzat saját bevételeinek részletezése az adósságot keletkeztető ügyletből származó tárgyévi fizetési kötelezettség megállapításához</t>
  </si>
  <si>
    <t xml:space="preserve">Ezer forintban </t>
  </si>
  <si>
    <t>Bevételi jogcímek</t>
  </si>
  <si>
    <t>Helyi adók</t>
  </si>
  <si>
    <t>Osztalékok, koncessziós díjak, hozam</t>
  </si>
  <si>
    <t>Díjak, pótlékok bírságok</t>
  </si>
  <si>
    <t>Tárgyi eszközök, immateriális javak, vagyoni értékű jog értékesítése, 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</si>
  <si>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</si>
  <si>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</si>
  <si>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</si>
  <si>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</si>
  <si>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</si>
  <si>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2013. évi előirányzat</t>
  </si>
  <si>
    <t>Felhalmozási és tőkejellegű bevételek( saját bevételek)</t>
  </si>
  <si>
    <t>I.1.ba) A zöldtterület-gazdálkodással kapcsolatos feladatok ellátásának támogatása</t>
  </si>
  <si>
    <t>Dologi kiadások, és mg-i ügyintéző</t>
  </si>
  <si>
    <t>Technikai szakfeladat</t>
  </si>
  <si>
    <t xml:space="preserve">Fizikoterápia </t>
  </si>
  <si>
    <t>Egészségügyi és Szociális Ellátó Szervezet Előirányzat-felhasználási terv</t>
  </si>
  <si>
    <t>Városellátó  Szervezet Előirányzat-felhasználási terv</t>
  </si>
  <si>
    <t>Városi Művelődési Központ és Könyvtár Előirányzat-felhasználási terv</t>
  </si>
  <si>
    <t>Hitel törlesztés</t>
  </si>
  <si>
    <t>Támogatások, hozzájárulások, sajátos</t>
  </si>
  <si>
    <t xml:space="preserve">B </t>
  </si>
  <si>
    <t>32.</t>
  </si>
  <si>
    <t>33.</t>
  </si>
  <si>
    <t>34.</t>
  </si>
  <si>
    <t>K</t>
  </si>
  <si>
    <t>L</t>
  </si>
  <si>
    <t xml:space="preserve">A </t>
  </si>
  <si>
    <t>M</t>
  </si>
  <si>
    <t>jogcím/ intézmény</t>
  </si>
  <si>
    <t>Üdülőhelyi feladatok</t>
  </si>
  <si>
    <t>Mindösszesen ft-ban</t>
  </si>
  <si>
    <t xml:space="preserve">I </t>
  </si>
  <si>
    <t xml:space="preserve">J </t>
  </si>
  <si>
    <t xml:space="preserve">N </t>
  </si>
  <si>
    <t>O</t>
  </si>
  <si>
    <t>P</t>
  </si>
  <si>
    <t xml:space="preserve">J  </t>
  </si>
  <si>
    <t>mód.ei.</t>
  </si>
  <si>
    <t>Szennyvízberuházáshoz EU forrás (KEOP-7.1.0/11)</t>
  </si>
  <si>
    <t>mód. ei.</t>
  </si>
  <si>
    <t>Felhalmozási c. kötvény törl. első félévi</t>
  </si>
  <si>
    <t>Felhalmozási c. kötvény törl. második félévi 50%</t>
  </si>
  <si>
    <t>35.</t>
  </si>
  <si>
    <t>Battonyai Polgárőr Egyesület</t>
  </si>
  <si>
    <t>Battonyai Önkéntes Tűzoltó Egyesület</t>
  </si>
  <si>
    <t>Költségvetési szervtől támogatás</t>
  </si>
  <si>
    <t>XI.</t>
  </si>
  <si>
    <t>Kölcsön nyújtás</t>
  </si>
  <si>
    <t>2013.mód.ei</t>
  </si>
  <si>
    <t>2013.évi mód.ei.</t>
  </si>
  <si>
    <t>2013. évi felhalmozási bevételek és kiadások bemutatása mérlegszerűen, eft-ban</t>
  </si>
  <si>
    <t>Térfigyelő kamera saját forrás ( 54/2013.(IV.05.) Kt.h.</t>
  </si>
  <si>
    <t xml:space="preserve">6. </t>
  </si>
  <si>
    <t>Intézményi alulfinanszírozás</t>
  </si>
  <si>
    <t>2012. évi pénzmaradvány ( felzárkóztató támogatás)</t>
  </si>
  <si>
    <t>36.</t>
  </si>
  <si>
    <t>Pénzmaradvány</t>
  </si>
  <si>
    <t>Működési hitel</t>
  </si>
  <si>
    <t>Pénzmaradvány átvétel</t>
  </si>
  <si>
    <t>Orvosi ügyelet</t>
  </si>
  <si>
    <t>MAZSIHISZ támogatása</t>
  </si>
  <si>
    <t>Közmunka pályázat</t>
  </si>
  <si>
    <t>TÁMOP okt.int.vez. Támogatás visszaut.</t>
  </si>
  <si>
    <t>Visszatérülés</t>
  </si>
  <si>
    <t>Előző évről állami támogatás</t>
  </si>
  <si>
    <t>Központosított támogatás</t>
  </si>
  <si>
    <t xml:space="preserve">  - gyerekházak támogatása</t>
  </si>
  <si>
    <t xml:space="preserve">  - határátkelőhelyek támogatása</t>
  </si>
  <si>
    <t>Egyes jövpótló támogatás</t>
  </si>
  <si>
    <t>Számítógépek felújítása</t>
  </si>
  <si>
    <t>Kollégium konyha felújítása bérbeszámításból</t>
  </si>
  <si>
    <t>Egészségügyi és Szoc.Ell.Szerv. Pályázati elszámolás</t>
  </si>
  <si>
    <t>Egészségügyi és Szoc.Ell.Szervezet pályázat</t>
  </si>
  <si>
    <t xml:space="preserve">  - érdekeltségnövelő támogatás</t>
  </si>
  <si>
    <t xml:space="preserve">  - ingyenes nyári gyermekétkeztetés</t>
  </si>
  <si>
    <t>Egyház nyári gyermekétkeztetés támogatása</t>
  </si>
  <si>
    <t xml:space="preserve">  - szociális segélyezés</t>
  </si>
  <si>
    <t xml:space="preserve">  - bérkompenzáció</t>
  </si>
  <si>
    <t>TÁMOP-5.2.5/B-10/2-2010-0163 Gyermekek és fiatalok pályázat</t>
  </si>
  <si>
    <t>TANODA pályázat TÁMOP-3.3.7-09/1-2009-0002 pályázat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</si>
  <si>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</si>
  <si>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</si>
  <si>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</si>
  <si>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</si>
  <si>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</si>
  <si>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</si>
  <si>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</si>
  <si>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</si>
  <si>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</si>
  <si>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</si>
  <si>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</si>
  <si>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</si>
  <si>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</si>
  <si>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</si>
  <si>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</si>
  <si>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</si>
  <si>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</si>
  <si>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Szerkezetátalakítási tartalék</t>
  </si>
  <si>
    <t>Egyéb működési célú központi támogatás</t>
  </si>
  <si>
    <t>Működési célú támogatás</t>
  </si>
  <si>
    <t>Felhalmozási célú támogatás</t>
  </si>
  <si>
    <t xml:space="preserve">  - könyvtári érdekeltségnövelő támogatás</t>
  </si>
  <si>
    <t xml:space="preserve">  - a./ beszámítás</t>
  </si>
  <si>
    <t xml:space="preserve">  - d./ szoc. és gyem.jóléti alapell.kieg</t>
  </si>
  <si>
    <t xml:space="preserve">  - létszámcsökkentési támogatás</t>
  </si>
  <si>
    <t>Érdekeltségnövelő támogatás</t>
  </si>
  <si>
    <t xml:space="preserve">Természetbeni juttatás ( Erzsébet utalvány) </t>
  </si>
  <si>
    <t>Erzsébet utalvány</t>
  </si>
  <si>
    <t>Mentortanári pályázat elszámolása</t>
  </si>
  <si>
    <t>MÁV közmunka önerő</t>
  </si>
  <si>
    <t>56.</t>
  </si>
  <si>
    <t>57.</t>
  </si>
  <si>
    <t>58.</t>
  </si>
  <si>
    <t>59.</t>
  </si>
  <si>
    <t>60.</t>
  </si>
  <si>
    <t>61.</t>
  </si>
  <si>
    <t>62.</t>
  </si>
  <si>
    <t>Battonya, Fő u. 52. szolgálati lakás szennyvízbekötés 129/2013.(IX.12.) Kt.határozat</t>
  </si>
  <si>
    <t>Battonya, Fő u. 58. szolgálati lakás szennyvízbekötés 130/2013.(IX.12.) Kt.határozat</t>
  </si>
  <si>
    <t>Pannon Holt-tenger Kft.</t>
  </si>
  <si>
    <t>Városi Műv.Központ és Könyvtár pályázat</t>
  </si>
  <si>
    <t>Pályázat</t>
  </si>
  <si>
    <t>Battonya, Fő u. 62. szolgálati lakás szennyvízbekötés .../2013.(IX.16.) Kt.határozat</t>
  </si>
  <si>
    <t xml:space="preserve">  - múzeális intézmények</t>
  </si>
  <si>
    <t>Szennyvízberuházás pályázati előleg</t>
  </si>
  <si>
    <t>63.</t>
  </si>
  <si>
    <t>64.</t>
  </si>
  <si>
    <t>65.</t>
  </si>
  <si>
    <t>66.</t>
  </si>
  <si>
    <t>Önkormányzat KEOP-7.1.0./11 pályázat szennyvízberuházás saját forrás és pályázati előleg</t>
  </si>
  <si>
    <t>Városi Műv.Központ és Könyvtár diákmunka</t>
  </si>
  <si>
    <t>Városi Műv.Központ és Könyvtár idegen nyelvi oktatás pályázat</t>
  </si>
  <si>
    <t>Városi Művelődési Központ és Könyvtár pályázati támogatás megelőlegezése</t>
  </si>
  <si>
    <t>Városellátó Szervezet diákmunka</t>
  </si>
  <si>
    <t>Városellátó Szervezet étkeztetésre adomány</t>
  </si>
  <si>
    <t>Számítógép</t>
  </si>
  <si>
    <t>Polgármesteri Hivatalnak pályázati megelőlegezés</t>
  </si>
  <si>
    <t>TÁMOP-5.2.5/B-10/2-2010-0163 Gyermekek és fiatalok pályázathoz támogatás megelőlegezése</t>
  </si>
  <si>
    <t>Polgármesteri Hivatal diákmunka</t>
  </si>
  <si>
    <t>Számítástechnikai eszközök</t>
  </si>
  <si>
    <t>Számítástechnikai eszközök felújítása</t>
  </si>
  <si>
    <t>Rendszeres pénzbeni szociális segély</t>
  </si>
  <si>
    <t>Egyéb bírság</t>
  </si>
  <si>
    <t xml:space="preserve"> -váll.kommunális adó</t>
  </si>
  <si>
    <t>Egyés sajátos bevétel</t>
  </si>
  <si>
    <t>Vízmű felújítása</t>
  </si>
  <si>
    <t>Működési célú</t>
  </si>
  <si>
    <t>Felhalmozási célú</t>
  </si>
  <si>
    <t>DBKTT tagdíjak megállapodás szerint</t>
  </si>
  <si>
    <t xml:space="preserve">  - Erzsébet utalvány</t>
  </si>
  <si>
    <t>TANODA pályázat TÁMOP-3.3.7-09/1-2009-0002 pályázat 2013. évi előleg rendezése</t>
  </si>
  <si>
    <t>Magánszemély támogatása</t>
  </si>
  <si>
    <t>ÖNHIKI pályázat</t>
  </si>
  <si>
    <t xml:space="preserve">  - EU önerő szennyvíz beruházás</t>
  </si>
  <si>
    <t xml:space="preserve">  - átmeneti ivóvíz ellátás támogatása</t>
  </si>
  <si>
    <t xml:space="preserve">  - folyékony hulladék ártalmatlanítása</t>
  </si>
  <si>
    <t xml:space="preserve">  - 2012. december havi bérkompenzáció</t>
  </si>
  <si>
    <t xml:space="preserve">  - üdülőhelyi feladatok</t>
  </si>
  <si>
    <t xml:space="preserve"> -egyéb sajátos ( vagyonhasznosítás,vízmű bérleti díj áfá nélkül)</t>
  </si>
  <si>
    <t>37.</t>
  </si>
  <si>
    <t>38.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</si>
  <si>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</si>
  <si>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</si>
  <si>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</si>
  <si>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</si>
  <si>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</si>
  <si>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</si>
  <si>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</si>
  <si>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</si>
  <si>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</si>
  <si>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</si>
  <si>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</si>
  <si>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</si>
  <si>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</si>
  <si>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</si>
  <si>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</si>
  <si>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</si>
  <si>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</si>
  <si>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</si>
  <si>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</si>
  <si>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</si>
  <si>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</si>
  <si>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</si>
  <si>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 xml:space="preserve">  - óvodáztatási támogatás</t>
  </si>
  <si>
    <t>30</t>
  </si>
  <si>
    <t>2013. évi mód.ei.</t>
  </si>
  <si>
    <t>Kölcsön nyújtása</t>
  </si>
  <si>
    <t>pályázat</t>
  </si>
  <si>
    <t>felh.átvett p.</t>
  </si>
  <si>
    <t>kölcsönny</t>
  </si>
  <si>
    <t>Város és községgazd.</t>
  </si>
  <si>
    <t>KEOP pályázat</t>
  </si>
  <si>
    <t>Technikai finansz,</t>
  </si>
  <si>
    <t>Segélyek</t>
  </si>
  <si>
    <t>Pályázatok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</si>
</sst>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\-#,##0"/>
    <numFmt numFmtId="165" formatCode="0.0%"/>
    <numFmt numFmtId="166" formatCode="0.00_ ;[Red]\-0.00\ "/>
    <numFmt numFmtId="167" formatCode="yyyy\-mm\-dd"/>
    <numFmt numFmtId="168" formatCode="#,###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-40E]yyyy\.\ mmmm\ d\."/>
    <numFmt numFmtId="173" formatCode="m\.\ d\.;@"/>
    <numFmt numFmtId="174" formatCode="0.0"/>
    <numFmt numFmtId="175" formatCode="#,##0.000"/>
    <numFmt numFmtId="176" formatCode="#,##0.0000"/>
  </numFmts>
  <fonts count="85">
    <font>
      <sz val="10"/>
      <name val="Arial"/>
      <family val="0"/>
    </font>
    <font>
      <b/>
      <sz val="12"/>
      <name val="Arial"/>
      <family val="0"/>
    </font>
    <font>
      <b/>
      <sz val="12"/>
      <name val="Arial CE"/>
      <family val="2"/>
    </font>
    <font>
      <b/>
      <sz val="11"/>
      <name val="Arial"/>
      <family val="0"/>
    </font>
    <font>
      <b/>
      <sz val="11"/>
      <name val="Arial CE"/>
      <family val="2"/>
    </font>
    <font>
      <sz val="8"/>
      <name val="Arial"/>
      <family val="0"/>
    </font>
    <font>
      <b/>
      <u val="single"/>
      <sz val="12"/>
      <name val="Arial CE"/>
      <family val="2"/>
    </font>
    <font>
      <sz val="12"/>
      <name val="Arial CE"/>
      <family val="2"/>
    </font>
    <font>
      <sz val="12"/>
      <name val="Arial"/>
      <family val="0"/>
    </font>
    <font>
      <i/>
      <sz val="11"/>
      <name val="Arial CE"/>
      <family val="0"/>
    </font>
    <font>
      <sz val="11"/>
      <name val="Arial CE"/>
      <family val="0"/>
    </font>
    <font>
      <b/>
      <sz val="10"/>
      <name val="Arial"/>
      <family val="2"/>
    </font>
    <font>
      <sz val="11"/>
      <name val="Arial"/>
      <family val="0"/>
    </font>
    <font>
      <b/>
      <i/>
      <sz val="11"/>
      <name val="Arial"/>
      <family val="2"/>
    </font>
    <font>
      <b/>
      <u val="single"/>
      <sz val="10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b/>
      <u val="single"/>
      <sz val="11"/>
      <name val="Arial CE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b/>
      <sz val="11"/>
      <name val="Times New Roman CE"/>
      <family val="1"/>
    </font>
    <font>
      <sz val="11"/>
      <name val="Times New Roman CE"/>
      <family val="1"/>
    </font>
    <font>
      <b/>
      <u val="single"/>
      <sz val="11"/>
      <name val="Times New Roman CE"/>
      <family val="1"/>
    </font>
    <font>
      <b/>
      <sz val="9"/>
      <color indexed="8"/>
      <name val="Arial CE"/>
      <family val="0"/>
    </font>
    <font>
      <u val="single"/>
      <sz val="9"/>
      <color indexed="8"/>
      <name val="Arial CE"/>
      <family val="2"/>
    </font>
    <font>
      <sz val="9"/>
      <color indexed="8"/>
      <name val="Arial CE"/>
      <family val="2"/>
    </font>
    <font>
      <sz val="9"/>
      <name val="Arial CE"/>
      <family val="2"/>
    </font>
    <font>
      <b/>
      <sz val="12"/>
      <color indexed="8"/>
      <name val="Arial CE"/>
      <family val="2"/>
    </font>
    <font>
      <b/>
      <u val="single"/>
      <sz val="11"/>
      <color indexed="8"/>
      <name val="Arial CE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sz val="11"/>
      <color indexed="10"/>
      <name val="Arial CE"/>
      <family val="2"/>
    </font>
    <font>
      <u val="single"/>
      <sz val="11"/>
      <name val="Arial CE"/>
      <family val="0"/>
    </font>
    <font>
      <b/>
      <i/>
      <sz val="11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name val="Arial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b/>
      <i/>
      <sz val="10"/>
      <name val="Times New Roman CE"/>
      <family val="1"/>
    </font>
    <font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1"/>
    </font>
    <font>
      <b/>
      <u val="single"/>
      <sz val="12"/>
      <name val="Arial"/>
      <family val="2"/>
    </font>
    <font>
      <b/>
      <sz val="14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b/>
      <sz val="1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2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/>
      <top style="medium">
        <color indexed="8"/>
      </top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medium">
        <color indexed="8"/>
      </left>
      <right/>
      <top style="medium"/>
      <bottom/>
    </border>
    <border>
      <left/>
      <right/>
      <top style="medium"/>
      <bottom/>
    </border>
    <border>
      <left/>
      <right style="medium">
        <color indexed="8"/>
      </right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/>
    </border>
    <border>
      <left style="medium">
        <color indexed="8"/>
      </left>
      <right/>
      <top>
        <color indexed="63"/>
      </top>
      <bottom/>
    </border>
    <border>
      <left/>
      <right style="medium">
        <color indexed="8"/>
      </right>
      <top>
        <color indexed="63"/>
      </top>
      <bottom/>
    </border>
    <border>
      <left style="medium">
        <color indexed="8"/>
      </left>
      <right/>
      <top/>
      <bottom style="medium"/>
    </border>
    <border>
      <left/>
      <right style="medium">
        <color indexed="8"/>
      </right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>
        <color indexed="63"/>
      </top>
      <bottom/>
    </border>
    <border>
      <left style="medium"/>
      <right>
        <color indexed="63"/>
      </right>
      <top>
        <color indexed="63"/>
      </top>
      <bottom/>
    </border>
    <border>
      <left style="medium"/>
      <right>
        <color indexed="63"/>
      </right>
      <top style="medium">
        <color indexed="8"/>
      </top>
      <bottom/>
    </border>
    <border>
      <left>
        <color indexed="63"/>
      </left>
      <right style="medium"/>
      <top style="medium">
        <color indexed="8"/>
      </top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5" borderId="0" applyNumberFormat="0" applyBorder="0" applyAlignment="0" applyProtection="0"/>
    <xf numFmtId="0" fontId="83" fillId="8" borderId="0" applyNumberFormat="0" applyBorder="0" applyAlignment="0" applyProtection="0"/>
    <xf numFmtId="0" fontId="83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74" fillId="7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0" fillId="17" borderId="7" applyNumberFormat="0" applyFont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21" borderId="0" applyNumberFormat="0" applyBorder="0" applyAlignment="0" applyProtection="0"/>
    <xf numFmtId="0" fontId="71" fillId="4" borderId="0" applyNumberFormat="0" applyBorder="0" applyAlignment="0" applyProtection="0"/>
    <xf numFmtId="0" fontId="75" fillId="22" borderId="8" applyNumberFormat="0" applyAlignment="0" applyProtection="0"/>
    <xf numFmtId="0" fontId="8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3" fillId="0" borderId="0">
      <alignment/>
      <protection/>
    </xf>
    <xf numFmtId="0" fontId="55" fillId="0" borderId="0">
      <alignment/>
      <protection/>
    </xf>
    <xf numFmtId="0" fontId="53" fillId="0" borderId="0">
      <alignment/>
      <protection/>
    </xf>
    <xf numFmtId="0" fontId="8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" borderId="0" applyNumberFormat="0" applyBorder="0" applyAlignment="0" applyProtection="0"/>
    <xf numFmtId="0" fontId="73" fillId="23" borderId="0" applyNumberFormat="0" applyBorder="0" applyAlignment="0" applyProtection="0"/>
    <xf numFmtId="0" fontId="76" fillId="22" borderId="1" applyNumberFormat="0" applyAlignment="0" applyProtection="0"/>
    <xf numFmtId="9" fontId="0" fillId="0" borderId="0" applyFont="0" applyFill="0" applyBorder="0" applyAlignment="0" applyProtection="0"/>
  </cellStyleXfs>
  <cellXfs count="7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1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3" fontId="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12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3" fontId="3" fillId="0" borderId="15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1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12" fillId="0" borderId="20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3" fontId="12" fillId="0" borderId="22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23" xfId="0" applyNumberFormat="1" applyFont="1" applyFill="1" applyBorder="1" applyAlignment="1">
      <alignment/>
    </xf>
    <xf numFmtId="3" fontId="12" fillId="0" borderId="20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3" fontId="12" fillId="0" borderId="24" xfId="0" applyNumberFormat="1" applyFont="1" applyFill="1" applyBorder="1" applyAlignment="1">
      <alignment/>
    </xf>
    <xf numFmtId="3" fontId="12" fillId="0" borderId="14" xfId="0" applyNumberFormat="1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21" xfId="0" applyFont="1" applyFill="1" applyBorder="1" applyAlignment="1">
      <alignment horizontal="left" wrapText="1"/>
    </xf>
    <xf numFmtId="3" fontId="13" fillId="0" borderId="22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23" xfId="0" applyNumberFormat="1" applyFont="1" applyFill="1" applyBorder="1" applyAlignment="1">
      <alignment/>
    </xf>
    <xf numFmtId="3" fontId="13" fillId="0" borderId="20" xfId="0" applyNumberFormat="1" applyFont="1" applyFill="1" applyBorder="1" applyAlignment="1">
      <alignment/>
    </xf>
    <xf numFmtId="0" fontId="13" fillId="0" borderId="21" xfId="0" applyFont="1" applyFill="1" applyBorder="1" applyAlignment="1">
      <alignment horizontal="right"/>
    </xf>
    <xf numFmtId="0" fontId="3" fillId="0" borderId="21" xfId="0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0" fontId="12" fillId="0" borderId="21" xfId="0" applyFont="1" applyFill="1" applyBorder="1" applyAlignment="1">
      <alignment wrapText="1"/>
    </xf>
    <xf numFmtId="3" fontId="10" fillId="0" borderId="24" xfId="0" applyNumberFormat="1" applyFont="1" applyFill="1" applyBorder="1" applyAlignment="1">
      <alignment/>
    </xf>
    <xf numFmtId="0" fontId="13" fillId="0" borderId="21" xfId="0" applyFont="1" applyFill="1" applyBorder="1" applyAlignment="1">
      <alignment/>
    </xf>
    <xf numFmtId="3" fontId="13" fillId="0" borderId="16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/>
    </xf>
    <xf numFmtId="3" fontId="13" fillId="0" borderId="26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12" fillId="0" borderId="21" xfId="0" applyNumberFormat="1" applyFont="1" applyFill="1" applyBorder="1" applyAlignment="1">
      <alignment/>
    </xf>
    <xf numFmtId="3" fontId="12" fillId="0" borderId="27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3" fontId="12" fillId="0" borderId="13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3" fontId="13" fillId="0" borderId="27" xfId="0" applyNumberFormat="1" applyFont="1" applyFill="1" applyBorder="1" applyAlignment="1">
      <alignment/>
    </xf>
    <xf numFmtId="3" fontId="13" fillId="0" borderId="21" xfId="0" applyNumberFormat="1" applyFont="1" applyFill="1" applyBorder="1" applyAlignment="1">
      <alignment/>
    </xf>
    <xf numFmtId="0" fontId="13" fillId="0" borderId="2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0" fontId="3" fillId="0" borderId="20" xfId="0" applyFont="1" applyFill="1" applyBorder="1" applyAlignment="1">
      <alignment wrapText="1"/>
    </xf>
    <xf numFmtId="3" fontId="3" fillId="0" borderId="21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12" fillId="0" borderId="20" xfId="0" applyFont="1" applyFill="1" applyBorder="1" applyAlignment="1">
      <alignment wrapText="1"/>
    </xf>
    <xf numFmtId="0" fontId="12" fillId="0" borderId="20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15" fillId="0" borderId="0" xfId="0" applyFont="1" applyFill="1" applyAlignment="1">
      <alignment horizontal="left"/>
    </xf>
    <xf numFmtId="0" fontId="11" fillId="0" borderId="0" xfId="0" applyFont="1" applyAlignment="1">
      <alignment horizontal="right" wrapText="1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6" fillId="0" borderId="0" xfId="0" applyFont="1" applyFill="1" applyAlignment="1">
      <alignment horizontal="left" vertical="top"/>
    </xf>
    <xf numFmtId="0" fontId="14" fillId="0" borderId="0" xfId="0" applyFont="1" applyFill="1" applyAlignment="1">
      <alignment wrapText="1"/>
    </xf>
    <xf numFmtId="3" fontId="16" fillId="0" borderId="0" xfId="0" applyNumberFormat="1" applyFont="1" applyFill="1" applyAlignment="1">
      <alignment/>
    </xf>
    <xf numFmtId="0" fontId="14" fillId="0" borderId="0" xfId="0" applyFont="1" applyFill="1" applyAlignment="1">
      <alignment horizontal="right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4" fillId="0" borderId="0" xfId="0" applyFont="1" applyAlignment="1">
      <alignment horizontal="right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3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wrapText="1"/>
    </xf>
    <xf numFmtId="0" fontId="21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3" fontId="1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7" fillId="0" borderId="0" xfId="0" applyFont="1" applyFill="1" applyAlignment="1">
      <alignment wrapText="1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3" fontId="1" fillId="0" borderId="31" xfId="0" applyNumberFormat="1" applyFont="1" applyBorder="1" applyAlignment="1">
      <alignment/>
    </xf>
    <xf numFmtId="0" fontId="23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24" fillId="0" borderId="0" xfId="0" applyFont="1" applyBorder="1" applyAlignment="1">
      <alignment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25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32" xfId="0" applyFont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6" fillId="0" borderId="0" xfId="0" applyFont="1" applyBorder="1" applyAlignment="1">
      <alignment/>
    </xf>
    <xf numFmtId="0" fontId="26" fillId="0" borderId="32" xfId="0" applyFont="1" applyBorder="1" applyAlignment="1">
      <alignment/>
    </xf>
    <xf numFmtId="3" fontId="26" fillId="0" borderId="0" xfId="0" applyNumberFormat="1" applyFont="1" applyBorder="1" applyAlignment="1">
      <alignment/>
    </xf>
    <xf numFmtId="0" fontId="26" fillId="0" borderId="32" xfId="0" applyFont="1" applyBorder="1" applyAlignment="1">
      <alignment/>
    </xf>
    <xf numFmtId="0" fontId="27" fillId="0" borderId="32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25" fillId="0" borderId="32" xfId="0" applyFont="1" applyBorder="1" applyAlignment="1">
      <alignment/>
    </xf>
    <xf numFmtId="3" fontId="25" fillId="0" borderId="0" xfId="0" applyNumberFormat="1" applyFont="1" applyBorder="1" applyAlignment="1">
      <alignment horizontal="right"/>
    </xf>
    <xf numFmtId="0" fontId="25" fillId="0" borderId="0" xfId="0" applyFont="1" applyAlignment="1">
      <alignment/>
    </xf>
    <xf numFmtId="1" fontId="25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12" fillId="0" borderId="0" xfId="0" applyFont="1" applyAlignment="1">
      <alignment/>
    </xf>
    <xf numFmtId="0" fontId="29" fillId="0" borderId="0" xfId="0" applyFont="1" applyAlignment="1">
      <alignment/>
    </xf>
    <xf numFmtId="3" fontId="12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5" fillId="0" borderId="33" xfId="0" applyFont="1" applyFill="1" applyBorder="1" applyAlignment="1">
      <alignment/>
    </xf>
    <xf numFmtId="0" fontId="35" fillId="0" borderId="34" xfId="0" applyFont="1" applyFill="1" applyBorder="1" applyAlignment="1">
      <alignment/>
    </xf>
    <xf numFmtId="3" fontId="35" fillId="0" borderId="34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1" fontId="38" fillId="0" borderId="0" xfId="0" applyNumberFormat="1" applyFont="1" applyFill="1" applyAlignment="1">
      <alignment/>
    </xf>
    <xf numFmtId="1" fontId="37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3" fontId="37" fillId="0" borderId="0" xfId="0" applyNumberFormat="1" applyFont="1" applyFill="1" applyAlignment="1">
      <alignment/>
    </xf>
    <xf numFmtId="3" fontId="38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37" fillId="0" borderId="0" xfId="0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3" fontId="38" fillId="0" borderId="0" xfId="0" applyNumberFormat="1" applyFont="1" applyFill="1" applyAlignment="1">
      <alignment/>
    </xf>
    <xf numFmtId="1" fontId="37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8" fillId="0" borderId="33" xfId="0" applyFont="1" applyFill="1" applyBorder="1" applyAlignment="1">
      <alignment/>
    </xf>
    <xf numFmtId="0" fontId="37" fillId="0" borderId="34" xfId="0" applyFont="1" applyFill="1" applyBorder="1" applyAlignment="1">
      <alignment/>
    </xf>
    <xf numFmtId="3" fontId="38" fillId="0" borderId="34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1" fontId="4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164" fontId="18" fillId="0" borderId="0" xfId="0" applyNumberFormat="1" applyFont="1" applyFill="1" applyAlignment="1">
      <alignment/>
    </xf>
    <xf numFmtId="164" fontId="40" fillId="0" borderId="0" xfId="0" applyNumberFormat="1" applyFont="1" applyFill="1" applyAlignment="1">
      <alignment/>
    </xf>
    <xf numFmtId="164" fontId="10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164" fontId="41" fillId="0" borderId="0" xfId="0" applyNumberFormat="1" applyFont="1" applyFill="1" applyAlignment="1">
      <alignment/>
    </xf>
    <xf numFmtId="164" fontId="10" fillId="0" borderId="0" xfId="0" applyNumberFormat="1" applyFont="1" applyFill="1" applyAlignment="1">
      <alignment/>
    </xf>
    <xf numFmtId="9" fontId="10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3" fontId="33" fillId="0" borderId="0" xfId="0" applyNumberFormat="1" applyFont="1" applyFill="1" applyBorder="1" applyAlignment="1">
      <alignment/>
    </xf>
    <xf numFmtId="0" fontId="38" fillId="0" borderId="34" xfId="0" applyFont="1" applyFill="1" applyBorder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31" fillId="0" borderId="34" xfId="0" applyFont="1" applyFill="1" applyBorder="1" applyAlignment="1">
      <alignment/>
    </xf>
    <xf numFmtId="0" fontId="31" fillId="0" borderId="35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2" fillId="0" borderId="36" xfId="0" applyFont="1" applyBorder="1" applyAlignment="1">
      <alignment vertical="top" wrapText="1"/>
    </xf>
    <xf numFmtId="0" fontId="43" fillId="0" borderId="36" xfId="0" applyFont="1" applyBorder="1" applyAlignment="1">
      <alignment horizontal="right" vertical="top" wrapText="1"/>
    </xf>
    <xf numFmtId="0" fontId="43" fillId="0" borderId="37" xfId="0" applyFont="1" applyBorder="1" applyAlignment="1">
      <alignment horizontal="right" vertical="top" wrapText="1"/>
    </xf>
    <xf numFmtId="0" fontId="43" fillId="0" borderId="36" xfId="0" applyFont="1" applyBorder="1" applyAlignment="1">
      <alignment horizontal="right" vertical="center" wrapText="1"/>
    </xf>
    <xf numFmtId="0" fontId="43" fillId="0" borderId="38" xfId="0" applyFont="1" applyBorder="1" applyAlignment="1">
      <alignment horizontal="right" vertical="top" wrapText="1"/>
    </xf>
    <xf numFmtId="0" fontId="43" fillId="0" borderId="39" xfId="0" applyFont="1" applyBorder="1" applyAlignment="1">
      <alignment horizontal="right" vertical="top" wrapText="1"/>
    </xf>
    <xf numFmtId="3" fontId="42" fillId="0" borderId="40" xfId="0" applyNumberFormat="1" applyFont="1" applyBorder="1" applyAlignment="1">
      <alignment horizontal="right" vertical="top" wrapText="1"/>
    </xf>
    <xf numFmtId="3" fontId="42" fillId="0" borderId="36" xfId="0" applyNumberFormat="1" applyFont="1" applyBorder="1" applyAlignment="1">
      <alignment horizontal="right" vertical="top" wrapText="1"/>
    </xf>
    <xf numFmtId="0" fontId="43" fillId="0" borderId="41" xfId="0" applyFont="1" applyBorder="1" applyAlignment="1">
      <alignment vertical="top" wrapText="1"/>
    </xf>
    <xf numFmtId="3" fontId="43" fillId="0" borderId="42" xfId="0" applyNumberFormat="1" applyFont="1" applyBorder="1" applyAlignment="1">
      <alignment horizontal="right" vertical="top" wrapText="1"/>
    </xf>
    <xf numFmtId="3" fontId="43" fillId="0" borderId="41" xfId="0" applyNumberFormat="1" applyFont="1" applyBorder="1" applyAlignment="1">
      <alignment horizontal="right" vertical="top" wrapText="1"/>
    </xf>
    <xf numFmtId="3" fontId="43" fillId="0" borderId="43" xfId="0" applyNumberFormat="1" applyFont="1" applyBorder="1" applyAlignment="1">
      <alignment horizontal="right" vertical="top" wrapText="1"/>
    </xf>
    <xf numFmtId="3" fontId="43" fillId="0" borderId="44" xfId="0" applyNumberFormat="1" applyFont="1" applyBorder="1" applyAlignment="1">
      <alignment horizontal="right" vertical="top" wrapText="1"/>
    </xf>
    <xf numFmtId="3" fontId="43" fillId="0" borderId="45" xfId="0" applyNumberFormat="1" applyFont="1" applyBorder="1" applyAlignment="1">
      <alignment horizontal="right" vertical="top" wrapText="1"/>
    </xf>
    <xf numFmtId="3" fontId="42" fillId="0" borderId="41" xfId="0" applyNumberFormat="1" applyFont="1" applyBorder="1" applyAlignment="1">
      <alignment horizontal="right" vertical="top" wrapText="1"/>
    </xf>
    <xf numFmtId="0" fontId="43" fillId="0" borderId="46" xfId="0" applyFont="1" applyBorder="1" applyAlignment="1">
      <alignment vertical="top" wrapText="1"/>
    </xf>
    <xf numFmtId="3" fontId="43" fillId="0" borderId="46" xfId="0" applyNumberFormat="1" applyFont="1" applyBorder="1" applyAlignment="1">
      <alignment horizontal="right" vertical="top" wrapText="1"/>
    </xf>
    <xf numFmtId="3" fontId="43" fillId="0" borderId="47" xfId="0" applyNumberFormat="1" applyFont="1" applyBorder="1" applyAlignment="1">
      <alignment horizontal="right" vertical="top" wrapText="1"/>
    </xf>
    <xf numFmtId="4" fontId="43" fillId="0" borderId="46" xfId="0" applyNumberFormat="1" applyFont="1" applyBorder="1" applyAlignment="1">
      <alignment horizontal="right" vertical="top" wrapText="1"/>
    </xf>
    <xf numFmtId="4" fontId="43" fillId="0" borderId="48" xfId="0" applyNumberFormat="1" applyFont="1" applyBorder="1" applyAlignment="1">
      <alignment horizontal="right" vertical="top" wrapText="1"/>
    </xf>
    <xf numFmtId="4" fontId="43" fillId="0" borderId="49" xfId="0" applyNumberFormat="1" applyFont="1" applyBorder="1" applyAlignment="1">
      <alignment horizontal="right" vertical="top" wrapText="1"/>
    </xf>
    <xf numFmtId="3" fontId="43" fillId="0" borderId="50" xfId="0" applyNumberFormat="1" applyFont="1" applyBorder="1" applyAlignment="1">
      <alignment horizontal="right" vertical="top" wrapText="1"/>
    </xf>
    <xf numFmtId="0" fontId="42" fillId="0" borderId="28" xfId="0" applyFont="1" applyBorder="1" applyAlignment="1">
      <alignment vertical="top" wrapText="1"/>
    </xf>
    <xf numFmtId="3" fontId="42" fillId="0" borderId="28" xfId="0" applyNumberFormat="1" applyFont="1" applyBorder="1" applyAlignment="1">
      <alignment horizontal="right" vertical="top" wrapText="1"/>
    </xf>
    <xf numFmtId="3" fontId="42" fillId="0" borderId="37" xfId="0" applyNumberFormat="1" applyFont="1" applyBorder="1" applyAlignment="1">
      <alignment horizontal="right" vertical="top" wrapText="1"/>
    </xf>
    <xf numFmtId="4" fontId="42" fillId="0" borderId="36" xfId="0" applyNumberFormat="1" applyFont="1" applyBorder="1" applyAlignment="1">
      <alignment horizontal="right" vertical="top" wrapText="1"/>
    </xf>
    <xf numFmtId="4" fontId="42" fillId="0" borderId="38" xfId="0" applyNumberFormat="1" applyFont="1" applyBorder="1" applyAlignment="1">
      <alignment horizontal="right" vertical="top" wrapText="1"/>
    </xf>
    <xf numFmtId="4" fontId="42" fillId="0" borderId="39" xfId="0" applyNumberFormat="1" applyFont="1" applyBorder="1" applyAlignment="1">
      <alignment horizontal="right" vertical="top" wrapText="1"/>
    </xf>
    <xf numFmtId="4" fontId="43" fillId="0" borderId="41" xfId="0" applyNumberFormat="1" applyFont="1" applyBorder="1" applyAlignment="1">
      <alignment horizontal="right" vertical="top" wrapText="1"/>
    </xf>
    <xf numFmtId="4" fontId="43" fillId="0" borderId="43" xfId="0" applyNumberFormat="1" applyFont="1" applyBorder="1" applyAlignment="1">
      <alignment horizontal="right" vertical="top" wrapText="1"/>
    </xf>
    <xf numFmtId="4" fontId="43" fillId="0" borderId="44" xfId="0" applyNumberFormat="1" applyFont="1" applyBorder="1" applyAlignment="1">
      <alignment horizontal="right" vertical="top"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3" fontId="0" fillId="0" borderId="41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3" fontId="43" fillId="0" borderId="48" xfId="0" applyNumberFormat="1" applyFont="1" applyBorder="1" applyAlignment="1">
      <alignment horizontal="right" vertical="top" wrapText="1"/>
    </xf>
    <xf numFmtId="3" fontId="43" fillId="0" borderId="49" xfId="0" applyNumberFormat="1" applyFont="1" applyBorder="1" applyAlignment="1">
      <alignment horizontal="right" vertical="top" wrapText="1"/>
    </xf>
    <xf numFmtId="0" fontId="43" fillId="0" borderId="0" xfId="0" applyFont="1" applyBorder="1" applyAlignment="1">
      <alignment vertical="top" wrapText="1"/>
    </xf>
    <xf numFmtId="3" fontId="43" fillId="0" borderId="0" xfId="0" applyNumberFormat="1" applyFont="1" applyBorder="1" applyAlignment="1">
      <alignment horizontal="right" vertical="top" wrapText="1"/>
    </xf>
    <xf numFmtId="3" fontId="42" fillId="0" borderId="0" xfId="0" applyNumberFormat="1" applyFont="1" applyBorder="1" applyAlignment="1">
      <alignment horizontal="right" vertical="top" wrapText="1"/>
    </xf>
    <xf numFmtId="0" fontId="43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right"/>
    </xf>
    <xf numFmtId="0" fontId="43" fillId="0" borderId="0" xfId="0" applyFont="1" applyBorder="1" applyAlignment="1">
      <alignment horizontal="left" vertical="top" wrapText="1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64" fontId="45" fillId="0" borderId="0" xfId="0" applyNumberFormat="1" applyFont="1" applyFill="1" applyAlignment="1">
      <alignment/>
    </xf>
    <xf numFmtId="164" fontId="45" fillId="0" borderId="0" xfId="0" applyNumberFormat="1" applyFont="1" applyFill="1" applyAlignment="1">
      <alignment horizontal="right"/>
    </xf>
    <xf numFmtId="164" fontId="22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right"/>
    </xf>
    <xf numFmtId="164" fontId="46" fillId="0" borderId="0" xfId="0" applyNumberFormat="1" applyFont="1" applyFill="1" applyAlignment="1">
      <alignment/>
    </xf>
    <xf numFmtId="164" fontId="45" fillId="0" borderId="0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right"/>
    </xf>
    <xf numFmtId="3" fontId="11" fillId="0" borderId="0" xfId="0" applyNumberFormat="1" applyFont="1" applyFill="1" applyBorder="1" applyAlignment="1">
      <alignment/>
    </xf>
    <xf numFmtId="0" fontId="28" fillId="0" borderId="26" xfId="0" applyFont="1" applyBorder="1" applyAlignment="1">
      <alignment horizontal="center"/>
    </xf>
    <xf numFmtId="3" fontId="29" fillId="0" borderId="21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3" fontId="29" fillId="0" borderId="27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7" xfId="0" applyFont="1" applyBorder="1" applyAlignment="1">
      <alignment/>
    </xf>
    <xf numFmtId="3" fontId="28" fillId="0" borderId="14" xfId="0" applyNumberFormat="1" applyFont="1" applyBorder="1" applyAlignment="1">
      <alignment/>
    </xf>
    <xf numFmtId="3" fontId="29" fillId="0" borderId="16" xfId="0" applyNumberFormat="1" applyFont="1" applyBorder="1" applyAlignment="1">
      <alignment/>
    </xf>
    <xf numFmtId="3" fontId="29" fillId="0" borderId="26" xfId="0" applyNumberFormat="1" applyFont="1" applyBorder="1" applyAlignment="1">
      <alignment/>
    </xf>
    <xf numFmtId="3" fontId="28" fillId="0" borderId="29" xfId="0" applyNumberFormat="1" applyFont="1" applyBorder="1" applyAlignment="1">
      <alignment/>
    </xf>
    <xf numFmtId="3" fontId="28" fillId="0" borderId="30" xfId="0" applyNumberFormat="1" applyFont="1" applyBorder="1" applyAlignment="1">
      <alignment/>
    </xf>
    <xf numFmtId="3" fontId="28" fillId="0" borderId="31" xfId="0" applyNumberFormat="1" applyFont="1" applyBorder="1" applyAlignment="1">
      <alignment/>
    </xf>
    <xf numFmtId="0" fontId="28" fillId="0" borderId="10" xfId="0" applyFont="1" applyBorder="1" applyAlignment="1">
      <alignment horizontal="center"/>
    </xf>
    <xf numFmtId="3" fontId="29" fillId="0" borderId="20" xfId="0" applyNumberFormat="1" applyFont="1" applyBorder="1" applyAlignment="1">
      <alignment/>
    </xf>
    <xf numFmtId="0" fontId="12" fillId="0" borderId="20" xfId="0" applyFont="1" applyBorder="1" applyAlignment="1">
      <alignment/>
    </xf>
    <xf numFmtId="3" fontId="28" fillId="0" borderId="12" xfId="0" applyNumberFormat="1" applyFont="1" applyBorder="1" applyAlignment="1">
      <alignment/>
    </xf>
    <xf numFmtId="3" fontId="12" fillId="0" borderId="20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0" fontId="30" fillId="0" borderId="16" xfId="0" applyFont="1" applyBorder="1" applyAlignment="1">
      <alignment/>
    </xf>
    <xf numFmtId="0" fontId="29" fillId="0" borderId="18" xfId="0" applyFont="1" applyBorder="1" applyAlignment="1">
      <alignment horizontal="center"/>
    </xf>
    <xf numFmtId="0" fontId="29" fillId="0" borderId="2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wrapText="1"/>
    </xf>
    <xf numFmtId="3" fontId="29" fillId="0" borderId="0" xfId="0" applyNumberFormat="1" applyFont="1" applyBorder="1" applyAlignment="1">
      <alignment wrapText="1"/>
    </xf>
    <xf numFmtId="3" fontId="29" fillId="0" borderId="27" xfId="0" applyNumberFormat="1" applyFont="1" applyBorder="1" applyAlignment="1">
      <alignment wrapText="1"/>
    </xf>
    <xf numFmtId="0" fontId="28" fillId="0" borderId="21" xfId="0" applyFont="1" applyBorder="1" applyAlignment="1">
      <alignment/>
    </xf>
    <xf numFmtId="0" fontId="30" fillId="0" borderId="21" xfId="0" applyFont="1" applyBorder="1" applyAlignment="1">
      <alignment/>
    </xf>
    <xf numFmtId="0" fontId="28" fillId="0" borderId="14" xfId="0" applyFont="1" applyBorder="1" applyAlignment="1">
      <alignment/>
    </xf>
    <xf numFmtId="0" fontId="12" fillId="0" borderId="13" xfId="0" applyFont="1" applyBorder="1" applyAlignment="1">
      <alignment/>
    </xf>
    <xf numFmtId="0" fontId="28" fillId="0" borderId="29" xfId="0" applyFont="1" applyBorder="1" applyAlignment="1">
      <alignment/>
    </xf>
    <xf numFmtId="0" fontId="28" fillId="0" borderId="30" xfId="0" applyFont="1" applyBorder="1" applyAlignment="1">
      <alignment/>
    </xf>
    <xf numFmtId="3" fontId="0" fillId="0" borderId="20" xfId="0" applyNumberFormat="1" applyBorder="1" applyAlignment="1">
      <alignment/>
    </xf>
    <xf numFmtId="1" fontId="8" fillId="0" borderId="0" xfId="0" applyNumberFormat="1" applyFont="1" applyFill="1" applyAlignment="1">
      <alignment/>
    </xf>
    <xf numFmtId="3" fontId="47" fillId="0" borderId="0" xfId="0" applyNumberFormat="1" applyFont="1" applyAlignment="1">
      <alignment/>
    </xf>
    <xf numFmtId="3" fontId="48" fillId="0" borderId="0" xfId="0" applyNumberFormat="1" applyFont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6" fillId="0" borderId="0" xfId="0" applyFont="1" applyFill="1" applyBorder="1" applyAlignment="1">
      <alignment horizontal="center"/>
    </xf>
    <xf numFmtId="1" fontId="5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46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/>
    </xf>
    <xf numFmtId="4" fontId="28" fillId="0" borderId="15" xfId="0" applyNumberFormat="1" applyFont="1" applyBorder="1" applyAlignment="1">
      <alignment/>
    </xf>
    <xf numFmtId="0" fontId="0" fillId="0" borderId="0" xfId="0" applyFont="1" applyFill="1" applyAlignment="1">
      <alignment wrapText="1"/>
    </xf>
    <xf numFmtId="1" fontId="49" fillId="0" borderId="0" xfId="0" applyNumberFormat="1" applyFont="1" applyFill="1" applyAlignment="1">
      <alignment/>
    </xf>
    <xf numFmtId="0" fontId="46" fillId="0" borderId="13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52" fillId="0" borderId="0" xfId="58" applyFont="1" applyFill="1" applyAlignment="1" applyProtection="1">
      <alignment horizontal="center" vertical="center" wrapText="1"/>
      <protection/>
    </xf>
    <xf numFmtId="0" fontId="53" fillId="0" borderId="0" xfId="58" applyFill="1" applyProtection="1">
      <alignment/>
      <protection/>
    </xf>
    <xf numFmtId="0" fontId="53" fillId="0" borderId="0" xfId="58" applyFill="1" applyProtection="1">
      <alignment/>
      <protection locked="0"/>
    </xf>
    <xf numFmtId="0" fontId="54" fillId="0" borderId="0" xfId="57" applyFont="1" applyFill="1" applyAlignment="1">
      <alignment horizontal="right"/>
      <protection/>
    </xf>
    <xf numFmtId="0" fontId="56" fillId="0" borderId="51" xfId="58" applyFont="1" applyFill="1" applyBorder="1" applyAlignment="1" applyProtection="1">
      <alignment horizontal="center" vertical="center" wrapText="1"/>
      <protection/>
    </xf>
    <xf numFmtId="0" fontId="56" fillId="0" borderId="52" xfId="58" applyFont="1" applyFill="1" applyBorder="1" applyAlignment="1" applyProtection="1">
      <alignment horizontal="center" vertical="center"/>
      <protection/>
    </xf>
    <xf numFmtId="0" fontId="56" fillId="0" borderId="53" xfId="58" applyFont="1" applyFill="1" applyBorder="1" applyAlignment="1" applyProtection="1">
      <alignment horizontal="center" vertical="center"/>
      <protection/>
    </xf>
    <xf numFmtId="0" fontId="57" fillId="0" borderId="54" xfId="58" applyFont="1" applyFill="1" applyBorder="1" applyAlignment="1" applyProtection="1">
      <alignment horizontal="left" vertical="center" indent="1"/>
      <protection/>
    </xf>
    <xf numFmtId="0" fontId="58" fillId="0" borderId="55" xfId="58" applyFont="1" applyFill="1" applyBorder="1" applyAlignment="1" applyProtection="1">
      <alignment horizontal="left" vertical="center" indent="1"/>
      <protection/>
    </xf>
    <xf numFmtId="0" fontId="58" fillId="0" borderId="30" xfId="58" applyFont="1" applyFill="1" applyBorder="1" applyAlignment="1" applyProtection="1">
      <alignment horizontal="left" vertical="center" indent="1"/>
      <protection/>
    </xf>
    <xf numFmtId="0" fontId="57" fillId="0" borderId="56" xfId="58" applyFont="1" applyFill="1" applyBorder="1" applyAlignment="1" applyProtection="1">
      <alignment horizontal="left" vertical="center" indent="1"/>
      <protection/>
    </xf>
    <xf numFmtId="0" fontId="57" fillId="0" borderId="57" xfId="58" applyFont="1" applyFill="1" applyBorder="1" applyAlignment="1" applyProtection="1">
      <alignment horizontal="left" vertical="center" indent="1"/>
      <protection/>
    </xf>
    <xf numFmtId="3" fontId="57" fillId="0" borderId="57" xfId="58" applyNumberFormat="1" applyFont="1" applyFill="1" applyBorder="1" applyAlignment="1" applyProtection="1">
      <alignment vertical="center"/>
      <protection locked="0"/>
    </xf>
    <xf numFmtId="3" fontId="57" fillId="0" borderId="58" xfId="58" applyNumberFormat="1" applyFont="1" applyFill="1" applyBorder="1" applyAlignment="1" applyProtection="1">
      <alignment vertical="center"/>
      <protection/>
    </xf>
    <xf numFmtId="0" fontId="57" fillId="0" borderId="59" xfId="58" applyFont="1" applyFill="1" applyBorder="1" applyAlignment="1" applyProtection="1">
      <alignment horizontal="left" vertical="center" indent="1"/>
      <protection/>
    </xf>
    <xf numFmtId="0" fontId="57" fillId="0" borderId="44" xfId="58" applyFont="1" applyFill="1" applyBorder="1" applyAlignment="1" applyProtection="1">
      <alignment horizontal="left" vertical="center" indent="1"/>
      <protection/>
    </xf>
    <xf numFmtId="3" fontId="57" fillId="0" borderId="44" xfId="58" applyNumberFormat="1" applyFont="1" applyFill="1" applyBorder="1" applyAlignment="1" applyProtection="1">
      <alignment vertical="center"/>
      <protection locked="0"/>
    </xf>
    <xf numFmtId="3" fontId="57" fillId="0" borderId="60" xfId="58" applyNumberFormat="1" applyFont="1" applyFill="1" applyBorder="1" applyAlignment="1" applyProtection="1">
      <alignment vertical="center"/>
      <protection/>
    </xf>
    <xf numFmtId="0" fontId="57" fillId="0" borderId="39" xfId="58" applyFont="1" applyFill="1" applyBorder="1" applyAlignment="1" applyProtection="1">
      <alignment horizontal="left" vertical="center" wrapText="1" indent="1"/>
      <protection/>
    </xf>
    <xf numFmtId="3" fontId="57" fillId="0" borderId="39" xfId="58" applyNumberFormat="1" applyFont="1" applyFill="1" applyBorder="1" applyAlignment="1" applyProtection="1">
      <alignment vertical="center"/>
      <protection locked="0"/>
    </xf>
    <xf numFmtId="0" fontId="57" fillId="0" borderId="44" xfId="58" applyFont="1" applyFill="1" applyBorder="1" applyAlignment="1" applyProtection="1">
      <alignment horizontal="left" vertical="center" wrapText="1" indent="1"/>
      <protection/>
    </xf>
    <xf numFmtId="3" fontId="57" fillId="0" borderId="61" xfId="58" applyNumberFormat="1" applyFont="1" applyFill="1" applyBorder="1" applyAlignment="1" applyProtection="1">
      <alignment vertical="center"/>
      <protection/>
    </xf>
    <xf numFmtId="0" fontId="56" fillId="0" borderId="62" xfId="58" applyFont="1" applyFill="1" applyBorder="1" applyAlignment="1" applyProtection="1">
      <alignment horizontal="left" vertical="center" indent="1"/>
      <protection/>
    </xf>
    <xf numFmtId="3" fontId="59" fillId="0" borderId="62" xfId="58" applyNumberFormat="1" applyFont="1" applyFill="1" applyBorder="1" applyAlignment="1" applyProtection="1">
      <alignment vertical="center"/>
      <protection/>
    </xf>
    <xf numFmtId="0" fontId="58" fillId="0" borderId="31" xfId="58" applyFont="1" applyFill="1" applyBorder="1" applyAlignment="1" applyProtection="1">
      <alignment horizontal="left" vertical="center" indent="1"/>
      <protection/>
    </xf>
    <xf numFmtId="0" fontId="57" fillId="0" borderId="63" xfId="58" applyFont="1" applyFill="1" applyBorder="1" applyAlignment="1" applyProtection="1">
      <alignment horizontal="left" vertical="center" indent="1"/>
      <protection/>
    </xf>
    <xf numFmtId="0" fontId="57" fillId="0" borderId="39" xfId="58" applyFont="1" applyFill="1" applyBorder="1" applyAlignment="1" applyProtection="1">
      <alignment horizontal="left" vertical="center" indent="1"/>
      <protection/>
    </xf>
    <xf numFmtId="3" fontId="57" fillId="0" borderId="64" xfId="58" applyNumberFormat="1" applyFont="1" applyFill="1" applyBorder="1" applyAlignment="1" applyProtection="1">
      <alignment vertical="center"/>
      <protection/>
    </xf>
    <xf numFmtId="0" fontId="59" fillId="0" borderId="54" xfId="58" applyFont="1" applyFill="1" applyBorder="1" applyAlignment="1" applyProtection="1">
      <alignment horizontal="left" vertical="center" indent="1"/>
      <protection/>
    </xf>
    <xf numFmtId="3" fontId="59" fillId="0" borderId="65" xfId="58" applyNumberFormat="1" applyFont="1" applyFill="1" applyBorder="1" applyAlignment="1" applyProtection="1">
      <alignment vertical="center"/>
      <protection/>
    </xf>
    <xf numFmtId="0" fontId="56" fillId="0" borderId="62" xfId="58" applyFont="1" applyFill="1" applyBorder="1" applyAlignment="1" applyProtection="1">
      <alignment horizontal="left" indent="1"/>
      <protection/>
    </xf>
    <xf numFmtId="3" fontId="59" fillId="0" borderId="62" xfId="58" applyNumberFormat="1" applyFont="1" applyFill="1" applyBorder="1" applyProtection="1">
      <alignment/>
      <protection/>
    </xf>
    <xf numFmtId="0" fontId="55" fillId="0" borderId="0" xfId="58" applyFont="1" applyFill="1" applyProtection="1">
      <alignment/>
      <protection/>
    </xf>
    <xf numFmtId="0" fontId="28" fillId="0" borderId="0" xfId="58" applyFont="1" applyFill="1" applyProtection="1">
      <alignment/>
      <protection locked="0"/>
    </xf>
    <xf numFmtId="0" fontId="52" fillId="0" borderId="0" xfId="58" applyFont="1" applyFill="1" applyProtection="1">
      <alignment/>
      <protection locked="0"/>
    </xf>
    <xf numFmtId="3" fontId="52" fillId="0" borderId="0" xfId="58" applyNumberFormat="1" applyFont="1" applyFill="1" applyProtection="1">
      <alignment/>
      <protection locked="0"/>
    </xf>
    <xf numFmtId="3" fontId="0" fillId="0" borderId="0" xfId="0" applyNumberFormat="1" applyBorder="1" applyAlignment="1">
      <alignment/>
    </xf>
    <xf numFmtId="3" fontId="16" fillId="0" borderId="0" xfId="0" applyNumberFormat="1" applyFont="1" applyAlignment="1">
      <alignment/>
    </xf>
    <xf numFmtId="0" fontId="52" fillId="0" borderId="0" xfId="58" applyFont="1" applyFill="1" applyBorder="1" applyAlignment="1" applyProtection="1">
      <alignment horizontal="center" wrapText="1"/>
      <protection locked="0"/>
    </xf>
    <xf numFmtId="168" fontId="57" fillId="0" borderId="57" xfId="58" applyNumberFormat="1" applyFont="1" applyFill="1" applyBorder="1" applyAlignment="1" applyProtection="1">
      <alignment vertical="center"/>
      <protection locked="0"/>
    </xf>
    <xf numFmtId="168" fontId="57" fillId="0" borderId="57" xfId="58" applyNumberFormat="1" applyFont="1" applyFill="1" applyBorder="1" applyAlignment="1" applyProtection="1">
      <alignment vertical="center"/>
      <protection/>
    </xf>
    <xf numFmtId="168" fontId="57" fillId="0" borderId="66" xfId="58" applyNumberFormat="1" applyFont="1" applyFill="1" applyBorder="1" applyAlignment="1" applyProtection="1" quotePrefix="1">
      <alignment horizontal="center" vertical="center"/>
      <protection/>
    </xf>
    <xf numFmtId="168" fontId="57" fillId="0" borderId="44" xfId="58" applyNumberFormat="1" applyFont="1" applyFill="1" applyBorder="1" applyAlignment="1" applyProtection="1">
      <alignment vertical="center"/>
      <protection locked="0"/>
    </xf>
    <xf numFmtId="168" fontId="57" fillId="0" borderId="60" xfId="58" applyNumberFormat="1" applyFont="1" applyFill="1" applyBorder="1" applyAlignment="1" applyProtection="1">
      <alignment vertical="center"/>
      <protection/>
    </xf>
    <xf numFmtId="168" fontId="57" fillId="0" borderId="39" xfId="58" applyNumberFormat="1" applyFont="1" applyFill="1" applyBorder="1" applyAlignment="1" applyProtection="1">
      <alignment vertical="center"/>
      <protection locked="0"/>
    </xf>
    <xf numFmtId="168" fontId="57" fillId="0" borderId="64" xfId="58" applyNumberFormat="1" applyFont="1" applyFill="1" applyBorder="1" applyAlignment="1" applyProtection="1">
      <alignment vertical="center"/>
      <protection/>
    </xf>
    <xf numFmtId="168" fontId="59" fillId="0" borderId="62" xfId="58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Border="1" applyAlignment="1">
      <alignment/>
    </xf>
    <xf numFmtId="168" fontId="59" fillId="0" borderId="65" xfId="58" applyNumberFormat="1" applyFont="1" applyFill="1" applyBorder="1" applyAlignment="1" applyProtection="1">
      <alignment vertical="center"/>
      <protection/>
    </xf>
    <xf numFmtId="168" fontId="59" fillId="0" borderId="62" xfId="58" applyNumberFormat="1" applyFont="1" applyFill="1" applyBorder="1" applyProtection="1">
      <alignment/>
      <protection/>
    </xf>
    <xf numFmtId="168" fontId="59" fillId="0" borderId="65" xfId="58" applyNumberFormat="1" applyFont="1" applyFill="1" applyBorder="1" applyAlignment="1" applyProtection="1" quotePrefix="1">
      <alignment horizontal="center"/>
      <protection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68" fontId="58" fillId="0" borderId="30" xfId="58" applyNumberFormat="1" applyFont="1" applyFill="1" applyBorder="1" applyAlignment="1" applyProtection="1">
      <alignment horizontal="left" vertical="center" indent="1"/>
      <protection/>
    </xf>
    <xf numFmtId="168" fontId="58" fillId="0" borderId="31" xfId="58" applyNumberFormat="1" applyFont="1" applyFill="1" applyBorder="1" applyAlignment="1" applyProtection="1">
      <alignment horizontal="left" vertical="center" indent="1"/>
      <protection/>
    </xf>
    <xf numFmtId="0" fontId="60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49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/>
    </xf>
    <xf numFmtId="0" fontId="49" fillId="0" borderId="27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1" fillId="0" borderId="27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3" fontId="49" fillId="0" borderId="0" xfId="0" applyNumberFormat="1" applyFont="1" applyFill="1" applyBorder="1" applyAlignment="1">
      <alignment/>
    </xf>
    <xf numFmtId="3" fontId="49" fillId="0" borderId="27" xfId="0" applyNumberFormat="1" applyFont="1" applyFill="1" applyBorder="1" applyAlignment="1">
      <alignment/>
    </xf>
    <xf numFmtId="0" fontId="50" fillId="0" borderId="27" xfId="0" applyFont="1" applyFill="1" applyBorder="1" applyAlignment="1">
      <alignment/>
    </xf>
    <xf numFmtId="3" fontId="50" fillId="0" borderId="0" xfId="0" applyNumberFormat="1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49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49" fillId="0" borderId="20" xfId="0" applyFont="1" applyFill="1" applyBorder="1" applyAlignment="1">
      <alignment/>
    </xf>
    <xf numFmtId="0" fontId="11" fillId="0" borderId="20" xfId="0" applyFont="1" applyFill="1" applyBorder="1" applyAlignment="1">
      <alignment wrapText="1"/>
    </xf>
    <xf numFmtId="0" fontId="15" fillId="0" borderId="20" xfId="0" applyFont="1" applyFill="1" applyBorder="1" applyAlignment="1">
      <alignment/>
    </xf>
    <xf numFmtId="0" fontId="46" fillId="0" borderId="20" xfId="0" applyFont="1" applyFill="1" applyBorder="1" applyAlignment="1">
      <alignment horizontal="center" wrapText="1"/>
    </xf>
    <xf numFmtId="3" fontId="11" fillId="0" borderId="20" xfId="0" applyNumberFormat="1" applyFont="1" applyFill="1" applyBorder="1" applyAlignment="1">
      <alignment/>
    </xf>
    <xf numFmtId="3" fontId="49" fillId="0" borderId="20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49" fillId="0" borderId="12" xfId="0" applyFont="1" applyFill="1" applyBorder="1" applyAlignment="1">
      <alignment/>
    </xf>
    <xf numFmtId="0" fontId="49" fillId="0" borderId="28" xfId="0" applyFont="1" applyFill="1" applyBorder="1" applyAlignment="1">
      <alignment wrapText="1"/>
    </xf>
    <xf numFmtId="0" fontId="46" fillId="0" borderId="30" xfId="0" applyFont="1" applyFill="1" applyBorder="1" applyAlignment="1">
      <alignment horizontal="center"/>
    </xf>
    <xf numFmtId="0" fontId="46" fillId="0" borderId="30" xfId="0" applyFont="1" applyFill="1" applyBorder="1" applyAlignment="1">
      <alignment horizontal="center" wrapText="1"/>
    </xf>
    <xf numFmtId="0" fontId="46" fillId="0" borderId="28" xfId="0" applyFont="1" applyFill="1" applyBorder="1" applyAlignment="1">
      <alignment horizontal="center" wrapText="1"/>
    </xf>
    <xf numFmtId="0" fontId="49" fillId="0" borderId="30" xfId="0" applyFont="1" applyFill="1" applyBorder="1" applyAlignment="1">
      <alignment horizontal="center" wrapText="1"/>
    </xf>
    <xf numFmtId="0" fontId="50" fillId="0" borderId="30" xfId="0" applyFont="1" applyFill="1" applyBorder="1" applyAlignment="1">
      <alignment/>
    </xf>
    <xf numFmtId="0" fontId="50" fillId="0" borderId="3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49" fillId="0" borderId="20" xfId="0" applyFont="1" applyFill="1" applyBorder="1" applyAlignment="1">
      <alignment/>
    </xf>
    <xf numFmtId="0" fontId="50" fillId="0" borderId="20" xfId="0" applyFont="1" applyFill="1" applyBorder="1" applyAlignment="1">
      <alignment/>
    </xf>
    <xf numFmtId="0" fontId="51" fillId="0" borderId="28" xfId="0" applyFont="1" applyFill="1" applyBorder="1" applyAlignment="1">
      <alignment/>
    </xf>
    <xf numFmtId="0" fontId="49" fillId="0" borderId="30" xfId="0" applyFont="1" applyFill="1" applyBorder="1" applyAlignment="1">
      <alignment/>
    </xf>
    <xf numFmtId="3" fontId="49" fillId="0" borderId="30" xfId="0" applyNumberFormat="1" applyFont="1" applyFill="1" applyBorder="1" applyAlignment="1">
      <alignment/>
    </xf>
    <xf numFmtId="0" fontId="46" fillId="0" borderId="29" xfId="0" applyFont="1" applyFill="1" applyBorder="1" applyAlignment="1">
      <alignment horizontal="center"/>
    </xf>
    <xf numFmtId="0" fontId="50" fillId="0" borderId="31" xfId="0" applyFont="1" applyFill="1" applyBorder="1" applyAlignment="1">
      <alignment wrapText="1"/>
    </xf>
    <xf numFmtId="0" fontId="46" fillId="0" borderId="21" xfId="0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/>
    </xf>
    <xf numFmtId="3" fontId="49" fillId="0" borderId="21" xfId="0" applyNumberFormat="1" applyFont="1" applyFill="1" applyBorder="1" applyAlignment="1">
      <alignment/>
    </xf>
    <xf numFmtId="3" fontId="49" fillId="0" borderId="29" xfId="0" applyNumberFormat="1" applyFont="1" applyFill="1" applyBorder="1" applyAlignment="1">
      <alignment/>
    </xf>
    <xf numFmtId="1" fontId="45" fillId="0" borderId="20" xfId="0" applyNumberFormat="1" applyFont="1" applyFill="1" applyBorder="1" applyAlignment="1">
      <alignment horizontal="left" wrapText="1"/>
    </xf>
    <xf numFmtId="164" fontId="45" fillId="0" borderId="20" xfId="0" applyNumberFormat="1" applyFont="1" applyFill="1" applyBorder="1" applyAlignment="1">
      <alignment horizontal="left" wrapText="1"/>
    </xf>
    <xf numFmtId="164" fontId="45" fillId="0" borderId="20" xfId="0" applyNumberFormat="1" applyFont="1" applyFill="1" applyBorder="1" applyAlignment="1">
      <alignment wrapText="1"/>
    </xf>
    <xf numFmtId="164" fontId="0" fillId="0" borderId="20" xfId="0" applyNumberFormat="1" applyFont="1" applyFill="1" applyBorder="1" applyAlignment="1">
      <alignment/>
    </xf>
    <xf numFmtId="164" fontId="45" fillId="0" borderId="20" xfId="0" applyNumberFormat="1" applyFont="1" applyFill="1" applyBorder="1" applyAlignment="1">
      <alignment/>
    </xf>
    <xf numFmtId="164" fontId="44" fillId="0" borderId="20" xfId="0" applyNumberFormat="1" applyFont="1" applyFill="1" applyBorder="1" applyAlignment="1">
      <alignment horizontal="right"/>
    </xf>
    <xf numFmtId="0" fontId="50" fillId="0" borderId="27" xfId="0" applyFont="1" applyFill="1" applyBorder="1" applyAlignment="1">
      <alignment wrapText="1"/>
    </xf>
    <xf numFmtId="0" fontId="0" fillId="0" borderId="26" xfId="0" applyFont="1" applyFill="1" applyBorder="1" applyAlignment="1">
      <alignment/>
    </xf>
    <xf numFmtId="164" fontId="22" fillId="0" borderId="21" xfId="0" applyNumberFormat="1" applyFont="1" applyFill="1" applyBorder="1" applyAlignment="1">
      <alignment horizontal="right"/>
    </xf>
    <xf numFmtId="164" fontId="46" fillId="0" borderId="28" xfId="0" applyNumberFormat="1" applyFont="1" applyFill="1" applyBorder="1" applyAlignment="1">
      <alignment/>
    </xf>
    <xf numFmtId="164" fontId="46" fillId="0" borderId="30" xfId="0" applyNumberFormat="1" applyFont="1" applyFill="1" applyBorder="1" applyAlignment="1">
      <alignment horizontal="right"/>
    </xf>
    <xf numFmtId="164" fontId="46" fillId="0" borderId="28" xfId="0" applyNumberFormat="1" applyFont="1" applyFill="1" applyBorder="1" applyAlignment="1">
      <alignment horizontal="right"/>
    </xf>
    <xf numFmtId="164" fontId="46" fillId="0" borderId="29" xfId="0" applyNumberFormat="1" applyFont="1" applyFill="1" applyBorder="1" applyAlignment="1">
      <alignment horizontal="right"/>
    </xf>
    <xf numFmtId="164" fontId="46" fillId="0" borderId="31" xfId="0" applyNumberFormat="1" applyFont="1" applyFill="1" applyBorder="1" applyAlignment="1">
      <alignment horizontal="right"/>
    </xf>
    <xf numFmtId="0" fontId="49" fillId="0" borderId="14" xfId="0" applyFont="1" applyFill="1" applyBorder="1" applyAlignment="1">
      <alignment horizontal="center" wrapText="1"/>
    </xf>
    <xf numFmtId="0" fontId="50" fillId="0" borderId="14" xfId="0" applyFont="1" applyFill="1" applyBorder="1" applyAlignment="1">
      <alignment/>
    </xf>
    <xf numFmtId="0" fontId="50" fillId="0" borderId="14" xfId="0" applyFont="1" applyFill="1" applyBorder="1" applyAlignment="1">
      <alignment wrapText="1"/>
    </xf>
    <xf numFmtId="0" fontId="50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wrapText="1"/>
    </xf>
    <xf numFmtId="0" fontId="46" fillId="0" borderId="14" xfId="0" applyFont="1" applyFill="1" applyBorder="1" applyAlignment="1">
      <alignment horizontal="center" wrapText="1"/>
    </xf>
    <xf numFmtId="0" fontId="46" fillId="0" borderId="12" xfId="0" applyFont="1" applyFill="1" applyBorder="1" applyAlignment="1">
      <alignment horizontal="center" wrapText="1"/>
    </xf>
    <xf numFmtId="164" fontId="46" fillId="0" borderId="21" xfId="0" applyNumberFormat="1" applyFont="1" applyFill="1" applyBorder="1" applyAlignment="1">
      <alignment/>
    </xf>
    <xf numFmtId="164" fontId="46" fillId="0" borderId="0" xfId="0" applyNumberFormat="1" applyFont="1" applyFill="1" applyBorder="1" applyAlignment="1">
      <alignment/>
    </xf>
    <xf numFmtId="0" fontId="11" fillId="0" borderId="27" xfId="0" applyFont="1" applyFill="1" applyBorder="1" applyAlignment="1">
      <alignment/>
    </xf>
    <xf numFmtId="164" fontId="49" fillId="0" borderId="0" xfId="0" applyNumberFormat="1" applyFont="1" applyFill="1" applyBorder="1" applyAlignment="1">
      <alignment/>
    </xf>
    <xf numFmtId="164" fontId="49" fillId="0" borderId="27" xfId="0" applyNumberFormat="1" applyFont="1" applyFill="1" applyBorder="1" applyAlignment="1">
      <alignment/>
    </xf>
    <xf numFmtId="0" fontId="49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64" fontId="46" fillId="0" borderId="20" xfId="0" applyNumberFormat="1" applyFont="1" applyFill="1" applyBorder="1" applyAlignment="1">
      <alignment wrapText="1"/>
    </xf>
    <xf numFmtId="164" fontId="46" fillId="0" borderId="20" xfId="0" applyNumberFormat="1" applyFont="1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46" fillId="0" borderId="27" xfId="0" applyFont="1" applyFill="1" applyBorder="1" applyAlignment="1">
      <alignment horizontal="center" wrapText="1"/>
    </xf>
    <xf numFmtId="164" fontId="45" fillId="0" borderId="21" xfId="0" applyNumberFormat="1" applyFont="1" applyFill="1" applyBorder="1" applyAlignment="1">
      <alignment/>
    </xf>
    <xf numFmtId="164" fontId="45" fillId="0" borderId="27" xfId="0" applyNumberFormat="1" applyFont="1" applyFill="1" applyBorder="1" applyAlignment="1">
      <alignment/>
    </xf>
    <xf numFmtId="164" fontId="49" fillId="0" borderId="21" xfId="0" applyNumberFormat="1" applyFont="1" applyFill="1" applyBorder="1" applyAlignment="1">
      <alignment/>
    </xf>
    <xf numFmtId="0" fontId="11" fillId="0" borderId="20" xfId="0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49" fillId="0" borderId="20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164" fontId="0" fillId="0" borderId="29" xfId="0" applyNumberFormat="1" applyFont="1" applyFill="1" applyBorder="1" applyAlignment="1">
      <alignment/>
    </xf>
    <xf numFmtId="164" fontId="0" fillId="0" borderId="30" xfId="0" applyNumberFormat="1" applyFont="1" applyFill="1" applyBorder="1" applyAlignment="1">
      <alignment/>
    </xf>
    <xf numFmtId="164" fontId="0" fillId="0" borderId="31" xfId="0" applyNumberFormat="1" applyFont="1" applyFill="1" applyBorder="1" applyAlignment="1">
      <alignment/>
    </xf>
    <xf numFmtId="164" fontId="11" fillId="0" borderId="28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3" fontId="38" fillId="0" borderId="35" xfId="0" applyNumberFormat="1" applyFont="1" applyFill="1" applyBorder="1" applyAlignment="1">
      <alignment/>
    </xf>
    <xf numFmtId="3" fontId="35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vertical="top"/>
    </xf>
    <xf numFmtId="49" fontId="0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 vertical="top" wrapText="1"/>
    </xf>
    <xf numFmtId="0" fontId="29" fillId="0" borderId="0" xfId="56" applyFont="1" applyFill="1">
      <alignment/>
      <protection/>
    </xf>
    <xf numFmtId="168" fontId="28" fillId="0" borderId="0" xfId="56" applyNumberFormat="1" applyFont="1" applyFill="1" applyBorder="1" applyAlignment="1" applyProtection="1">
      <alignment horizontal="centerContinuous" vertical="center"/>
      <protection/>
    </xf>
    <xf numFmtId="0" fontId="62" fillId="0" borderId="0" xfId="0" applyFont="1" applyFill="1" applyBorder="1" applyAlignment="1" applyProtection="1">
      <alignment horizontal="right"/>
      <protection/>
    </xf>
    <xf numFmtId="0" fontId="63" fillId="0" borderId="0" xfId="0" applyFont="1" applyFill="1" applyBorder="1" applyAlignment="1" applyProtection="1">
      <alignment/>
      <protection/>
    </xf>
    <xf numFmtId="0" fontId="52" fillId="0" borderId="67" xfId="56" applyFont="1" applyFill="1" applyBorder="1" applyAlignment="1" applyProtection="1">
      <alignment horizontal="center" vertical="center" wrapText="1"/>
      <protection/>
    </xf>
    <xf numFmtId="0" fontId="52" fillId="0" borderId="68" xfId="56" applyFont="1" applyFill="1" applyBorder="1" applyAlignment="1" applyProtection="1">
      <alignment horizontal="center" vertical="center" wrapText="1"/>
      <protection/>
    </xf>
    <xf numFmtId="0" fontId="52" fillId="0" borderId="58" xfId="56" applyFont="1" applyFill="1" applyBorder="1" applyAlignment="1" applyProtection="1">
      <alignment horizontal="center" vertical="center" wrapText="1"/>
      <protection/>
    </xf>
    <xf numFmtId="0" fontId="53" fillId="0" borderId="54" xfId="56" applyFont="1" applyFill="1" applyBorder="1" applyAlignment="1" applyProtection="1">
      <alignment horizontal="center" vertical="center"/>
      <protection/>
    </xf>
    <xf numFmtId="0" fontId="53" fillId="0" borderId="62" xfId="56" applyFont="1" applyFill="1" applyBorder="1" applyAlignment="1" applyProtection="1">
      <alignment horizontal="center" vertical="center"/>
      <protection/>
    </xf>
    <xf numFmtId="0" fontId="53" fillId="0" borderId="65" xfId="56" applyFont="1" applyFill="1" applyBorder="1" applyAlignment="1" applyProtection="1">
      <alignment horizontal="center" vertical="center"/>
      <protection/>
    </xf>
    <xf numFmtId="0" fontId="53" fillId="0" borderId="68" xfId="56" applyFont="1" applyFill="1" applyBorder="1" applyProtection="1">
      <alignment/>
      <protection/>
    </xf>
    <xf numFmtId="3" fontId="19" fillId="0" borderId="58" xfId="0" applyNumberFormat="1" applyFont="1" applyBorder="1" applyAlignment="1">
      <alignment horizontal="right" vertical="center" wrapText="1"/>
    </xf>
    <xf numFmtId="0" fontId="53" fillId="0" borderId="44" xfId="56" applyFont="1" applyFill="1" applyBorder="1" applyProtection="1">
      <alignment/>
      <protection/>
    </xf>
    <xf numFmtId="3" fontId="19" fillId="0" borderId="60" xfId="0" applyNumberFormat="1" applyFont="1" applyBorder="1" applyAlignment="1">
      <alignment horizontal="right" vertical="center" wrapText="1"/>
    </xf>
    <xf numFmtId="0" fontId="53" fillId="0" borderId="44" xfId="56" applyFont="1" applyFill="1" applyBorder="1" applyAlignment="1" applyProtection="1">
      <alignment wrapText="1"/>
      <protection/>
    </xf>
    <xf numFmtId="0" fontId="53" fillId="0" borderId="49" xfId="56" applyFont="1" applyFill="1" applyBorder="1" applyProtection="1">
      <alignment/>
      <protection/>
    </xf>
    <xf numFmtId="3" fontId="24" fillId="0" borderId="65" xfId="0" applyNumberFormat="1" applyFont="1" applyBorder="1" applyAlignment="1">
      <alignment horizontal="right" vertical="center" wrapText="1"/>
    </xf>
    <xf numFmtId="3" fontId="53" fillId="0" borderId="0" xfId="58" applyNumberFormat="1" applyFill="1" applyProtection="1">
      <alignment/>
      <protection/>
    </xf>
    <xf numFmtId="3" fontId="7" fillId="0" borderId="0" xfId="0" applyNumberFormat="1" applyFont="1" applyFill="1" applyBorder="1" applyAlignment="1">
      <alignment/>
    </xf>
    <xf numFmtId="0" fontId="52" fillId="0" borderId="0" xfId="58" applyFont="1" applyFill="1" applyAlignment="1" applyProtection="1">
      <alignment horizontal="center" wrapText="1"/>
      <protection/>
    </xf>
    <xf numFmtId="0" fontId="52" fillId="0" borderId="0" xfId="58" applyFont="1" applyFill="1" applyAlignment="1" applyProtection="1">
      <alignment horizontal="center"/>
      <protection/>
    </xf>
    <xf numFmtId="0" fontId="52" fillId="0" borderId="29" xfId="56" applyFont="1" applyFill="1" applyBorder="1" applyAlignment="1" applyProtection="1">
      <alignment/>
      <protection/>
    </xf>
    <xf numFmtId="3" fontId="19" fillId="0" borderId="69" xfId="0" applyNumberFormat="1" applyFont="1" applyBorder="1" applyAlignment="1">
      <alignment horizontal="right" vertical="center" wrapText="1"/>
    </xf>
    <xf numFmtId="0" fontId="25" fillId="0" borderId="67" xfId="56" applyFont="1" applyFill="1" applyBorder="1" applyAlignment="1" applyProtection="1">
      <alignment horizontal="right" vertical="center"/>
      <protection/>
    </xf>
    <xf numFmtId="0" fontId="25" fillId="0" borderId="59" xfId="56" applyFont="1" applyFill="1" applyBorder="1" applyAlignment="1" applyProtection="1">
      <alignment horizontal="right" vertical="center"/>
      <protection/>
    </xf>
    <xf numFmtId="0" fontId="25" fillId="0" borderId="70" xfId="56" applyFont="1" applyFill="1" applyBorder="1" applyAlignment="1" applyProtection="1">
      <alignment horizontal="right" vertical="center"/>
      <protection/>
    </xf>
    <xf numFmtId="0" fontId="64" fillId="0" borderId="29" xfId="56" applyFont="1" applyFill="1" applyBorder="1" applyAlignment="1">
      <alignment horizontal="right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11" fillId="0" borderId="0" xfId="0" applyFont="1" applyFill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53" fillId="0" borderId="0" xfId="58" applyFont="1" applyFill="1" applyProtection="1">
      <alignment/>
      <protection/>
    </xf>
    <xf numFmtId="0" fontId="53" fillId="0" borderId="0" xfId="58" applyFont="1" applyFill="1" applyProtection="1">
      <alignment/>
      <protection locked="0"/>
    </xf>
    <xf numFmtId="0" fontId="53" fillId="0" borderId="0" xfId="58" applyFont="1" applyFill="1" applyAlignment="1" applyProtection="1">
      <alignment horizontal="right"/>
      <protection/>
    </xf>
    <xf numFmtId="0" fontId="53" fillId="0" borderId="0" xfId="58" applyFont="1" applyFill="1" applyAlignment="1" applyProtection="1">
      <alignment horizontal="right"/>
      <protection locked="0"/>
    </xf>
    <xf numFmtId="0" fontId="8" fillId="0" borderId="0" xfId="0" applyFont="1" applyAlignment="1">
      <alignment/>
    </xf>
    <xf numFmtId="0" fontId="15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25" fillId="0" borderId="0" xfId="0" applyFont="1" applyFill="1" applyBorder="1" applyAlignment="1">
      <alignment horizontal="center"/>
    </xf>
    <xf numFmtId="1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 wrapText="1"/>
    </xf>
    <xf numFmtId="3" fontId="2" fillId="0" borderId="0" xfId="0" applyNumberFormat="1" applyFont="1" applyFill="1" applyAlignment="1">
      <alignment/>
    </xf>
    <xf numFmtId="0" fontId="21" fillId="0" borderId="0" xfId="0" applyFont="1" applyAlignment="1">
      <alignment wrapText="1"/>
    </xf>
    <xf numFmtId="0" fontId="13" fillId="0" borderId="20" xfId="0" applyFont="1" applyFill="1" applyBorder="1" applyAlignment="1">
      <alignment/>
    </xf>
    <xf numFmtId="3" fontId="84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3" fontId="24" fillId="0" borderId="0" xfId="0" applyNumberFormat="1" applyFont="1" applyAlignment="1">
      <alignment/>
    </xf>
    <xf numFmtId="0" fontId="43" fillId="0" borderId="0" xfId="0" applyFont="1" applyFill="1" applyBorder="1" applyAlignment="1">
      <alignment wrapText="1"/>
    </xf>
    <xf numFmtId="3" fontId="28" fillId="0" borderId="28" xfId="0" applyNumberFormat="1" applyFont="1" applyBorder="1" applyAlignment="1">
      <alignment/>
    </xf>
    <xf numFmtId="0" fontId="0" fillId="0" borderId="0" xfId="0" applyFont="1" applyAlignment="1">
      <alignment wrapText="1"/>
    </xf>
    <xf numFmtId="3" fontId="17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right"/>
    </xf>
    <xf numFmtId="0" fontId="24" fillId="0" borderId="0" xfId="0" applyFont="1" applyAlignment="1">
      <alignment horizontal="right"/>
    </xf>
    <xf numFmtId="3" fontId="59" fillId="0" borderId="71" xfId="58" applyNumberFormat="1" applyFont="1" applyFill="1" applyBorder="1" applyAlignment="1" applyProtection="1">
      <alignment vertical="center"/>
      <protection/>
    </xf>
    <xf numFmtId="168" fontId="59" fillId="0" borderId="72" xfId="58" applyNumberFormat="1" applyFont="1" applyFill="1" applyBorder="1" applyAlignment="1" applyProtection="1">
      <alignment vertical="center"/>
      <protection/>
    </xf>
    <xf numFmtId="168" fontId="57" fillId="0" borderId="69" xfId="58" applyNumberFormat="1" applyFont="1" applyFill="1" applyBorder="1" applyAlignment="1" applyProtection="1">
      <alignment vertical="center"/>
      <protection/>
    </xf>
    <xf numFmtId="0" fontId="57" fillId="0" borderId="73" xfId="58" applyFont="1" applyFill="1" applyBorder="1" applyAlignment="1" applyProtection="1">
      <alignment horizontal="left" vertical="center" indent="1"/>
      <protection/>
    </xf>
    <xf numFmtId="0" fontId="57" fillId="0" borderId="43" xfId="58" applyFont="1" applyFill="1" applyBorder="1" applyAlignment="1" applyProtection="1">
      <alignment horizontal="left" vertical="center" indent="1"/>
      <protection/>
    </xf>
    <xf numFmtId="0" fontId="57" fillId="0" borderId="38" xfId="58" applyFont="1" applyFill="1" applyBorder="1" applyAlignment="1" applyProtection="1">
      <alignment horizontal="left" vertical="center" wrapText="1" indent="1"/>
      <protection/>
    </xf>
    <xf numFmtId="0" fontId="57" fillId="0" borderId="43" xfId="58" applyFont="1" applyFill="1" applyBorder="1" applyAlignment="1" applyProtection="1">
      <alignment horizontal="left" vertical="center" wrapText="1" indent="1"/>
      <protection/>
    </xf>
    <xf numFmtId="0" fontId="56" fillId="0" borderId="74" xfId="58" applyFont="1" applyFill="1" applyBorder="1" applyAlignment="1" applyProtection="1">
      <alignment horizontal="left" vertical="center" indent="1"/>
      <protection/>
    </xf>
    <xf numFmtId="0" fontId="57" fillId="0" borderId="38" xfId="58" applyFont="1" applyFill="1" applyBorder="1" applyAlignment="1" applyProtection="1">
      <alignment horizontal="left" vertical="center" indent="1"/>
      <protection/>
    </xf>
    <xf numFmtId="0" fontId="57" fillId="0" borderId="48" xfId="58" applyFont="1" applyFill="1" applyBorder="1" applyAlignment="1" applyProtection="1">
      <alignment horizontal="left" vertical="center" indent="1"/>
      <protection/>
    </xf>
    <xf numFmtId="0" fontId="56" fillId="0" borderId="74" xfId="58" applyFont="1" applyFill="1" applyBorder="1" applyAlignment="1" applyProtection="1">
      <alignment horizontal="left" indent="1"/>
      <protection/>
    </xf>
    <xf numFmtId="0" fontId="57" fillId="0" borderId="28" xfId="58" applyFont="1" applyFill="1" applyBorder="1" applyAlignment="1" applyProtection="1">
      <alignment horizontal="left" vertical="center" indent="1"/>
      <protection/>
    </xf>
    <xf numFmtId="0" fontId="57" fillId="0" borderId="20" xfId="58" applyFont="1" applyFill="1" applyBorder="1" applyAlignment="1" applyProtection="1">
      <alignment horizontal="left" vertical="center" indent="1"/>
      <protection/>
    </xf>
    <xf numFmtId="0" fontId="57" fillId="0" borderId="41" xfId="58" applyFont="1" applyFill="1" applyBorder="1" applyAlignment="1" applyProtection="1">
      <alignment horizontal="left" vertical="center" indent="1"/>
      <protection/>
    </xf>
    <xf numFmtId="0" fontId="57" fillId="0" borderId="36" xfId="58" applyFont="1" applyFill="1" applyBorder="1" applyAlignment="1" applyProtection="1">
      <alignment horizontal="left" vertical="center" indent="1"/>
      <protection/>
    </xf>
    <xf numFmtId="0" fontId="59" fillId="0" borderId="28" xfId="58" applyFont="1" applyFill="1" applyBorder="1" applyAlignment="1" applyProtection="1">
      <alignment horizontal="left" vertical="center" indent="1"/>
      <protection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20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57" fillId="0" borderId="51" xfId="58" applyFont="1" applyFill="1" applyBorder="1" applyAlignment="1" applyProtection="1">
      <alignment horizontal="left" vertical="center" indent="1"/>
      <protection/>
    </xf>
    <xf numFmtId="0" fontId="57" fillId="0" borderId="52" xfId="58" applyFont="1" applyFill="1" applyBorder="1" applyAlignment="1" applyProtection="1">
      <alignment horizontal="left" vertical="center" indent="1"/>
      <protection/>
    </xf>
    <xf numFmtId="168" fontId="57" fillId="0" borderId="68" xfId="58" applyNumberFormat="1" applyFont="1" applyFill="1" applyBorder="1" applyAlignment="1" applyProtection="1">
      <alignment vertical="center"/>
      <protection locked="0"/>
    </xf>
    <xf numFmtId="168" fontId="57" fillId="0" borderId="68" xfId="58" applyNumberFormat="1" applyFont="1" applyFill="1" applyBorder="1" applyAlignment="1" applyProtection="1">
      <alignment vertical="center"/>
      <protection/>
    </xf>
    <xf numFmtId="168" fontId="57" fillId="0" borderId="53" xfId="58" applyNumberFormat="1" applyFont="1" applyFill="1" applyBorder="1" applyAlignment="1" applyProtection="1" quotePrefix="1">
      <alignment horizontal="center" vertical="center"/>
      <protection/>
    </xf>
    <xf numFmtId="3" fontId="0" fillId="0" borderId="75" xfId="0" applyNumberFormat="1" applyBorder="1" applyAlignment="1">
      <alignment/>
    </xf>
    <xf numFmtId="3" fontId="5" fillId="0" borderId="14" xfId="0" applyNumberFormat="1" applyFont="1" applyBorder="1" applyAlignment="1">
      <alignment/>
    </xf>
    <xf numFmtId="168" fontId="57" fillId="0" borderId="76" xfId="58" applyNumberFormat="1" applyFont="1" applyFill="1" applyBorder="1" applyAlignment="1" applyProtection="1">
      <alignment vertical="center"/>
      <protection locked="0"/>
    </xf>
    <xf numFmtId="168" fontId="57" fillId="0" borderId="61" xfId="58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 horizontal="center"/>
    </xf>
    <xf numFmtId="3" fontId="47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 horizontal="right"/>
    </xf>
    <xf numFmtId="1" fontId="47" fillId="0" borderId="0" xfId="0" applyNumberFormat="1" applyFont="1" applyFill="1" applyBorder="1" applyAlignment="1">
      <alignment/>
    </xf>
    <xf numFmtId="0" fontId="0" fillId="0" borderId="77" xfId="0" applyFont="1" applyFill="1" applyBorder="1" applyAlignment="1">
      <alignment/>
    </xf>
    <xf numFmtId="0" fontId="0" fillId="0" borderId="78" xfId="0" applyFont="1" applyFill="1" applyBorder="1" applyAlignment="1">
      <alignment/>
    </xf>
    <xf numFmtId="3" fontId="49" fillId="0" borderId="28" xfId="0" applyNumberFormat="1" applyFont="1" applyFill="1" applyBorder="1" applyAlignment="1">
      <alignment/>
    </xf>
    <xf numFmtId="3" fontId="11" fillId="0" borderId="27" xfId="0" applyNumberFormat="1" applyFont="1" applyFill="1" applyBorder="1" applyAlignment="1">
      <alignment/>
    </xf>
    <xf numFmtId="0" fontId="46" fillId="0" borderId="79" xfId="0" applyFont="1" applyFill="1" applyBorder="1" applyAlignment="1">
      <alignment horizontal="center"/>
    </xf>
    <xf numFmtId="0" fontId="11" fillId="0" borderId="80" xfId="0" applyFont="1" applyFill="1" applyBorder="1" applyAlignment="1">
      <alignment/>
    </xf>
    <xf numFmtId="0" fontId="11" fillId="0" borderId="81" xfId="0" applyFont="1" applyFill="1" applyBorder="1" applyAlignment="1">
      <alignment/>
    </xf>
    <xf numFmtId="3" fontId="11" fillId="0" borderId="81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82" xfId="0" applyFont="1" applyFill="1" applyBorder="1" applyAlignment="1">
      <alignment/>
    </xf>
    <xf numFmtId="0" fontId="11" fillId="0" borderId="83" xfId="0" applyFont="1" applyFill="1" applyBorder="1" applyAlignment="1">
      <alignment/>
    </xf>
    <xf numFmtId="0" fontId="11" fillId="0" borderId="84" xfId="0" applyFont="1" applyFill="1" applyBorder="1" applyAlignment="1">
      <alignment/>
    </xf>
    <xf numFmtId="0" fontId="11" fillId="0" borderId="85" xfId="0" applyFont="1" applyFill="1" applyBorder="1" applyAlignment="1">
      <alignment/>
    </xf>
    <xf numFmtId="0" fontId="0" fillId="0" borderId="86" xfId="0" applyFont="1" applyFill="1" applyBorder="1" applyAlignment="1">
      <alignment/>
    </xf>
    <xf numFmtId="164" fontId="46" fillId="0" borderId="87" xfId="0" applyNumberFormat="1" applyFont="1" applyFill="1" applyBorder="1" applyAlignment="1">
      <alignment/>
    </xf>
    <xf numFmtId="0" fontId="0" fillId="0" borderId="87" xfId="0" applyFont="1" applyFill="1" applyBorder="1" applyAlignment="1">
      <alignment/>
    </xf>
    <xf numFmtId="164" fontId="46" fillId="0" borderId="28" xfId="0" applyNumberFormat="1" applyFont="1" applyFill="1" applyBorder="1" applyAlignment="1">
      <alignment wrapText="1"/>
    </xf>
    <xf numFmtId="0" fontId="46" fillId="0" borderId="31" xfId="0" applyFont="1" applyFill="1" applyBorder="1" applyAlignment="1">
      <alignment horizontal="center" wrapText="1"/>
    </xf>
    <xf numFmtId="0" fontId="49" fillId="0" borderId="88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28" fillId="0" borderId="30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top" wrapText="1"/>
    </xf>
    <xf numFmtId="3" fontId="43" fillId="0" borderId="47" xfId="0" applyNumberFormat="1" applyFont="1" applyBorder="1" applyAlignment="1">
      <alignment vertical="top" wrapText="1"/>
    </xf>
    <xf numFmtId="3" fontId="43" fillId="0" borderId="46" xfId="0" applyNumberFormat="1" applyFont="1" applyBorder="1" applyAlignment="1">
      <alignment vertical="top" wrapText="1"/>
    </xf>
    <xf numFmtId="3" fontId="0" fillId="0" borderId="41" xfId="0" applyNumberFormat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" fontId="3" fillId="0" borderId="89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90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3" fontId="3" fillId="0" borderId="26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28" fillId="0" borderId="29" xfId="0" applyFont="1" applyBorder="1" applyAlignment="1">
      <alignment horizontal="center"/>
    </xf>
    <xf numFmtId="0" fontId="42" fillId="0" borderId="20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18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20" fillId="0" borderId="91" xfId="0" applyFont="1" applyBorder="1" applyAlignment="1">
      <alignment horizontal="center"/>
    </xf>
    <xf numFmtId="0" fontId="42" fillId="0" borderId="48" xfId="0" applyFont="1" applyBorder="1" applyAlignment="1">
      <alignment horizontal="center" vertical="top" wrapText="1"/>
    </xf>
    <xf numFmtId="0" fontId="42" fillId="0" borderId="92" xfId="0" applyFont="1" applyBorder="1" applyAlignment="1">
      <alignment horizontal="center" vertical="top" wrapText="1"/>
    </xf>
    <xf numFmtId="0" fontId="42" fillId="0" borderId="49" xfId="0" applyFont="1" applyBorder="1" applyAlignment="1">
      <alignment horizontal="center" vertical="top" wrapText="1"/>
    </xf>
    <xf numFmtId="0" fontId="42" fillId="0" borderId="72" xfId="0" applyFont="1" applyBorder="1" applyAlignment="1">
      <alignment horizontal="center" vertical="top" wrapText="1"/>
    </xf>
    <xf numFmtId="0" fontId="42" fillId="0" borderId="50" xfId="0" applyFont="1" applyBorder="1" applyAlignment="1">
      <alignment horizontal="center" vertical="top" wrapText="1"/>
    </xf>
    <xf numFmtId="0" fontId="11" fillId="0" borderId="93" xfId="0" applyFont="1" applyBorder="1" applyAlignment="1">
      <alignment/>
    </xf>
    <xf numFmtId="0" fontId="43" fillId="0" borderId="0" xfId="0" applyFont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/>
    </xf>
    <xf numFmtId="0" fontId="46" fillId="0" borderId="26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46" fillId="0" borderId="29" xfId="0" applyFont="1" applyFill="1" applyBorder="1" applyAlignment="1">
      <alignment horizontal="center"/>
    </xf>
    <xf numFmtId="0" fontId="46" fillId="0" borderId="30" xfId="0" applyFont="1" applyFill="1" applyBorder="1" applyAlignment="1">
      <alignment horizontal="center"/>
    </xf>
    <xf numFmtId="0" fontId="46" fillId="0" borderId="31" xfId="0" applyFont="1" applyFill="1" applyBorder="1" applyAlignment="1">
      <alignment horizontal="center"/>
    </xf>
    <xf numFmtId="0" fontId="46" fillId="0" borderId="94" xfId="0" applyFont="1" applyFill="1" applyBorder="1" applyAlignment="1">
      <alignment horizontal="center"/>
    </xf>
    <xf numFmtId="0" fontId="46" fillId="0" borderId="85" xfId="0" applyFont="1" applyFill="1" applyBorder="1" applyAlignment="1">
      <alignment horizontal="center"/>
    </xf>
    <xf numFmtId="0" fontId="46" fillId="0" borderId="84" xfId="0" applyFont="1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37" fillId="0" borderId="0" xfId="0" applyFont="1" applyFill="1" applyBorder="1" applyAlignment="1">
      <alignment/>
    </xf>
    <xf numFmtId="0" fontId="36" fillId="0" borderId="0" xfId="0" applyFont="1" applyFill="1" applyAlignment="1">
      <alignment horizontal="center"/>
    </xf>
    <xf numFmtId="14" fontId="37" fillId="0" borderId="0" xfId="0" applyNumberFormat="1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168" fontId="61" fillId="0" borderId="0" xfId="56" applyNumberFormat="1" applyFont="1" applyFill="1" applyBorder="1" applyAlignment="1" applyProtection="1">
      <alignment horizontal="center" vertical="center" wrapText="1"/>
      <protection/>
    </xf>
    <xf numFmtId="0" fontId="57" fillId="0" borderId="18" xfId="56" applyFont="1" applyFill="1" applyBorder="1" applyAlignment="1">
      <alignment horizontal="justify" vertical="center" wrapText="1"/>
      <protection/>
    </xf>
    <xf numFmtId="0" fontId="52" fillId="0" borderId="0" xfId="58" applyFont="1" applyFill="1" applyBorder="1" applyAlignment="1" applyProtection="1">
      <alignment horizontal="center" wrapText="1"/>
      <protection locked="0"/>
    </xf>
    <xf numFmtId="0" fontId="58" fillId="0" borderId="55" xfId="58" applyFont="1" applyFill="1" applyBorder="1" applyAlignment="1" applyProtection="1">
      <alignment horizontal="left" vertical="center" indent="1"/>
      <protection/>
    </xf>
    <xf numFmtId="0" fontId="58" fillId="0" borderId="30" xfId="58" applyFont="1" applyFill="1" applyBorder="1" applyAlignment="1" applyProtection="1">
      <alignment horizontal="left" vertical="center" indent="1"/>
      <protection/>
    </xf>
    <xf numFmtId="0" fontId="58" fillId="0" borderId="26" xfId="58" applyFont="1" applyFill="1" applyBorder="1" applyAlignment="1" applyProtection="1">
      <alignment horizontal="left" vertical="center" indent="1"/>
      <protection/>
    </xf>
    <xf numFmtId="0" fontId="58" fillId="0" borderId="31" xfId="58" applyFont="1" applyFill="1" applyBorder="1" applyAlignment="1" applyProtection="1">
      <alignment horizontal="left" vertical="center" indent="1"/>
      <protection/>
    </xf>
    <xf numFmtId="0" fontId="0" fillId="0" borderId="0" xfId="0" applyAlignment="1">
      <alignment horizontal="right"/>
    </xf>
    <xf numFmtId="0" fontId="52" fillId="0" borderId="0" xfId="58" applyFont="1" applyFill="1" applyAlignment="1" applyProtection="1">
      <alignment horizontal="center" vertical="center" wrapText="1"/>
      <protection/>
    </xf>
    <xf numFmtId="0" fontId="52" fillId="0" borderId="0" xfId="58" applyFont="1" applyFill="1" applyAlignment="1" applyProtection="1">
      <alignment horizontal="center" vertical="center"/>
      <protection/>
    </xf>
    <xf numFmtId="0" fontId="52" fillId="0" borderId="0" xfId="58" applyFont="1" applyFill="1" applyAlignment="1" applyProtection="1">
      <alignment horizontal="center" wrapText="1"/>
      <protection/>
    </xf>
    <xf numFmtId="0" fontId="52" fillId="0" borderId="0" xfId="58" applyFont="1" applyFill="1" applyAlignment="1" applyProtection="1">
      <alignment horizont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VRENMUNKA" xfId="56"/>
    <cellStyle name="Normál_Munka1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RBNLA~1\LOCALS~1\Temp\k&#246;ltjavaslat2011csak%20seg&#237;ts&#233;gne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NT&#201;S_C\Documents%20and%20Settings\Kocsisn&#233;\Dokumentumok\Marian2012\k&#246;ltm&#243;d2012&#233;v\november\k&#246;ltm&#243;dnovember2012%20elfogadot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ENT&#201;S_C\Documents%20and%20Settings\Kocsisn&#233;\Dokumentumok\Marian2013\PH%20sz&#246;veges%20k&#246;lt.2013%20cs&#246;kkentet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ENT&#201;S_C\Documents%20and%20Settings\Kocsisn&#233;\Dokumentumok\Marian2012\k&#246;lts&#233;gvet&#233;s\2012.&#233;vi%20k&#246;lts&#233;gvet&#233;s\elfogadott%202012.&#233;vi%20k&#246;lts&#233;gvet&#233;s\2012.&#233;vi%20k&#246;lts&#233;gvet&#233;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csisn&#233;\Dokumentumok\Marian2012\l&#233;tsz&#225;mcs&#246;kkent&#233;s\2012.&#233;vi%20k&#246;lts&#233;gvet&#233;s%20l&#233;tsz&#225;mcs&#246;kkent&#233;she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erb_ök_"/>
      <sheetName val="román ök_"/>
      <sheetName val="cigány"/>
      <sheetName val="eszesz"/>
      <sheetName val="vsz"/>
      <sheetName val="Gimi"/>
      <sheetName val="könyvtár"/>
      <sheetName val="Óvoda"/>
      <sheetName val="románok"/>
      <sheetName val="szia"/>
      <sheetName val="szerbek"/>
      <sheetName val="kultúr"/>
      <sheetName val="2mell 2ápr"/>
      <sheetName val="2mell_2"/>
      <sheetName val="Munka2"/>
      <sheetName val="2mell2011k"/>
      <sheetName val="2mell2011"/>
      <sheetName val="2mell 1ápr"/>
      <sheetName val="2mell_1"/>
      <sheetName val="létszám jó"/>
      <sheetName val="er.ei.felhalmozás09"/>
      <sheetName val="felhalmozás"/>
      <sheetName val="szoc jó"/>
      <sheetName val="felhalm2010"/>
      <sheetName val="felhmérleg"/>
      <sheetName val="felh_mérleg"/>
      <sheetName val="felh bev"/>
      <sheetName val="átadott"/>
      <sheetName val="int10"/>
      <sheetName val="norm2011"/>
      <sheetName val="Munka1"/>
      <sheetName val="norm"/>
      <sheetName val="több  éves kötelezettség"/>
      <sheetName val="polg_hiv_"/>
      <sheetName val="kincstár fin_terv"/>
      <sheetName val="_PH_ei_felh_terv_"/>
      <sheetName val="román eifelh"/>
      <sheetName val="szerbeifelh"/>
      <sheetName val="közösségi ell"/>
      <sheetName val="likviditási terv"/>
      <sheetName val="1mell1"/>
      <sheetName val="3 éves terv"/>
      <sheetName val="1mell1a"/>
      <sheetName val="1mell2"/>
    </sheetNames>
    <sheetDataSet>
      <sheetData sheetId="13">
        <row r="110">
          <cell r="A110" t="str">
            <v>Városellátó Szervezet</v>
          </cell>
        </row>
      </sheetData>
      <sheetData sheetId="17">
        <row r="28">
          <cell r="A28" t="str">
            <v>Városellátó  Szervezet</v>
          </cell>
        </row>
        <row r="32">
          <cell r="A32" t="str">
            <v>Egészségügyi és Szociális Ellátó Szervezet</v>
          </cell>
        </row>
      </sheetData>
      <sheetData sheetId="26">
        <row r="35">
          <cell r="A35" t="str">
            <v>Felhalmozási bevételek összesen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ndeletkönyv"/>
      <sheetName val="nettó"/>
      <sheetName val="finanszírozási tábla"/>
      <sheetName val="kiadás"/>
      <sheetName val="bevétel"/>
      <sheetName val="intfinanszírozási terv"/>
      <sheetName val="phfinansz"/>
      <sheetName val="szerb fin."/>
      <sheetName val="román fin"/>
      <sheetName val="cigány fin"/>
      <sheetName val="önkei.felh."/>
      <sheetName val="ei.összesen"/>
      <sheetName val="minimálbér"/>
      <sheetName val="szakfeladatonként"/>
      <sheetName val="adósságkel."/>
      <sheetName val="cigány besz"/>
      <sheetName val="szerb besz"/>
      <sheetName val="román besz"/>
      <sheetName val="szerb"/>
      <sheetName val="cigány"/>
      <sheetName val="pfbevétel"/>
      <sheetName val="pfkiadás"/>
      <sheetName val="több éves"/>
      <sheetName val="közösségi"/>
      <sheetName val="átadott"/>
      <sheetName val="segély"/>
      <sheetName val="felh."/>
      <sheetName val="felhbevétel"/>
      <sheetName val="felhmérleg"/>
      <sheetName val="létszám jó"/>
      <sheetName val="létszám 2012"/>
      <sheetName val="norm2012"/>
    </sheetNames>
    <sheetDataSet>
      <sheetData sheetId="3">
        <row r="16">
          <cell r="M16">
            <v>217827</v>
          </cell>
        </row>
        <row r="17">
          <cell r="M17">
            <v>221832</v>
          </cell>
        </row>
        <row r="20">
          <cell r="M20">
            <v>113251</v>
          </cell>
        </row>
        <row r="21">
          <cell r="M21">
            <v>147351</v>
          </cell>
        </row>
        <row r="24">
          <cell r="B24" t="str">
            <v>Városi Művelődési Központ és Könyvtár</v>
          </cell>
          <cell r="M24">
            <v>22630</v>
          </cell>
        </row>
        <row r="25">
          <cell r="M25">
            <v>26305</v>
          </cell>
        </row>
        <row r="35">
          <cell r="M35">
            <v>252973</v>
          </cell>
        </row>
        <row r="37">
          <cell r="M37">
            <v>252973</v>
          </cell>
        </row>
        <row r="40">
          <cell r="M40">
            <v>226809</v>
          </cell>
        </row>
        <row r="42">
          <cell r="M42">
            <v>462276</v>
          </cell>
        </row>
      </sheetData>
      <sheetData sheetId="4">
        <row r="34">
          <cell r="B34" t="str">
            <v>Battonya Város Önkormányzata</v>
          </cell>
        </row>
      </sheetData>
      <sheetData sheetId="20">
        <row r="5">
          <cell r="H5">
            <v>244430</v>
          </cell>
          <cell r="I5">
            <v>244430</v>
          </cell>
        </row>
        <row r="6">
          <cell r="H6">
            <v>94564</v>
          </cell>
          <cell r="I6">
            <v>93646</v>
          </cell>
        </row>
        <row r="22">
          <cell r="H22">
            <v>201456</v>
          </cell>
          <cell r="I22">
            <v>201456</v>
          </cell>
        </row>
        <row r="29">
          <cell r="H29">
            <v>274385</v>
          </cell>
          <cell r="I29">
            <v>406820</v>
          </cell>
        </row>
        <row r="60">
          <cell r="H60">
            <v>234009</v>
          </cell>
        </row>
        <row r="61">
          <cell r="H61">
            <v>34000</v>
          </cell>
        </row>
        <row r="67">
          <cell r="H67">
            <v>630</v>
          </cell>
        </row>
        <row r="71">
          <cell r="H71">
            <v>7108</v>
          </cell>
        </row>
        <row r="99">
          <cell r="H99">
            <v>17610</v>
          </cell>
        </row>
        <row r="100">
          <cell r="H100">
            <v>8788</v>
          </cell>
        </row>
        <row r="101">
          <cell r="H101">
            <v>5739</v>
          </cell>
        </row>
      </sheetData>
      <sheetData sheetId="24">
        <row r="26">
          <cell r="V26">
            <v>7650</v>
          </cell>
        </row>
        <row r="30">
          <cell r="V30">
            <v>1300</v>
          </cell>
          <cell r="Y30">
            <v>2441</v>
          </cell>
        </row>
      </sheetData>
      <sheetData sheetId="25">
        <row r="36">
          <cell r="T36">
            <v>207479</v>
          </cell>
          <cell r="X36">
            <v>219394</v>
          </cell>
          <cell r="Y36">
            <v>13204</v>
          </cell>
        </row>
        <row r="40">
          <cell r="X40">
            <v>630</v>
          </cell>
        </row>
      </sheetData>
      <sheetData sheetId="26">
        <row r="18">
          <cell r="S18">
            <v>17610</v>
          </cell>
        </row>
        <row r="34">
          <cell r="S34">
            <v>7138</v>
          </cell>
        </row>
        <row r="38">
          <cell r="S38">
            <v>3330</v>
          </cell>
        </row>
        <row r="50">
          <cell r="S50">
            <v>12898</v>
          </cell>
        </row>
        <row r="62">
          <cell r="S62">
            <v>7922</v>
          </cell>
        </row>
        <row r="70">
          <cell r="P70">
            <v>17610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nka3"/>
      <sheetName val="751153"/>
      <sheetName val="emelt 08"/>
      <sheetName val="bérek08"/>
      <sheetName val="PH08"/>
      <sheetName val="PH09"/>
      <sheetName val="össz"/>
      <sheetName val="Munka1"/>
      <sheetName val="ÖK"/>
      <sheetName val="PH 2013"/>
      <sheetName val="bér 2013"/>
      <sheetName val="közhasznúak"/>
      <sheetName val="Munka2"/>
    </sheetNames>
    <sheetDataSet>
      <sheetData sheetId="8">
        <row r="149">
          <cell r="H149">
            <v>51015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nanszírozási tábla"/>
      <sheetName val="kiadás"/>
      <sheetName val="bevétel"/>
      <sheetName val="intfinanszírozási terv"/>
      <sheetName val="phfinansz"/>
      <sheetName val="szerb fin."/>
      <sheetName val="román fin"/>
      <sheetName val="cigány fin"/>
      <sheetName val="önkei.felh."/>
      <sheetName val="ei.összesen"/>
      <sheetName val="minimálbér"/>
      <sheetName val="szakfeladatonként"/>
      <sheetName val="adósságkel."/>
      <sheetName val="román"/>
      <sheetName val="szerb"/>
      <sheetName val="cigány"/>
      <sheetName val="pfbevétel"/>
      <sheetName val="pfkiadás"/>
      <sheetName val="több éves"/>
      <sheetName val="közösségi"/>
      <sheetName val="átadott"/>
      <sheetName val="segély"/>
      <sheetName val="felh."/>
      <sheetName val="felhbevétel"/>
      <sheetName val="felhmérleg"/>
      <sheetName val="létszám 2012"/>
      <sheetName val="norm201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nanszírozási tábla"/>
      <sheetName val="kiadás"/>
      <sheetName val="bevétel"/>
      <sheetName val="intfinanszírozási terv"/>
      <sheetName val="phfinansz"/>
      <sheetName val="szerb fin."/>
      <sheetName val="román fin"/>
      <sheetName val="cigány fin"/>
      <sheetName val="önkei.felh."/>
      <sheetName val="ei.összesen"/>
      <sheetName val="minimálbér"/>
      <sheetName val="szakfeladatonként"/>
      <sheetName val="adósságkel."/>
      <sheetName val="román"/>
      <sheetName val="szerb"/>
      <sheetName val="cigány"/>
      <sheetName val="pfbevétel"/>
      <sheetName val="pfkiadás"/>
      <sheetName val="több éves"/>
      <sheetName val="közösségi"/>
      <sheetName val="átadott"/>
      <sheetName val="segély"/>
      <sheetName val="felh."/>
      <sheetName val="felhbevétel"/>
      <sheetName val="felhmérleg"/>
      <sheetName val="létszám 2012"/>
      <sheetName val="norm2012"/>
    </sheetNames>
    <sheetDataSet>
      <sheetData sheetId="2">
        <row r="40">
          <cell r="A40" t="str">
            <v>Városellátó  Szervezet</v>
          </cell>
        </row>
        <row r="46">
          <cell r="A46" t="str">
            <v>Egészségügyi és Szociális Ellátó Szervezet</v>
          </cell>
        </row>
        <row r="62">
          <cell r="A62" t="str">
            <v>Városi Művelődési Központ és Könyvtár</v>
          </cell>
        </row>
        <row r="76">
          <cell r="A76" t="str">
            <v>Battonya Város Önkormányzata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2"/>
  <sheetViews>
    <sheetView zoomScalePageLayoutView="0" workbookViewId="0" topLeftCell="A92">
      <selection activeCell="G48" sqref="G48"/>
    </sheetView>
  </sheetViews>
  <sheetFormatPr defaultColWidth="9.140625" defaultRowHeight="15" customHeight="1"/>
  <cols>
    <col min="1" max="1" width="5.00390625" style="46" customWidth="1"/>
    <col min="2" max="2" width="3.28125" style="46" customWidth="1"/>
    <col min="3" max="3" width="50.28125" style="170" customWidth="1"/>
    <col min="4" max="4" width="11.28125" style="169" bestFit="1" customWidth="1"/>
    <col min="5" max="5" width="15.00390625" style="169" customWidth="1"/>
    <col min="6" max="10" width="14.421875" style="166" customWidth="1"/>
    <col min="11" max="11" width="14.421875" style="46" customWidth="1"/>
    <col min="12" max="12" width="14.57421875" style="46" customWidth="1"/>
    <col min="13" max="14" width="14.421875" style="46" customWidth="1"/>
    <col min="15" max="15" width="9.140625" style="46" customWidth="1"/>
    <col min="16" max="16" width="14.140625" style="46" customWidth="1"/>
    <col min="17" max="16384" width="9.140625" style="46" customWidth="1"/>
  </cols>
  <sheetData>
    <row r="1" spans="1:9" ht="15" customHeight="1">
      <c r="A1" s="6" t="s">
        <v>354</v>
      </c>
      <c r="C1" s="25"/>
      <c r="D1" s="4" t="s">
        <v>122</v>
      </c>
      <c r="E1" s="4" t="s">
        <v>122</v>
      </c>
      <c r="F1" s="2"/>
      <c r="G1" s="2"/>
      <c r="H1" s="2"/>
      <c r="I1" s="2"/>
    </row>
    <row r="2" spans="1:10" ht="15" customHeight="1">
      <c r="A2" s="167" t="s">
        <v>242</v>
      </c>
      <c r="C2" s="168"/>
      <c r="D2" s="4" t="s">
        <v>72</v>
      </c>
      <c r="E2" s="4" t="s">
        <v>486</v>
      </c>
      <c r="F2" s="2"/>
      <c r="G2" s="2"/>
      <c r="H2" s="2"/>
      <c r="I2" s="2"/>
      <c r="J2" s="2"/>
    </row>
    <row r="3" spans="1:10" ht="5.25" customHeight="1">
      <c r="A3" s="167"/>
      <c r="C3" s="168"/>
      <c r="D3" s="4"/>
      <c r="E3" s="4"/>
      <c r="F3" s="2"/>
      <c r="G3" s="2"/>
      <c r="H3" s="2"/>
      <c r="I3" s="2"/>
      <c r="J3" s="2"/>
    </row>
    <row r="4" spans="1:10" s="166" customFormat="1" ht="15" customHeight="1">
      <c r="A4" s="2" t="s">
        <v>11</v>
      </c>
      <c r="B4" s="2" t="s">
        <v>12</v>
      </c>
      <c r="C4" s="20" t="s">
        <v>13</v>
      </c>
      <c r="D4" s="4" t="s">
        <v>14</v>
      </c>
      <c r="E4" s="4" t="s">
        <v>15</v>
      </c>
      <c r="F4" s="2"/>
      <c r="G4" s="2"/>
      <c r="H4" s="2"/>
      <c r="I4" s="2"/>
      <c r="J4" s="2"/>
    </row>
    <row r="5" spans="4:5" ht="5.25" customHeight="1">
      <c r="D5" s="4"/>
      <c r="E5" s="4"/>
    </row>
    <row r="6" spans="1:15" s="6" customFormat="1" ht="15" customHeight="1">
      <c r="A6" s="6" t="s">
        <v>20</v>
      </c>
      <c r="B6" s="6" t="s">
        <v>124</v>
      </c>
      <c r="C6" s="25"/>
      <c r="D6" s="8">
        <f>SUM(D7:D20)-D7-D11-D17</f>
        <v>307125</v>
      </c>
      <c r="E6" s="8">
        <f>+E7+E11+E14+E15+E16+E17+E20+E21+E22</f>
        <v>326694</v>
      </c>
      <c r="L6" s="46"/>
      <c r="N6" s="46"/>
      <c r="O6" s="46"/>
    </row>
    <row r="7" spans="1:10" ht="15" customHeight="1">
      <c r="A7" s="46" t="s">
        <v>22</v>
      </c>
      <c r="C7" s="170" t="s">
        <v>125</v>
      </c>
      <c r="D7" s="169">
        <f>SUM(D8:D10)</f>
        <v>114297</v>
      </c>
      <c r="E7" s="169">
        <f>+3_mell!D35</f>
        <v>128587</v>
      </c>
      <c r="F7" s="169"/>
      <c r="J7" s="2"/>
    </row>
    <row r="8" spans="1:10" ht="15" customHeight="1">
      <c r="A8" s="46" t="s">
        <v>24</v>
      </c>
      <c r="C8" s="171" t="s">
        <v>126</v>
      </c>
      <c r="D8" s="169">
        <f>+3_mell!D34-2100-500</f>
        <v>111697</v>
      </c>
      <c r="E8" s="169">
        <f>+D8+1213+6256+79-7464+1167+13001+38</f>
        <v>125987</v>
      </c>
      <c r="J8" s="2"/>
    </row>
    <row r="9" spans="1:10" ht="15" customHeight="1">
      <c r="A9" s="46" t="s">
        <v>25</v>
      </c>
      <c r="C9" s="171" t="s">
        <v>127</v>
      </c>
      <c r="D9" s="169">
        <v>2100</v>
      </c>
      <c r="E9" s="169">
        <f>+D9</f>
        <v>2100</v>
      </c>
      <c r="J9" s="2"/>
    </row>
    <row r="10" spans="1:10" ht="15.75" customHeight="1">
      <c r="A10" s="46" t="s">
        <v>26</v>
      </c>
      <c r="C10" s="171" t="s">
        <v>128</v>
      </c>
      <c r="D10" s="169">
        <v>500</v>
      </c>
      <c r="E10" s="169">
        <f>+D10</f>
        <v>500</v>
      </c>
      <c r="J10" s="2"/>
    </row>
    <row r="11" spans="1:10" ht="15" customHeight="1">
      <c r="A11" s="46" t="s">
        <v>27</v>
      </c>
      <c r="C11" s="170" t="s">
        <v>129</v>
      </c>
      <c r="D11" s="169">
        <f>SUM(D13:D13)</f>
        <v>15214</v>
      </c>
      <c r="E11" s="169">
        <f>SUM(E12:E13)</f>
        <v>15183</v>
      </c>
      <c r="J11" s="2"/>
    </row>
    <row r="12" spans="1:10" ht="15" customHeight="1">
      <c r="A12" s="46" t="s">
        <v>28</v>
      </c>
      <c r="C12" s="171" t="s">
        <v>592</v>
      </c>
      <c r="E12" s="169">
        <v>7</v>
      </c>
      <c r="J12" s="2"/>
    </row>
    <row r="13" spans="1:10" ht="15" customHeight="1">
      <c r="A13" s="46" t="s">
        <v>29</v>
      </c>
      <c r="C13" s="171" t="s">
        <v>130</v>
      </c>
      <c r="D13" s="169">
        <v>15214</v>
      </c>
      <c r="E13" s="169">
        <v>15176</v>
      </c>
      <c r="J13" s="2"/>
    </row>
    <row r="14" spans="1:10" ht="15" customHeight="1">
      <c r="A14" s="46" t="s">
        <v>30</v>
      </c>
      <c r="C14" s="170" t="s">
        <v>131</v>
      </c>
      <c r="D14" s="169">
        <v>125000</v>
      </c>
      <c r="E14" s="169">
        <v>124757</v>
      </c>
      <c r="J14" s="2"/>
    </row>
    <row r="15" spans="1:10" ht="15" customHeight="1">
      <c r="A15" s="46" t="s">
        <v>31</v>
      </c>
      <c r="C15" s="170" t="s">
        <v>132</v>
      </c>
      <c r="D15" s="169">
        <v>3</v>
      </c>
      <c r="E15" s="169">
        <v>15</v>
      </c>
      <c r="J15" s="2"/>
    </row>
    <row r="16" spans="1:10" ht="15" customHeight="1">
      <c r="A16" s="46" t="s">
        <v>32</v>
      </c>
      <c r="C16" s="170" t="s">
        <v>133</v>
      </c>
      <c r="D16" s="169">
        <v>2561</v>
      </c>
      <c r="E16" s="169">
        <v>7383</v>
      </c>
      <c r="J16" s="2"/>
    </row>
    <row r="17" spans="1:10" ht="29.25" customHeight="1">
      <c r="A17" s="46" t="s">
        <v>33</v>
      </c>
      <c r="C17" s="176" t="s">
        <v>459</v>
      </c>
      <c r="D17" s="169">
        <f>SUM(D18:D19)</f>
        <v>47550</v>
      </c>
      <c r="E17" s="169">
        <f>SUM(E18:E19)</f>
        <v>46811</v>
      </c>
      <c r="F17" s="46"/>
      <c r="J17" s="2"/>
    </row>
    <row r="18" spans="1:10" ht="36.75" customHeight="1">
      <c r="A18" s="46" t="s">
        <v>34</v>
      </c>
      <c r="C18" s="182" t="s">
        <v>607</v>
      </c>
      <c r="D18" s="169">
        <v>10061</v>
      </c>
      <c r="E18" s="169">
        <v>7922</v>
      </c>
      <c r="F18" s="46"/>
      <c r="J18" s="2"/>
    </row>
    <row r="19" spans="1:10" ht="15.75">
      <c r="A19" s="46" t="s">
        <v>35</v>
      </c>
      <c r="C19" s="182" t="s">
        <v>317</v>
      </c>
      <c r="D19" s="169">
        <f>42000-69-1-8096-1-2000-2092+400+6500+2057+1+4029+235-718+1500-4000-4000+1816-72</f>
        <v>37489</v>
      </c>
      <c r="E19" s="169">
        <f>+D19+400+1000</f>
        <v>38889</v>
      </c>
      <c r="F19" s="46"/>
      <c r="J19" s="2"/>
    </row>
    <row r="20" spans="1:10" ht="15" customHeight="1">
      <c r="A20" s="46" t="s">
        <v>36</v>
      </c>
      <c r="C20" s="170" t="s">
        <v>134</v>
      </c>
      <c r="D20" s="169">
        <v>2500</v>
      </c>
      <c r="E20" s="169">
        <f>1813+44</f>
        <v>1857</v>
      </c>
      <c r="F20" s="46"/>
      <c r="J20" s="2"/>
    </row>
    <row r="21" spans="1:10" ht="15" customHeight="1">
      <c r="A21" s="46" t="s">
        <v>37</v>
      </c>
      <c r="C21" s="170" t="s">
        <v>591</v>
      </c>
      <c r="E21" s="169">
        <v>199</v>
      </c>
      <c r="F21" s="46"/>
      <c r="J21" s="2"/>
    </row>
    <row r="22" spans="1:10" ht="15" customHeight="1">
      <c r="A22" s="46" t="s">
        <v>38</v>
      </c>
      <c r="C22" s="170" t="s">
        <v>593</v>
      </c>
      <c r="E22" s="169">
        <v>1902</v>
      </c>
      <c r="F22" s="46"/>
      <c r="J22" s="2"/>
    </row>
    <row r="23" spans="6:10" ht="15.75" customHeight="1">
      <c r="F23" s="46"/>
      <c r="J23" s="2"/>
    </row>
    <row r="24" spans="1:13" s="6" customFormat="1" ht="15" customHeight="1">
      <c r="A24" s="6" t="s">
        <v>39</v>
      </c>
      <c r="B24" s="6" t="s">
        <v>135</v>
      </c>
      <c r="C24" s="25"/>
      <c r="D24" s="8">
        <f>+D25+D26</f>
        <v>9964</v>
      </c>
      <c r="E24" s="8">
        <f>+E25+E26</f>
        <v>9917</v>
      </c>
      <c r="K24" s="46"/>
      <c r="L24" s="46"/>
      <c r="M24" s="46"/>
    </row>
    <row r="25" spans="1:10" ht="15" customHeight="1">
      <c r="A25" s="46" t="s">
        <v>42</v>
      </c>
      <c r="C25" s="170" t="s">
        <v>136</v>
      </c>
      <c r="D25" s="46">
        <v>9814</v>
      </c>
      <c r="E25" s="46">
        <v>9712</v>
      </c>
      <c r="J25" s="6"/>
    </row>
    <row r="26" spans="1:10" ht="15" customHeight="1">
      <c r="A26" s="46" t="s">
        <v>45</v>
      </c>
      <c r="C26" s="170" t="s">
        <v>137</v>
      </c>
      <c r="D26" s="169">
        <v>150</v>
      </c>
      <c r="E26" s="169">
        <v>205</v>
      </c>
      <c r="J26" s="6"/>
    </row>
    <row r="27" ht="6" customHeight="1">
      <c r="J27" s="6"/>
    </row>
    <row r="28" spans="1:13" s="6" customFormat="1" ht="15" customHeight="1">
      <c r="A28" s="6" t="s">
        <v>46</v>
      </c>
      <c r="B28" s="6" t="s">
        <v>138</v>
      </c>
      <c r="C28" s="25"/>
      <c r="D28" s="8">
        <f>SUM(D29:D29)</f>
        <v>251961.524</v>
      </c>
      <c r="E28" s="8">
        <f>SUM(E29:E59)-E31-E42-E45-E48-E56-E30</f>
        <v>503179.524</v>
      </c>
      <c r="L28" s="46"/>
      <c r="M28" s="46"/>
    </row>
    <row r="29" spans="1:10" ht="15" customHeight="1">
      <c r="A29" s="46" t="s">
        <v>47</v>
      </c>
      <c r="C29" s="170" t="s">
        <v>10</v>
      </c>
      <c r="D29" s="169">
        <f>+'10_mell'!L44</f>
        <v>251961.524</v>
      </c>
      <c r="E29" s="169">
        <f>+D29-72</f>
        <v>251889.524</v>
      </c>
      <c r="J29" s="2"/>
    </row>
    <row r="30" spans="1:10" ht="15" customHeight="1">
      <c r="A30" s="46" t="s">
        <v>48</v>
      </c>
      <c r="C30" s="170" t="s">
        <v>514</v>
      </c>
      <c r="D30" s="593"/>
      <c r="E30" s="169">
        <f>+E31+E42</f>
        <v>21600</v>
      </c>
      <c r="J30" s="2"/>
    </row>
    <row r="31" spans="1:10" ht="15" customHeight="1">
      <c r="A31" s="46" t="s">
        <v>49</v>
      </c>
      <c r="C31" s="594" t="s">
        <v>548</v>
      </c>
      <c r="D31" s="593"/>
      <c r="E31" s="599">
        <f>SUM(E32:E41)</f>
        <v>18693</v>
      </c>
      <c r="J31" s="2"/>
    </row>
    <row r="32" spans="1:10" ht="15" customHeight="1">
      <c r="A32" s="46" t="s">
        <v>50</v>
      </c>
      <c r="C32" s="170" t="s">
        <v>515</v>
      </c>
      <c r="E32" s="169">
        <v>7345</v>
      </c>
      <c r="J32" s="2"/>
    </row>
    <row r="33" spans="1:10" ht="15" customHeight="1">
      <c r="A33" s="46" t="s">
        <v>51</v>
      </c>
      <c r="C33" s="170" t="s">
        <v>516</v>
      </c>
      <c r="E33" s="169">
        <v>1063</v>
      </c>
      <c r="J33" s="2"/>
    </row>
    <row r="34" spans="1:10" ht="15" customHeight="1">
      <c r="A34" s="46" t="s">
        <v>52</v>
      </c>
      <c r="C34" s="170" t="s">
        <v>550</v>
      </c>
      <c r="E34" s="46">
        <v>179</v>
      </c>
      <c r="J34" s="2"/>
    </row>
    <row r="35" spans="1:10" ht="15" customHeight="1">
      <c r="A35" s="46" t="s">
        <v>53</v>
      </c>
      <c r="C35" s="170" t="s">
        <v>523</v>
      </c>
      <c r="E35" s="169">
        <f>7366-114</f>
        <v>7252</v>
      </c>
      <c r="J35" s="2"/>
    </row>
    <row r="36" spans="1:10" ht="15" customHeight="1">
      <c r="A36" s="46" t="s">
        <v>54</v>
      </c>
      <c r="C36" s="170" t="s">
        <v>553</v>
      </c>
      <c r="E36" s="169">
        <v>826</v>
      </c>
      <c r="J36" s="2"/>
    </row>
    <row r="37" spans="1:10" ht="15" customHeight="1">
      <c r="A37" s="46" t="s">
        <v>55</v>
      </c>
      <c r="C37" s="170" t="s">
        <v>572</v>
      </c>
      <c r="E37" s="169">
        <v>1000</v>
      </c>
      <c r="J37" s="2"/>
    </row>
    <row r="38" spans="1:10" ht="15" customHeight="1">
      <c r="A38" s="46" t="s">
        <v>56</v>
      </c>
      <c r="C38" s="170" t="s">
        <v>603</v>
      </c>
      <c r="E38" s="169">
        <v>165</v>
      </c>
      <c r="J38" s="2"/>
    </row>
    <row r="39" spans="1:10" ht="15" customHeight="1">
      <c r="A39" s="46" t="s">
        <v>470</v>
      </c>
      <c r="C39" s="170" t="s">
        <v>604</v>
      </c>
      <c r="E39" s="169">
        <v>15</v>
      </c>
      <c r="J39" s="2"/>
    </row>
    <row r="40" spans="1:10" ht="15" customHeight="1">
      <c r="A40" s="46" t="s">
        <v>471</v>
      </c>
      <c r="C40" s="170" t="s">
        <v>606</v>
      </c>
      <c r="E40" s="169">
        <v>72</v>
      </c>
      <c r="J40" s="2"/>
    </row>
    <row r="41" spans="1:10" ht="15" customHeight="1">
      <c r="A41" s="46" t="s">
        <v>472</v>
      </c>
      <c r="C41" s="170" t="s">
        <v>605</v>
      </c>
      <c r="E41" s="169">
        <v>776</v>
      </c>
      <c r="J41" s="2"/>
    </row>
    <row r="42" spans="1:10" ht="15" customHeight="1">
      <c r="A42" s="46" t="s">
        <v>491</v>
      </c>
      <c r="C42" s="594" t="s">
        <v>549</v>
      </c>
      <c r="E42" s="4">
        <f>SUM(E43:E44)</f>
        <v>2907</v>
      </c>
      <c r="J42" s="2"/>
    </row>
    <row r="43" spans="1:10" ht="15" customHeight="1">
      <c r="A43" s="46" t="s">
        <v>504</v>
      </c>
      <c r="C43" s="170" t="s">
        <v>522</v>
      </c>
      <c r="E43" s="169">
        <v>408</v>
      </c>
      <c r="J43" s="2"/>
    </row>
    <row r="44" spans="1:10" ht="15" customHeight="1">
      <c r="A44" s="46" t="s">
        <v>608</v>
      </c>
      <c r="C44" s="170" t="s">
        <v>602</v>
      </c>
      <c r="E44" s="169">
        <v>2499</v>
      </c>
      <c r="J44" s="2"/>
    </row>
    <row r="45" spans="1:10" ht="15" customHeight="1">
      <c r="A45" s="46" t="s">
        <v>609</v>
      </c>
      <c r="C45" s="170" t="s">
        <v>517</v>
      </c>
      <c r="D45" s="593"/>
      <c r="E45" s="599">
        <f>SUM(E46:E47)</f>
        <v>128309</v>
      </c>
      <c r="J45" s="2"/>
    </row>
    <row r="46" spans="1:10" ht="15" customHeight="1">
      <c r="A46" s="46" t="s">
        <v>529</v>
      </c>
      <c r="C46" s="170" t="s">
        <v>525</v>
      </c>
      <c r="E46" s="169">
        <f>84005+26912+16962</f>
        <v>127879</v>
      </c>
      <c r="J46" s="2"/>
    </row>
    <row r="47" spans="1:10" ht="15" customHeight="1">
      <c r="A47" s="46" t="s">
        <v>530</v>
      </c>
      <c r="C47" s="170" t="s">
        <v>632</v>
      </c>
      <c r="E47" s="169">
        <v>430</v>
      </c>
      <c r="J47" s="2"/>
    </row>
    <row r="48" spans="1:10" ht="15" customHeight="1">
      <c r="A48" s="46" t="s">
        <v>531</v>
      </c>
      <c r="C48" s="170" t="s">
        <v>546</v>
      </c>
      <c r="E48" s="4">
        <f>SUM(E49:E50)</f>
        <v>10068</v>
      </c>
      <c r="J48" s="2"/>
    </row>
    <row r="49" spans="1:10" ht="15" customHeight="1">
      <c r="A49" s="46" t="s">
        <v>532</v>
      </c>
      <c r="C49" s="170" t="s">
        <v>551</v>
      </c>
      <c r="E49" s="169">
        <f>5781+1156</f>
        <v>6937</v>
      </c>
      <c r="J49" s="2"/>
    </row>
    <row r="50" spans="1:10" ht="15" customHeight="1">
      <c r="A50" s="46" t="s">
        <v>533</v>
      </c>
      <c r="C50" s="170" t="s">
        <v>552</v>
      </c>
      <c r="E50" s="169">
        <f>2348+783</f>
        <v>3131</v>
      </c>
      <c r="J50" s="2"/>
    </row>
    <row r="51" spans="1:10" ht="15" customHeight="1">
      <c r="A51" s="6" t="s">
        <v>354</v>
      </c>
      <c r="C51" s="25"/>
      <c r="D51" s="4" t="s">
        <v>122</v>
      </c>
      <c r="E51" s="4" t="s">
        <v>122</v>
      </c>
      <c r="J51" s="2"/>
    </row>
    <row r="52" spans="1:10" ht="15" customHeight="1">
      <c r="A52" s="167" t="s">
        <v>242</v>
      </c>
      <c r="C52" s="168"/>
      <c r="D52" s="4" t="s">
        <v>72</v>
      </c>
      <c r="E52" s="4" t="s">
        <v>486</v>
      </c>
      <c r="J52" s="2"/>
    </row>
    <row r="53" spans="1:10" ht="15" customHeight="1">
      <c r="A53" s="167"/>
      <c r="C53" s="168"/>
      <c r="D53" s="4"/>
      <c r="E53" s="4"/>
      <c r="J53" s="2"/>
    </row>
    <row r="54" spans="1:10" ht="15" customHeight="1">
      <c r="A54" s="2" t="s">
        <v>11</v>
      </c>
      <c r="B54" s="2" t="s">
        <v>12</v>
      </c>
      <c r="C54" s="20" t="s">
        <v>13</v>
      </c>
      <c r="D54" s="4" t="s">
        <v>14</v>
      </c>
      <c r="E54" s="4" t="s">
        <v>15</v>
      </c>
      <c r="J54" s="2"/>
    </row>
    <row r="55" ht="15" customHeight="1">
      <c r="J55" s="2"/>
    </row>
    <row r="56" spans="1:10" ht="15.75">
      <c r="A56" s="46" t="s">
        <v>534</v>
      </c>
      <c r="C56" s="170" t="s">
        <v>547</v>
      </c>
      <c r="E56" s="4">
        <f>+E57+E58</f>
        <v>12517</v>
      </c>
      <c r="J56" s="2"/>
    </row>
    <row r="57" spans="1:10" ht="15.75">
      <c r="A57" s="46" t="s">
        <v>535</v>
      </c>
      <c r="C57" s="170" t="s">
        <v>598</v>
      </c>
      <c r="E57" s="169">
        <f>3248+3039</f>
        <v>6287</v>
      </c>
      <c r="J57" s="2"/>
    </row>
    <row r="58" spans="1:10" ht="15.75">
      <c r="A58" s="46" t="s">
        <v>536</v>
      </c>
      <c r="C58" s="170" t="s">
        <v>526</v>
      </c>
      <c r="E58" s="169">
        <f>3186+1144+1874+802-776</f>
        <v>6230</v>
      </c>
      <c r="J58" s="2"/>
    </row>
    <row r="59" spans="1:10" ht="15.75">
      <c r="A59" s="46" t="s">
        <v>537</v>
      </c>
      <c r="C59" s="46" t="s">
        <v>601</v>
      </c>
      <c r="E59" s="46">
        <f>29654+49142</f>
        <v>78796</v>
      </c>
      <c r="J59" s="2"/>
    </row>
    <row r="60" ht="15.75">
      <c r="J60" s="2"/>
    </row>
    <row r="61" spans="1:5" ht="14.25" customHeight="1">
      <c r="A61" s="46" t="s">
        <v>538</v>
      </c>
      <c r="B61" s="6" t="s">
        <v>139</v>
      </c>
      <c r="C61" s="25"/>
      <c r="D61" s="8">
        <f>+D66+D93</f>
        <v>198097</v>
      </c>
      <c r="E61" s="8">
        <f>+E66+E93</f>
        <v>414924</v>
      </c>
    </row>
    <row r="62" spans="2:5" ht="0.75" customHeight="1" hidden="1">
      <c r="B62" s="6"/>
      <c r="C62" s="25"/>
      <c r="D62" s="8"/>
      <c r="E62" s="8"/>
    </row>
    <row r="63" spans="2:5" ht="0.75" customHeight="1" hidden="1">
      <c r="B63" s="6"/>
      <c r="C63" s="25" t="s">
        <v>512</v>
      </c>
      <c r="D63" s="8"/>
      <c r="E63" s="8"/>
    </row>
    <row r="64" spans="2:5" ht="15.75" hidden="1">
      <c r="B64" s="6"/>
      <c r="C64" s="25" t="s">
        <v>513</v>
      </c>
      <c r="D64" s="8"/>
      <c r="E64" s="8"/>
    </row>
    <row r="65" spans="2:5" ht="15.75">
      <c r="B65" s="6"/>
      <c r="C65" s="25"/>
      <c r="D65" s="8"/>
      <c r="E65" s="8"/>
    </row>
    <row r="66" spans="1:5" ht="15" customHeight="1">
      <c r="A66" s="46" t="s">
        <v>539</v>
      </c>
      <c r="B66" s="6"/>
      <c r="C66" s="174" t="s">
        <v>140</v>
      </c>
      <c r="D66" s="172">
        <f>SUM(D67:D73)</f>
        <v>198097</v>
      </c>
      <c r="E66" s="172">
        <f>SUM(E67:E92)</f>
        <v>375159</v>
      </c>
    </row>
    <row r="67" spans="1:5" ht="15" customHeight="1">
      <c r="A67" s="46" t="s">
        <v>540</v>
      </c>
      <c r="C67" s="170" t="s">
        <v>141</v>
      </c>
      <c r="D67" s="169">
        <v>34000</v>
      </c>
      <c r="E67" s="169">
        <f>+D67-1603</f>
        <v>32397</v>
      </c>
    </row>
    <row r="68" spans="1:5" ht="15" customHeight="1">
      <c r="A68" s="46" t="s">
        <v>541</v>
      </c>
      <c r="C68" s="170" t="s">
        <v>142</v>
      </c>
      <c r="D68" s="169">
        <v>146826</v>
      </c>
      <c r="E68" s="169">
        <f>+D68-84005-26912-16962-18947</f>
        <v>0</v>
      </c>
    </row>
    <row r="69" spans="1:5" ht="15" customHeight="1">
      <c r="A69" s="46" t="s">
        <v>542</v>
      </c>
      <c r="C69" s="170" t="s">
        <v>143</v>
      </c>
      <c r="D69" s="169">
        <v>600</v>
      </c>
      <c r="E69" s="169">
        <f>+D69+150</f>
        <v>750</v>
      </c>
    </row>
    <row r="70" spans="1:5" ht="15" customHeight="1">
      <c r="A70" s="46" t="s">
        <v>543</v>
      </c>
      <c r="C70" s="170" t="s">
        <v>144</v>
      </c>
      <c r="D70" s="169">
        <v>3000</v>
      </c>
      <c r="E70" s="169">
        <f>+D70+1825</f>
        <v>4825</v>
      </c>
    </row>
    <row r="71" spans="1:5" ht="15" customHeight="1">
      <c r="A71" s="46" t="s">
        <v>544</v>
      </c>
      <c r="C71" s="170" t="s">
        <v>145</v>
      </c>
      <c r="D71" s="169">
        <v>8000</v>
      </c>
      <c r="E71" s="169">
        <f>+D71</f>
        <v>8000</v>
      </c>
    </row>
    <row r="72" spans="1:5" ht="15" customHeight="1">
      <c r="A72" s="46" t="s">
        <v>545</v>
      </c>
      <c r="C72" s="170" t="s">
        <v>311</v>
      </c>
      <c r="D72" s="169">
        <v>5671</v>
      </c>
      <c r="E72" s="169">
        <f>+D72-5671</f>
        <v>0</v>
      </c>
    </row>
    <row r="73" spans="1:5" ht="15" customHeight="1">
      <c r="A73" s="46" t="s">
        <v>559</v>
      </c>
      <c r="C73" s="176" t="s">
        <v>494</v>
      </c>
      <c r="E73" s="169">
        <f>20+400-420</f>
        <v>0</v>
      </c>
    </row>
    <row r="74" spans="1:5" ht="15" customHeight="1">
      <c r="A74" s="46" t="s">
        <v>560</v>
      </c>
      <c r="C74" s="176" t="s">
        <v>507</v>
      </c>
      <c r="E74" s="169">
        <f>+3_mell!G35</f>
        <v>3726</v>
      </c>
    </row>
    <row r="75" spans="1:5" ht="15" customHeight="1">
      <c r="A75" s="46" t="s">
        <v>561</v>
      </c>
      <c r="C75" s="176" t="s">
        <v>307</v>
      </c>
      <c r="E75" s="169">
        <f>93588-6500+66445+129114</f>
        <v>282647</v>
      </c>
    </row>
    <row r="76" spans="1:5" ht="33" customHeight="1">
      <c r="A76" s="46" t="s">
        <v>562</v>
      </c>
      <c r="C76" s="176" t="s">
        <v>528</v>
      </c>
      <c r="E76" s="169">
        <v>384</v>
      </c>
    </row>
    <row r="77" spans="1:5" ht="33" customHeight="1">
      <c r="A77" s="46" t="s">
        <v>563</v>
      </c>
      <c r="C77" s="176" t="s">
        <v>527</v>
      </c>
      <c r="E77" s="169">
        <f>9981+11548+3861</f>
        <v>25390</v>
      </c>
    </row>
    <row r="78" spans="1:5" ht="33" customHeight="1">
      <c r="A78" s="46" t="s">
        <v>564</v>
      </c>
      <c r="C78" s="176" t="s">
        <v>586</v>
      </c>
      <c r="E78" s="169">
        <v>2397</v>
      </c>
    </row>
    <row r="79" spans="1:5" ht="15" customHeight="1">
      <c r="A79" s="46" t="s">
        <v>565</v>
      </c>
      <c r="C79" s="176" t="s">
        <v>509</v>
      </c>
      <c r="E79" s="169">
        <f>39+19+21</f>
        <v>79</v>
      </c>
    </row>
    <row r="80" spans="1:5" ht="15">
      <c r="A80" s="46" t="s">
        <v>574</v>
      </c>
      <c r="C80" s="176" t="s">
        <v>521</v>
      </c>
      <c r="E80" s="169">
        <f>224+2227</f>
        <v>2451</v>
      </c>
    </row>
    <row r="81" spans="1:5" ht="13.5" customHeight="1">
      <c r="A81" s="46" t="s">
        <v>575</v>
      </c>
      <c r="C81" s="176" t="s">
        <v>524</v>
      </c>
      <c r="E81" s="169">
        <v>2000</v>
      </c>
    </row>
    <row r="82" spans="1:5" ht="15">
      <c r="A82" s="46" t="s">
        <v>576</v>
      </c>
      <c r="C82" s="176" t="s">
        <v>583</v>
      </c>
      <c r="E82" s="169">
        <v>250</v>
      </c>
    </row>
    <row r="83" spans="1:5" ht="15">
      <c r="A83" s="46" t="s">
        <v>577</v>
      </c>
      <c r="C83" s="176" t="s">
        <v>555</v>
      </c>
      <c r="E83" s="169">
        <f>3248-3248</f>
        <v>0</v>
      </c>
    </row>
    <row r="84" spans="1:5" ht="15">
      <c r="A84" s="46" t="s">
        <v>610</v>
      </c>
      <c r="C84" s="176" t="s">
        <v>569</v>
      </c>
      <c r="E84" s="169">
        <v>4878</v>
      </c>
    </row>
    <row r="85" spans="1:5" ht="15">
      <c r="A85" s="46" t="s">
        <v>611</v>
      </c>
      <c r="C85" s="176" t="s">
        <v>579</v>
      </c>
      <c r="E85" s="169">
        <v>744</v>
      </c>
    </row>
    <row r="86" spans="1:5" ht="28.5">
      <c r="A86" s="46" t="s">
        <v>612</v>
      </c>
      <c r="C86" s="176" t="s">
        <v>580</v>
      </c>
      <c r="E86" s="169">
        <v>395</v>
      </c>
    </row>
    <row r="87" spans="1:5" ht="30">
      <c r="A87" s="46" t="s">
        <v>613</v>
      </c>
      <c r="C87" s="51" t="s">
        <v>581</v>
      </c>
      <c r="E87" s="169">
        <v>454</v>
      </c>
    </row>
    <row r="88" spans="1:5" ht="15">
      <c r="A88" s="46" t="s">
        <v>614</v>
      </c>
      <c r="C88" s="176" t="s">
        <v>582</v>
      </c>
      <c r="E88" s="169">
        <v>1787</v>
      </c>
    </row>
    <row r="89" spans="1:5" ht="15">
      <c r="A89" s="46" t="s">
        <v>615</v>
      </c>
      <c r="C89" s="176" t="s">
        <v>587</v>
      </c>
      <c r="E89" s="169">
        <v>744</v>
      </c>
    </row>
    <row r="90" spans="1:5" ht="28.5">
      <c r="A90" s="46" t="s">
        <v>616</v>
      </c>
      <c r="C90" s="176" t="s">
        <v>599</v>
      </c>
      <c r="E90" s="169">
        <v>858</v>
      </c>
    </row>
    <row r="91" spans="1:5" ht="15">
      <c r="A91" s="46" t="s">
        <v>617</v>
      </c>
      <c r="C91" s="176" t="s">
        <v>600</v>
      </c>
      <c r="E91" s="169">
        <v>3</v>
      </c>
    </row>
    <row r="92" ht="15" customHeight="1">
      <c r="C92" s="176"/>
    </row>
    <row r="93" spans="1:10" ht="15" customHeight="1">
      <c r="A93" s="46" t="s">
        <v>618</v>
      </c>
      <c r="C93" s="174" t="s">
        <v>146</v>
      </c>
      <c r="D93" s="172">
        <f>SUM(D102:D102)</f>
        <v>0</v>
      </c>
      <c r="E93" s="8">
        <f>SUM(E94:E97)</f>
        <v>39765</v>
      </c>
      <c r="F93" s="173"/>
      <c r="G93" s="173"/>
      <c r="H93" s="173"/>
      <c r="I93" s="173"/>
      <c r="J93" s="173"/>
    </row>
    <row r="94" spans="1:10" ht="15" customHeight="1">
      <c r="A94" s="46" t="s">
        <v>619</v>
      </c>
      <c r="C94" s="170" t="str">
        <f>+8_mell!B9</f>
        <v>Szennyvízberuházáshoz EU forrás (KEOP-7.1.0/11)</v>
      </c>
      <c r="D94" s="172"/>
      <c r="E94" s="49">
        <f>11700-2499</f>
        <v>9201</v>
      </c>
      <c r="F94" s="173"/>
      <c r="G94" s="173"/>
      <c r="H94" s="173"/>
      <c r="I94" s="173"/>
      <c r="J94" s="173"/>
    </row>
    <row r="95" spans="1:10" ht="15" customHeight="1">
      <c r="A95" s="46" t="s">
        <v>620</v>
      </c>
      <c r="C95" s="170" t="s">
        <v>573</v>
      </c>
      <c r="D95" s="172"/>
      <c r="E95" s="49">
        <f>16575+2295</f>
        <v>18870</v>
      </c>
      <c r="F95" s="173"/>
      <c r="G95" s="173"/>
      <c r="H95" s="173"/>
      <c r="I95" s="173"/>
      <c r="J95" s="173"/>
    </row>
    <row r="96" spans="1:10" ht="15" customHeight="1">
      <c r="A96" s="46" t="s">
        <v>621</v>
      </c>
      <c r="C96" s="176" t="s">
        <v>307</v>
      </c>
      <c r="D96" s="172"/>
      <c r="E96" s="49">
        <f>6500+2000+72</f>
        <v>8572</v>
      </c>
      <c r="F96" s="173"/>
      <c r="G96" s="173"/>
      <c r="H96" s="173"/>
      <c r="I96" s="173"/>
      <c r="J96" s="173"/>
    </row>
    <row r="97" spans="1:10" ht="15" customHeight="1">
      <c r="A97" s="46" t="s">
        <v>622</v>
      </c>
      <c r="C97" s="176" t="s">
        <v>569</v>
      </c>
      <c r="D97" s="172"/>
      <c r="E97" s="49">
        <v>3122</v>
      </c>
      <c r="F97" s="173"/>
      <c r="G97" s="173"/>
      <c r="H97" s="173"/>
      <c r="I97" s="173"/>
      <c r="J97" s="173"/>
    </row>
    <row r="98" spans="1:10" ht="15" customHeight="1">
      <c r="A98" s="6" t="s">
        <v>354</v>
      </c>
      <c r="C98" s="25"/>
      <c r="D98" s="4" t="s">
        <v>122</v>
      </c>
      <c r="E98" s="4" t="s">
        <v>122</v>
      </c>
      <c r="J98" s="2"/>
    </row>
    <row r="99" spans="1:10" ht="15" customHeight="1">
      <c r="A99" s="167" t="s">
        <v>242</v>
      </c>
      <c r="C99" s="168"/>
      <c r="D99" s="4" t="s">
        <v>72</v>
      </c>
      <c r="E99" s="4" t="s">
        <v>486</v>
      </c>
      <c r="J99" s="2"/>
    </row>
    <row r="100" spans="1:10" ht="15" customHeight="1">
      <c r="A100" s="167"/>
      <c r="C100" s="168"/>
      <c r="D100" s="4"/>
      <c r="E100" s="4"/>
      <c r="J100" s="2"/>
    </row>
    <row r="101" spans="1:10" ht="15" customHeight="1">
      <c r="A101" s="2" t="s">
        <v>11</v>
      </c>
      <c r="B101" s="2" t="s">
        <v>12</v>
      </c>
      <c r="C101" s="20" t="s">
        <v>13</v>
      </c>
      <c r="D101" s="4" t="s">
        <v>14</v>
      </c>
      <c r="E101" s="4" t="s">
        <v>15</v>
      </c>
      <c r="J101" s="2"/>
    </row>
    <row r="103" spans="1:11" ht="15" customHeight="1">
      <c r="A103" s="46" t="s">
        <v>623</v>
      </c>
      <c r="B103" s="6" t="s">
        <v>147</v>
      </c>
      <c r="C103" s="25"/>
      <c r="D103" s="4">
        <f>SUM(D104:D104)</f>
        <v>150</v>
      </c>
      <c r="E103" s="4">
        <f>SUM(E104:E104)</f>
        <v>144</v>
      </c>
      <c r="F103" s="2"/>
      <c r="G103" s="2"/>
      <c r="H103" s="2"/>
      <c r="I103" s="2"/>
      <c r="J103" s="2"/>
      <c r="K103" s="6"/>
    </row>
    <row r="104" spans="1:11" ht="15" customHeight="1">
      <c r="A104" s="46" t="s">
        <v>624</v>
      </c>
      <c r="B104" s="6"/>
      <c r="C104" s="170" t="s">
        <v>148</v>
      </c>
      <c r="D104" s="169">
        <v>150</v>
      </c>
      <c r="E104" s="169">
        <f>+D104-6</f>
        <v>144</v>
      </c>
      <c r="F104" s="2"/>
      <c r="G104" s="2"/>
      <c r="H104" s="2"/>
      <c r="I104" s="2"/>
      <c r="J104" s="2"/>
      <c r="K104" s="6"/>
    </row>
    <row r="105" spans="2:11" ht="15" customHeight="1">
      <c r="B105" s="6"/>
      <c r="F105" s="2"/>
      <c r="G105" s="2"/>
      <c r="H105" s="2"/>
      <c r="I105" s="2"/>
      <c r="J105" s="2"/>
      <c r="K105" s="6"/>
    </row>
    <row r="106" spans="1:11" ht="15" customHeight="1">
      <c r="A106" s="46" t="s">
        <v>625</v>
      </c>
      <c r="B106" s="6" t="s">
        <v>195</v>
      </c>
      <c r="C106" s="25" t="s">
        <v>505</v>
      </c>
      <c r="D106" s="4"/>
      <c r="E106" s="4">
        <f>+3_mell!E35</f>
        <v>52782</v>
      </c>
      <c r="F106" s="2"/>
      <c r="G106" s="2"/>
      <c r="H106" s="2"/>
      <c r="I106" s="2"/>
      <c r="J106" s="2"/>
      <c r="K106" s="6"/>
    </row>
    <row r="107" spans="1:11" ht="15" customHeight="1">
      <c r="A107" s="46" t="s">
        <v>626</v>
      </c>
      <c r="B107" s="6"/>
      <c r="C107" s="170" t="s">
        <v>595</v>
      </c>
      <c r="D107" s="4"/>
      <c r="E107" s="169">
        <f>52782-12898</f>
        <v>39884</v>
      </c>
      <c r="F107" s="2"/>
      <c r="G107" s="2"/>
      <c r="H107" s="2"/>
      <c r="I107" s="2"/>
      <c r="J107" s="2"/>
      <c r="K107" s="6"/>
    </row>
    <row r="108" spans="1:11" ht="15" customHeight="1">
      <c r="A108" s="46" t="s">
        <v>627</v>
      </c>
      <c r="B108" s="6"/>
      <c r="C108" s="170" t="s">
        <v>596</v>
      </c>
      <c r="D108" s="4"/>
      <c r="E108" s="169">
        <v>12898</v>
      </c>
      <c r="F108" s="2"/>
      <c r="G108" s="2"/>
      <c r="H108" s="2"/>
      <c r="I108" s="2"/>
      <c r="J108" s="2"/>
      <c r="K108" s="6"/>
    </row>
    <row r="109" spans="2:11" ht="15" customHeight="1">
      <c r="B109" s="6"/>
      <c r="F109" s="2"/>
      <c r="G109" s="2"/>
      <c r="H109" s="2"/>
      <c r="I109" s="2"/>
      <c r="J109" s="2"/>
      <c r="K109" s="6"/>
    </row>
    <row r="110" spans="1:11" ht="15" customHeight="1">
      <c r="A110" s="6" t="s">
        <v>628</v>
      </c>
      <c r="B110" s="6" t="s">
        <v>149</v>
      </c>
      <c r="D110" s="4">
        <f>+D103+D61+D28+D24+D6</f>
        <v>767297.524</v>
      </c>
      <c r="E110" s="4">
        <f>+E103+E61+E28+E24+E6+E106</f>
        <v>1307640.524</v>
      </c>
      <c r="F110" s="2"/>
      <c r="G110" s="2"/>
      <c r="H110" s="2"/>
      <c r="I110" s="2"/>
      <c r="J110" s="2"/>
      <c r="K110" s="6"/>
    </row>
    <row r="111" spans="2:11" ht="15" customHeight="1">
      <c r="B111" s="6"/>
      <c r="F111" s="2"/>
      <c r="G111" s="2"/>
      <c r="H111" s="2"/>
      <c r="I111" s="2"/>
      <c r="J111" s="2"/>
      <c r="K111" s="6"/>
    </row>
    <row r="112" spans="1:11" ht="15" customHeight="1">
      <c r="A112" s="46" t="s">
        <v>629</v>
      </c>
      <c r="B112" s="6"/>
      <c r="C112" s="25" t="s">
        <v>506</v>
      </c>
      <c r="D112" s="4"/>
      <c r="E112" s="4">
        <f>31481+7324+40672+3453+1602-1063-6937-39-19+322+2000+1185+175+202+155+454+122+33+3119+1174+4735-1167-270-5474-3917+47+9261-13001-13089+2000+1121+6017-3039+94-21-858-3+420-150-1825-78796-66-802-783+3039+249+10863</f>
        <v>0</v>
      </c>
      <c r="F112" s="2"/>
      <c r="G112" s="2"/>
      <c r="H112" s="2"/>
      <c r="I112" s="2"/>
      <c r="J112" s="2"/>
      <c r="K112" s="6"/>
    </row>
    <row r="114" spans="3:10" s="6" customFormat="1" ht="6" customHeight="1">
      <c r="C114" s="25"/>
      <c r="D114" s="49"/>
      <c r="E114" s="49"/>
      <c r="F114" s="46"/>
      <c r="H114" s="166"/>
      <c r="I114" s="166"/>
      <c r="J114" s="166"/>
    </row>
    <row r="115" spans="1:10" s="6" customFormat="1" ht="15" customHeight="1">
      <c r="A115" s="6" t="s">
        <v>630</v>
      </c>
      <c r="B115" s="6" t="s">
        <v>150</v>
      </c>
      <c r="C115" s="25"/>
      <c r="D115" s="8">
        <f>+D110</f>
        <v>767297.524</v>
      </c>
      <c r="E115" s="8">
        <f>+E110+E112</f>
        <v>1307640.524</v>
      </c>
      <c r="F115" s="46"/>
      <c r="H115" s="166"/>
      <c r="I115" s="166"/>
      <c r="J115" s="166"/>
    </row>
    <row r="116" spans="1:5" ht="15" customHeight="1">
      <c r="A116" s="46" t="s">
        <v>631</v>
      </c>
      <c r="B116" s="46" t="s">
        <v>151</v>
      </c>
      <c r="D116" s="169">
        <f>+2_mell!D34</f>
        <v>767298</v>
      </c>
      <c r="E116" s="169">
        <f>+2_mell!E34</f>
        <v>1307641</v>
      </c>
    </row>
    <row r="117" spans="2:10" s="6" customFormat="1" ht="15" customHeight="1">
      <c r="B117" s="46"/>
      <c r="C117" s="170"/>
      <c r="D117" s="49"/>
      <c r="E117" s="49"/>
      <c r="F117" s="46"/>
      <c r="G117" s="166"/>
      <c r="H117" s="166"/>
      <c r="I117" s="166"/>
      <c r="J117" s="166"/>
    </row>
    <row r="118" spans="1:10" ht="15" customHeight="1">
      <c r="A118" s="6"/>
      <c r="D118" s="169">
        <f>+D116-D115</f>
        <v>0.4760000000242144</v>
      </c>
      <c r="E118" s="169">
        <f>+E116-E115</f>
        <v>0.4760000000242144</v>
      </c>
      <c r="F118" s="6"/>
      <c r="G118" s="6"/>
      <c r="H118" s="6"/>
      <c r="I118" s="6"/>
      <c r="J118" s="6"/>
    </row>
    <row r="120" spans="1:10" ht="15" customHeight="1">
      <c r="A120" s="6"/>
      <c r="B120" s="6"/>
      <c r="F120" s="46"/>
      <c r="G120" s="46"/>
      <c r="H120" s="46"/>
      <c r="I120" s="46"/>
      <c r="J120" s="46"/>
    </row>
    <row r="121" spans="4:9" ht="15" customHeight="1">
      <c r="D121" s="177"/>
      <c r="E121" s="177"/>
      <c r="F121" s="46"/>
      <c r="G121" s="178"/>
      <c r="H121" s="178"/>
      <c r="I121" s="178"/>
    </row>
    <row r="122" spans="4:9" ht="15" customHeight="1">
      <c r="D122" s="49"/>
      <c r="E122" s="49"/>
      <c r="F122" s="46"/>
      <c r="G122" s="178"/>
      <c r="H122" s="178"/>
      <c r="I122" s="178"/>
    </row>
    <row r="123" spans="4:6" ht="15" customHeight="1">
      <c r="D123" s="177"/>
      <c r="E123" s="177"/>
      <c r="F123" s="178"/>
    </row>
    <row r="124" ht="15" customHeight="1">
      <c r="B124" s="178"/>
    </row>
    <row r="125" spans="2:10" ht="15" customHeight="1">
      <c r="B125" s="178"/>
      <c r="F125" s="179"/>
      <c r="G125" s="179"/>
      <c r="H125" s="179"/>
      <c r="I125" s="179"/>
      <c r="J125" s="179"/>
    </row>
    <row r="126" spans="6:10" ht="15" customHeight="1">
      <c r="F126" s="179"/>
      <c r="G126" s="179"/>
      <c r="H126" s="179"/>
      <c r="I126" s="179"/>
      <c r="J126" s="179"/>
    </row>
    <row r="127" ht="15" customHeight="1">
      <c r="L127" s="6"/>
    </row>
    <row r="128" spans="6:10" ht="15" customHeight="1">
      <c r="F128" s="175"/>
      <c r="G128" s="179"/>
      <c r="H128" s="179"/>
      <c r="I128" s="179"/>
      <c r="J128" s="179"/>
    </row>
    <row r="131" spans="6:9" ht="15" customHeight="1">
      <c r="F131" s="179"/>
      <c r="G131" s="179"/>
      <c r="H131" s="179"/>
      <c r="I131" s="179"/>
    </row>
    <row r="145" ht="15" customHeight="1">
      <c r="C145" s="180"/>
    </row>
    <row r="146" ht="15" customHeight="1">
      <c r="C146" s="180"/>
    </row>
    <row r="150" ht="15" customHeight="1">
      <c r="C150" s="181"/>
    </row>
    <row r="151" ht="15" customHeight="1">
      <c r="C151" s="181"/>
    </row>
    <row r="152" ht="15" customHeight="1">
      <c r="C152" s="181"/>
    </row>
  </sheetData>
  <sheetProtection/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  <headerFooter alignWithMargins="0">
    <oddHeader>&amp;L1. melléklet a 2014. évi 4/2014.(II.28.) Önkormányzati költségvetési rendelethez&amp;R&amp;D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60" zoomScalePageLayoutView="0" workbookViewId="0" topLeftCell="A1">
      <selection activeCell="M55" sqref="M55"/>
    </sheetView>
  </sheetViews>
  <sheetFormatPr defaultColWidth="9.140625" defaultRowHeight="12.75"/>
  <cols>
    <col min="1" max="1" width="5.28125" style="0" customWidth="1"/>
    <col min="2" max="2" width="31.7109375" style="0" customWidth="1"/>
    <col min="3" max="3" width="13.57421875" style="0" customWidth="1"/>
    <col min="4" max="4" width="17.57421875" style="0" customWidth="1"/>
    <col min="5" max="5" width="38.421875" style="0" customWidth="1"/>
    <col min="6" max="6" width="13.00390625" style="0" customWidth="1"/>
    <col min="7" max="7" width="17.421875" style="0" customWidth="1"/>
  </cols>
  <sheetData>
    <row r="1" spans="1:7" ht="15.75">
      <c r="A1" s="686" t="s">
        <v>499</v>
      </c>
      <c r="B1" s="686"/>
      <c r="C1" s="686"/>
      <c r="D1" s="686"/>
      <c r="E1" s="686"/>
      <c r="F1" s="686"/>
      <c r="G1" s="686"/>
    </row>
    <row r="2" spans="1:7" ht="15.75">
      <c r="A2" t="s">
        <v>11</v>
      </c>
      <c r="B2" s="572" t="s">
        <v>469</v>
      </c>
      <c r="C2" s="572" t="s">
        <v>13</v>
      </c>
      <c r="D2" s="572" t="s">
        <v>14</v>
      </c>
      <c r="E2" s="572" t="s">
        <v>15</v>
      </c>
      <c r="F2" s="572" t="s">
        <v>16</v>
      </c>
      <c r="G2" s="580" t="s">
        <v>17</v>
      </c>
    </row>
    <row r="3" spans="1:7" ht="16.5" thickBot="1">
      <c r="A3" t="s">
        <v>20</v>
      </c>
      <c r="B3" s="202" t="s">
        <v>215</v>
      </c>
      <c r="C3" s="202"/>
      <c r="D3" s="202"/>
      <c r="E3" s="202" t="s">
        <v>216</v>
      </c>
      <c r="F3" s="203"/>
      <c r="G3" s="203"/>
    </row>
    <row r="4" spans="1:7" ht="15.75">
      <c r="A4" t="s">
        <v>22</v>
      </c>
      <c r="B4" s="204" t="s">
        <v>217</v>
      </c>
      <c r="C4" s="205" t="s">
        <v>77</v>
      </c>
      <c r="D4" s="205" t="s">
        <v>122</v>
      </c>
      <c r="E4" s="206" t="s">
        <v>217</v>
      </c>
      <c r="F4" s="150" t="s">
        <v>122</v>
      </c>
      <c r="G4" s="207" t="s">
        <v>122</v>
      </c>
    </row>
    <row r="5" spans="1:7" ht="15.75">
      <c r="A5" t="s">
        <v>24</v>
      </c>
      <c r="B5" s="205"/>
      <c r="C5" s="205" t="s">
        <v>72</v>
      </c>
      <c r="D5" s="205" t="s">
        <v>486</v>
      </c>
      <c r="E5" s="206"/>
      <c r="F5" s="207" t="s">
        <v>72</v>
      </c>
      <c r="G5" s="207" t="s">
        <v>486</v>
      </c>
    </row>
    <row r="6" spans="2:5" ht="15.75">
      <c r="B6" s="208"/>
      <c r="C6" s="208"/>
      <c r="D6" s="208"/>
      <c r="E6" s="209"/>
    </row>
    <row r="7" spans="1:10" ht="15.75">
      <c r="A7" t="s">
        <v>25</v>
      </c>
      <c r="B7" s="208" t="str">
        <f>+'[1]felh bev'!A35</f>
        <v>Felhalmozási bevételek összesen</v>
      </c>
      <c r="C7" s="210">
        <f>+8_mell!C16</f>
        <v>47700</v>
      </c>
      <c r="D7" s="210">
        <f>+8_mell!D16</f>
        <v>89225</v>
      </c>
      <c r="E7" s="209" t="s">
        <v>218</v>
      </c>
      <c r="F7" s="185">
        <f>+7_mell!C51</f>
        <v>0</v>
      </c>
      <c r="G7" s="185">
        <f>+7_mell!D51</f>
        <v>56738</v>
      </c>
      <c r="J7" s="185"/>
    </row>
    <row r="8" spans="1:7" ht="15.75">
      <c r="A8" t="s">
        <v>26</v>
      </c>
      <c r="B8" s="208"/>
      <c r="C8" s="210"/>
      <c r="D8" s="210"/>
      <c r="E8" s="209" t="s">
        <v>219</v>
      </c>
      <c r="F8">
        <f>+7_mell!C52</f>
        <v>0</v>
      </c>
      <c r="G8">
        <f>+7_mell!D52</f>
        <v>9806</v>
      </c>
    </row>
    <row r="9" spans="2:5" ht="15.75">
      <c r="B9" s="208"/>
      <c r="C9" s="210"/>
      <c r="D9" s="210"/>
      <c r="E9" s="209"/>
    </row>
    <row r="10" spans="1:7" ht="15.75">
      <c r="A10" t="s">
        <v>27</v>
      </c>
      <c r="B10" s="208"/>
      <c r="C10" s="210"/>
      <c r="D10" s="210"/>
      <c r="E10" s="209" t="s">
        <v>74</v>
      </c>
      <c r="F10" s="185">
        <f>+5_mell!C28</f>
        <v>3000</v>
      </c>
      <c r="G10" s="185">
        <f>+5_mell!D28</f>
        <v>3000</v>
      </c>
    </row>
    <row r="11" spans="2:5" ht="15.75">
      <c r="B11" s="208"/>
      <c r="C11" s="210"/>
      <c r="D11" s="210"/>
      <c r="E11" s="209"/>
    </row>
    <row r="12" spans="2:5" ht="15.75" hidden="1">
      <c r="B12" s="208"/>
      <c r="C12" s="210"/>
      <c r="D12" s="210"/>
      <c r="E12" s="209" t="s">
        <v>208</v>
      </c>
    </row>
    <row r="13" spans="2:5" ht="15.75">
      <c r="B13" s="208"/>
      <c r="C13" s="210"/>
      <c r="D13" s="210"/>
      <c r="E13" s="209"/>
    </row>
    <row r="14" spans="1:7" ht="15.75">
      <c r="A14" t="s">
        <v>28</v>
      </c>
      <c r="B14" s="208"/>
      <c r="C14" s="210"/>
      <c r="D14" s="210"/>
      <c r="E14" s="211" t="s">
        <v>438</v>
      </c>
      <c r="F14" s="185">
        <f>+'11_mell'!G18</f>
        <v>6450</v>
      </c>
      <c r="G14" s="185">
        <f>+F14</f>
        <v>6450</v>
      </c>
    </row>
    <row r="15" spans="1:7" ht="15.75">
      <c r="A15" t="s">
        <v>29</v>
      </c>
      <c r="B15" s="208"/>
      <c r="C15" s="210"/>
      <c r="D15" s="210"/>
      <c r="E15" s="209" t="s">
        <v>220</v>
      </c>
      <c r="F15" s="185">
        <f>+'11_mell'!G16</f>
        <v>7644</v>
      </c>
      <c r="G15" s="185">
        <f>+F15</f>
        <v>7644</v>
      </c>
    </row>
    <row r="16" spans="2:5" ht="15.75">
      <c r="B16" s="208"/>
      <c r="C16" s="210"/>
      <c r="D16" s="210"/>
      <c r="E16" s="211"/>
    </row>
    <row r="17" spans="1:7" ht="15.75">
      <c r="A17" t="s">
        <v>30</v>
      </c>
      <c r="B17" s="208"/>
      <c r="C17" s="210"/>
      <c r="D17" s="210"/>
      <c r="E17" s="209" t="s">
        <v>237</v>
      </c>
      <c r="F17" s="185">
        <f>+2_mell!D28</f>
        <v>1050</v>
      </c>
      <c r="G17" s="185">
        <f>+F17</f>
        <v>1050</v>
      </c>
    </row>
    <row r="18" spans="2:5" ht="15.75">
      <c r="B18" s="208"/>
      <c r="C18" s="210"/>
      <c r="D18" s="210"/>
      <c r="E18" s="209"/>
    </row>
    <row r="19" spans="1:7" ht="15.75">
      <c r="A19" t="s">
        <v>31</v>
      </c>
      <c r="B19" s="208"/>
      <c r="C19" s="210"/>
      <c r="D19" s="210"/>
      <c r="E19" s="209" t="s">
        <v>236</v>
      </c>
      <c r="F19" s="185">
        <f>+2_mell!D29+2_mell!D30</f>
        <v>24408</v>
      </c>
      <c r="G19" s="185">
        <f>+F19</f>
        <v>24408</v>
      </c>
    </row>
    <row r="20" spans="2:5" ht="15.75">
      <c r="B20" s="208"/>
      <c r="C20" s="210"/>
      <c r="D20" s="210"/>
      <c r="E20" s="212"/>
    </row>
    <row r="21" spans="2:5" ht="15.75">
      <c r="B21" s="208"/>
      <c r="C21" s="210"/>
      <c r="D21" s="210"/>
      <c r="E21" s="212"/>
    </row>
    <row r="22" spans="2:5" ht="15.75">
      <c r="B22" s="208"/>
      <c r="C22" s="210"/>
      <c r="D22" s="210"/>
      <c r="E22" s="212"/>
    </row>
    <row r="23" spans="2:5" ht="15.75">
      <c r="B23" s="208"/>
      <c r="C23" s="210"/>
      <c r="D23" s="210"/>
      <c r="E23" s="212"/>
    </row>
    <row r="24" spans="1:7" ht="15.75">
      <c r="A24" t="s">
        <v>32</v>
      </c>
      <c r="B24" s="204" t="s">
        <v>214</v>
      </c>
      <c r="C24" s="213">
        <f>SUM(C7:C23)</f>
        <v>47700</v>
      </c>
      <c r="D24" s="213">
        <f>SUM(D7:D23)</f>
        <v>89225</v>
      </c>
      <c r="E24" s="214" t="s">
        <v>221</v>
      </c>
      <c r="F24" s="215">
        <f>SUM(F7:F23)</f>
        <v>42552</v>
      </c>
      <c r="G24" s="215">
        <f>SUM(G7:G23)</f>
        <v>109096</v>
      </c>
    </row>
    <row r="25" spans="1:5" ht="15.75">
      <c r="A25" t="s">
        <v>33</v>
      </c>
      <c r="B25" s="216" t="s">
        <v>222</v>
      </c>
      <c r="C25" s="217">
        <f>+C24-F24</f>
        <v>5148</v>
      </c>
      <c r="D25" s="217">
        <f>+D24-G24</f>
        <v>-19871</v>
      </c>
      <c r="E25" s="214"/>
    </row>
    <row r="27" spans="1:4" ht="12.75">
      <c r="A27" t="s">
        <v>34</v>
      </c>
      <c r="B27" t="s">
        <v>223</v>
      </c>
      <c r="C27" s="218">
        <f>+C25</f>
        <v>5148</v>
      </c>
      <c r="D27" s="218">
        <f>+D25</f>
        <v>-19871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scale="86" r:id="rId1"/>
  <headerFooter alignWithMargins="0">
    <oddHeader>&amp;L9. melléklet a 2014. évi 4/2014.(II.28.) Önkormányzati költségvetési rendelethez&amp;R&amp;D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L44"/>
  <sheetViews>
    <sheetView view="pageBreakPreview" zoomScale="60" zoomScalePageLayoutView="0" workbookViewId="0" topLeftCell="A1">
      <selection activeCell="D9" sqref="D9:I9"/>
    </sheetView>
  </sheetViews>
  <sheetFormatPr defaultColWidth="9.140625" defaultRowHeight="12.75"/>
  <cols>
    <col min="2" max="2" width="3.28125" style="0" customWidth="1"/>
    <col min="3" max="3" width="9.7109375" style="0" customWidth="1"/>
    <col min="9" max="9" width="27.7109375" style="0" customWidth="1"/>
    <col min="10" max="10" width="7.57421875" style="0" customWidth="1"/>
    <col min="11" max="11" width="9.28125" style="0" bestFit="1" customWidth="1"/>
    <col min="12" max="12" width="17.421875" style="185" customWidth="1"/>
  </cols>
  <sheetData>
    <row r="2" ht="15.75">
      <c r="B2" s="441" t="s">
        <v>436</v>
      </c>
    </row>
    <row r="3" spans="1:12" ht="15">
      <c r="A3" t="s">
        <v>11</v>
      </c>
      <c r="B3" s="577" t="s">
        <v>12</v>
      </c>
      <c r="C3" t="s">
        <v>13</v>
      </c>
      <c r="D3" t="s">
        <v>14</v>
      </c>
      <c r="J3" s="278" t="s">
        <v>15</v>
      </c>
      <c r="K3" s="278" t="s">
        <v>16</v>
      </c>
      <c r="L3" s="600" t="s">
        <v>17</v>
      </c>
    </row>
    <row r="4" spans="1:12" ht="38.25">
      <c r="A4" t="s">
        <v>20</v>
      </c>
      <c r="B4" s="183" t="s">
        <v>153</v>
      </c>
      <c r="I4">
        <v>5992</v>
      </c>
      <c r="J4" s="184" t="s">
        <v>154</v>
      </c>
      <c r="K4" t="s">
        <v>155</v>
      </c>
      <c r="L4" s="185" t="s">
        <v>156</v>
      </c>
    </row>
    <row r="5" spans="1:9" ht="12.75">
      <c r="A5" t="s">
        <v>22</v>
      </c>
      <c r="B5" s="165" t="s">
        <v>157</v>
      </c>
      <c r="C5" s="165" t="s">
        <v>353</v>
      </c>
      <c r="D5" s="165"/>
      <c r="E5" s="165"/>
      <c r="F5" s="165"/>
      <c r="G5" s="165"/>
      <c r="H5" s="165"/>
      <c r="I5" s="165"/>
    </row>
    <row r="6" spans="1:12" ht="12.75">
      <c r="A6" t="s">
        <v>24</v>
      </c>
      <c r="C6" s="165" t="s">
        <v>158</v>
      </c>
      <c r="D6" s="165" t="s">
        <v>159</v>
      </c>
      <c r="E6" s="165"/>
      <c r="F6" s="165"/>
      <c r="G6" s="165"/>
      <c r="H6" s="165"/>
      <c r="I6" s="165"/>
      <c r="J6" s="165" t="s">
        <v>160</v>
      </c>
      <c r="K6" s="165"/>
      <c r="L6" s="186">
        <f>+L7</f>
        <v>105294200</v>
      </c>
    </row>
    <row r="7" spans="1:12" ht="27.75" customHeight="1">
      <c r="A7" t="s">
        <v>25</v>
      </c>
      <c r="D7" s="687" t="s">
        <v>191</v>
      </c>
      <c r="E7" s="687"/>
      <c r="F7" s="687"/>
      <c r="G7" s="687"/>
      <c r="H7" s="687"/>
      <c r="I7" s="687"/>
      <c r="J7" t="s">
        <v>160</v>
      </c>
      <c r="K7">
        <v>22.99</v>
      </c>
      <c r="L7" s="185">
        <v>105294200</v>
      </c>
    </row>
    <row r="8" spans="1:10" ht="27.75" customHeight="1">
      <c r="A8" t="s">
        <v>26</v>
      </c>
      <c r="D8" s="687" t="s">
        <v>161</v>
      </c>
      <c r="E8" s="687"/>
      <c r="F8" s="687"/>
      <c r="G8" s="687"/>
      <c r="H8" s="687"/>
      <c r="I8" s="687"/>
      <c r="J8" t="s">
        <v>160</v>
      </c>
    </row>
    <row r="9" spans="1:12" ht="35.25" customHeight="1">
      <c r="A9" t="s">
        <v>27</v>
      </c>
      <c r="B9" s="165"/>
      <c r="C9" s="165" t="s">
        <v>162</v>
      </c>
      <c r="D9" s="688" t="s">
        <v>163</v>
      </c>
      <c r="E9" s="688"/>
      <c r="F9" s="688"/>
      <c r="G9" s="688"/>
      <c r="H9" s="688"/>
      <c r="I9" s="688"/>
      <c r="J9" s="165" t="s">
        <v>160</v>
      </c>
      <c r="K9" s="165"/>
      <c r="L9" s="186">
        <f>+L10+L11+L12+L13</f>
        <v>46151979</v>
      </c>
    </row>
    <row r="10" spans="1:12" ht="27" customHeight="1">
      <c r="A10" t="s">
        <v>28</v>
      </c>
      <c r="D10" s="687" t="s">
        <v>460</v>
      </c>
      <c r="E10" s="687"/>
      <c r="F10" s="687"/>
      <c r="G10" s="687"/>
      <c r="H10" s="687"/>
      <c r="I10" s="687"/>
      <c r="J10" t="s">
        <v>160</v>
      </c>
      <c r="L10" s="185">
        <v>18930754</v>
      </c>
    </row>
    <row r="11" spans="1:12" ht="12.75">
      <c r="A11" t="s">
        <v>29</v>
      </c>
      <c r="D11" t="s">
        <v>164</v>
      </c>
      <c r="J11" t="s">
        <v>160</v>
      </c>
      <c r="L11" s="185">
        <v>24026765</v>
      </c>
    </row>
    <row r="12" spans="1:12" ht="27" customHeight="1">
      <c r="A12" t="s">
        <v>30</v>
      </c>
      <c r="D12" s="687" t="s">
        <v>165</v>
      </c>
      <c r="E12" s="687"/>
      <c r="F12" s="687"/>
      <c r="G12" s="687"/>
      <c r="H12" s="687"/>
      <c r="I12" s="687"/>
      <c r="J12" t="s">
        <v>160</v>
      </c>
      <c r="L12" s="185">
        <v>2825960</v>
      </c>
    </row>
    <row r="13" spans="1:12" ht="12.75">
      <c r="A13" t="s">
        <v>31</v>
      </c>
      <c r="D13" t="s">
        <v>166</v>
      </c>
      <c r="J13" t="s">
        <v>160</v>
      </c>
      <c r="L13" s="185">
        <v>368500</v>
      </c>
    </row>
    <row r="14" spans="1:12" ht="12.75">
      <c r="A14" t="s">
        <v>32</v>
      </c>
      <c r="C14" s="165" t="s">
        <v>167</v>
      </c>
      <c r="D14" s="165" t="s">
        <v>168</v>
      </c>
      <c r="E14" s="165"/>
      <c r="F14" s="165"/>
      <c r="G14" s="165" t="s">
        <v>310</v>
      </c>
      <c r="H14" s="165"/>
      <c r="I14" s="165"/>
      <c r="J14" s="165" t="s">
        <v>160</v>
      </c>
      <c r="K14" s="165"/>
      <c r="L14" s="186">
        <v>27748525</v>
      </c>
    </row>
    <row r="15" spans="1:12" ht="27" customHeight="1">
      <c r="A15" t="s">
        <v>33</v>
      </c>
      <c r="D15" s="688" t="s">
        <v>169</v>
      </c>
      <c r="E15" s="688"/>
      <c r="F15" s="688"/>
      <c r="G15" s="688"/>
      <c r="H15" s="688"/>
      <c r="I15" s="688"/>
      <c r="J15" s="165" t="s">
        <v>160</v>
      </c>
      <c r="K15" s="165"/>
      <c r="L15" s="337">
        <f>+L7+L9-L14</f>
        <v>123697654</v>
      </c>
    </row>
    <row r="16" spans="1:10" ht="33.75" customHeight="1">
      <c r="A16" t="s">
        <v>34</v>
      </c>
      <c r="D16" s="687" t="s">
        <v>170</v>
      </c>
      <c r="E16" s="687"/>
      <c r="F16" s="687"/>
      <c r="G16" s="687"/>
      <c r="H16" s="687"/>
      <c r="I16" s="687"/>
      <c r="J16" t="s">
        <v>160</v>
      </c>
    </row>
    <row r="17" spans="1:12" ht="12.75">
      <c r="A17" t="s">
        <v>35</v>
      </c>
      <c r="C17" t="s">
        <v>171</v>
      </c>
      <c r="D17" t="s">
        <v>172</v>
      </c>
      <c r="J17" t="s">
        <v>160</v>
      </c>
      <c r="L17" s="371">
        <v>16178400</v>
      </c>
    </row>
    <row r="19" spans="1:12" ht="15.75">
      <c r="A19" t="s">
        <v>36</v>
      </c>
      <c r="E19" s="187" t="s">
        <v>173</v>
      </c>
      <c r="F19" s="187"/>
      <c r="G19" s="187"/>
      <c r="H19" s="187"/>
      <c r="I19" s="187"/>
      <c r="J19" s="187"/>
      <c r="K19" s="187"/>
      <c r="L19" s="188">
        <f>+L15+L17</f>
        <v>139876054</v>
      </c>
    </row>
    <row r="20" ht="12.75">
      <c r="L20" s="185">
        <f>+L19/1000</f>
        <v>139876.054</v>
      </c>
    </row>
    <row r="22" spans="1:12" ht="12.75">
      <c r="A22" t="s">
        <v>37</v>
      </c>
      <c r="B22" s="165" t="s">
        <v>174</v>
      </c>
      <c r="C22" s="165" t="s">
        <v>175</v>
      </c>
      <c r="D22" s="165"/>
      <c r="E22" s="165"/>
      <c r="F22" s="165"/>
      <c r="G22" s="165"/>
      <c r="H22" s="165"/>
      <c r="I22" s="165"/>
      <c r="J22" s="165"/>
      <c r="K22" s="165"/>
      <c r="L22" s="186">
        <f>+L23+L24</f>
        <v>105182590</v>
      </c>
    </row>
    <row r="23" spans="1:12" ht="12.75">
      <c r="A23" t="s">
        <v>38</v>
      </c>
      <c r="C23" s="165" t="s">
        <v>176</v>
      </c>
      <c r="D23" s="165" t="s">
        <v>177</v>
      </c>
      <c r="E23" s="165"/>
      <c r="F23" s="165"/>
      <c r="G23" s="165"/>
      <c r="H23" s="165"/>
      <c r="I23" s="165"/>
      <c r="J23" s="165" t="s">
        <v>160</v>
      </c>
      <c r="K23" s="165"/>
      <c r="L23" s="372">
        <v>74837870</v>
      </c>
    </row>
    <row r="24" spans="1:12" ht="12.75">
      <c r="A24" t="s">
        <v>39</v>
      </c>
      <c r="C24" s="165" t="s">
        <v>178</v>
      </c>
      <c r="D24" s="165" t="s">
        <v>179</v>
      </c>
      <c r="E24" s="165"/>
      <c r="F24" s="165"/>
      <c r="G24" s="165"/>
      <c r="H24" s="165"/>
      <c r="I24" s="165"/>
      <c r="J24" s="165"/>
      <c r="K24" s="165"/>
      <c r="L24" s="372">
        <f>SUM(L25:L30)</f>
        <v>30344720</v>
      </c>
    </row>
    <row r="25" spans="1:12" ht="26.25" customHeight="1">
      <c r="A25" t="s">
        <v>42</v>
      </c>
      <c r="D25" s="687" t="s">
        <v>180</v>
      </c>
      <c r="E25" s="687"/>
      <c r="F25" s="687"/>
      <c r="G25" s="687"/>
      <c r="H25" s="687"/>
      <c r="I25" s="687"/>
      <c r="J25" t="s">
        <v>160</v>
      </c>
      <c r="K25">
        <v>1.1984</v>
      </c>
      <c r="L25" s="185">
        <v>2366840</v>
      </c>
    </row>
    <row r="26" spans="1:12" ht="29.25" customHeight="1">
      <c r="A26" t="s">
        <v>45</v>
      </c>
      <c r="D26" s="687" t="s">
        <v>181</v>
      </c>
      <c r="E26" s="687"/>
      <c r="F26" s="687"/>
      <c r="G26" s="687"/>
      <c r="H26" s="687"/>
      <c r="I26" s="687"/>
      <c r="J26" t="s">
        <v>160</v>
      </c>
      <c r="K26">
        <v>1.1984</v>
      </c>
      <c r="L26" s="185">
        <v>2366840</v>
      </c>
    </row>
    <row r="27" spans="1:12" ht="12.75">
      <c r="A27" t="s">
        <v>46</v>
      </c>
      <c r="D27" t="s">
        <v>182</v>
      </c>
      <c r="J27" t="s">
        <v>160</v>
      </c>
      <c r="K27">
        <v>89</v>
      </c>
      <c r="L27" s="185">
        <v>4927040</v>
      </c>
    </row>
    <row r="28" spans="1:12" ht="12.75">
      <c r="A28" t="s">
        <v>47</v>
      </c>
      <c r="D28" t="s">
        <v>183</v>
      </c>
      <c r="J28" t="s">
        <v>160</v>
      </c>
      <c r="K28">
        <v>30</v>
      </c>
      <c r="L28" s="185">
        <v>4350000</v>
      </c>
    </row>
    <row r="29" spans="1:12" ht="12.75">
      <c r="A29" t="s">
        <v>48</v>
      </c>
      <c r="D29" t="s">
        <v>184</v>
      </c>
      <c r="J29" t="s">
        <v>160</v>
      </c>
      <c r="K29">
        <v>26</v>
      </c>
      <c r="L29" s="185">
        <v>2834000</v>
      </c>
    </row>
    <row r="30" spans="1:12" ht="12.75">
      <c r="A30" t="s">
        <v>49</v>
      </c>
      <c r="D30" t="s">
        <v>185</v>
      </c>
      <c r="J30" t="s">
        <v>160</v>
      </c>
      <c r="K30">
        <v>27</v>
      </c>
      <c r="L30" s="185">
        <v>13500000</v>
      </c>
    </row>
    <row r="32" spans="1:12" s="187" customFormat="1" ht="15.75">
      <c r="A32" s="187" t="s">
        <v>50</v>
      </c>
      <c r="E32" s="187" t="s">
        <v>186</v>
      </c>
      <c r="L32" s="188">
        <f>+L22</f>
        <v>105182590</v>
      </c>
    </row>
    <row r="33" ht="12.75">
      <c r="L33" s="185">
        <f>+L32/1000</f>
        <v>105182.59</v>
      </c>
    </row>
    <row r="36" spans="1:12" ht="18.75" customHeight="1">
      <c r="A36" t="s">
        <v>51</v>
      </c>
      <c r="B36" t="s">
        <v>187</v>
      </c>
      <c r="C36" t="s">
        <v>188</v>
      </c>
      <c r="J36" t="s">
        <v>189</v>
      </c>
      <c r="K36">
        <v>1140</v>
      </c>
      <c r="L36" s="371">
        <f>+K36*I4</f>
        <v>6830880</v>
      </c>
    </row>
    <row r="38" spans="1:12" ht="12.75">
      <c r="A38" t="s">
        <v>52</v>
      </c>
      <c r="C38" t="s">
        <v>478</v>
      </c>
      <c r="L38" s="185">
        <v>72000</v>
      </c>
    </row>
    <row r="40" spans="1:12" ht="12.75">
      <c r="A40" t="s">
        <v>53</v>
      </c>
      <c r="E40" t="s">
        <v>190</v>
      </c>
      <c r="L40" s="185">
        <f>SUM(L36:L39)</f>
        <v>6902880</v>
      </c>
    </row>
    <row r="41" ht="12.75">
      <c r="L41" s="185">
        <f>+L40/1000</f>
        <v>6902.88</v>
      </c>
    </row>
    <row r="42" spans="1:12" ht="12.75">
      <c r="A42" t="s">
        <v>54</v>
      </c>
      <c r="E42" t="s">
        <v>479</v>
      </c>
      <c r="L42" s="185">
        <f>+L40+L32+L19</f>
        <v>251961524</v>
      </c>
    </row>
    <row r="43" ht="13.5" thickBot="1"/>
    <row r="44" spans="1:12" ht="16.5" thickBot="1">
      <c r="A44" t="s">
        <v>55</v>
      </c>
      <c r="E44" s="192" t="s">
        <v>121</v>
      </c>
      <c r="F44" s="193"/>
      <c r="G44" s="193"/>
      <c r="H44" s="193"/>
      <c r="I44" s="193"/>
      <c r="J44" s="193"/>
      <c r="K44" s="193"/>
      <c r="L44" s="194">
        <f>+L41+L33+L20</f>
        <v>251961.524</v>
      </c>
    </row>
  </sheetData>
  <sheetProtection/>
  <mergeCells count="9">
    <mergeCell ref="D7:I7"/>
    <mergeCell ref="D8:I8"/>
    <mergeCell ref="D9:I9"/>
    <mergeCell ref="D10:I10"/>
    <mergeCell ref="D26:I26"/>
    <mergeCell ref="D12:I12"/>
    <mergeCell ref="D15:I15"/>
    <mergeCell ref="D16:I16"/>
    <mergeCell ref="D25:I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&amp;L10. melléklet a 2014. évi 4/2014.(II.28.) Önkormányzati költségvetési rendelethez&amp;R&amp;D</oddHeader>
  </headerFooter>
  <rowBreaks count="1" manualBreakCount="1">
    <brk id="20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60" zoomScalePageLayoutView="0" workbookViewId="0" topLeftCell="A1">
      <selection activeCell="J20" sqref="J20"/>
    </sheetView>
  </sheetViews>
  <sheetFormatPr defaultColWidth="9.140625" defaultRowHeight="12.75"/>
  <cols>
    <col min="1" max="1" width="6.28125" style="219" customWidth="1"/>
    <col min="2" max="2" width="4.00390625" style="219" customWidth="1"/>
    <col min="3" max="3" width="23.421875" style="219" customWidth="1"/>
    <col min="4" max="4" width="17.57421875" style="219" customWidth="1"/>
    <col min="5" max="5" width="9.57421875" style="219" bestFit="1" customWidth="1"/>
    <col min="6" max="6" width="14.7109375" style="219" customWidth="1"/>
    <col min="7" max="7" width="9.421875" style="219" bestFit="1" customWidth="1"/>
    <col min="8" max="9" width="9.421875" style="219" customWidth="1"/>
    <col min="10" max="11" width="9.421875" style="219" bestFit="1" customWidth="1"/>
    <col min="12" max="13" width="9.28125" style="219" bestFit="1" customWidth="1"/>
    <col min="14" max="16384" width="9.140625" style="219" customWidth="1"/>
  </cols>
  <sheetData>
    <row r="1" spans="1:13" ht="14.25">
      <c r="A1" s="671" t="s">
        <v>224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</row>
    <row r="2" spans="1:13" ht="31.5" customHeight="1" thickBot="1">
      <c r="A2" s="219" t="s">
        <v>11</v>
      </c>
      <c r="B2" s="220" t="s">
        <v>12</v>
      </c>
      <c r="C2" s="220" t="s">
        <v>13</v>
      </c>
      <c r="D2" s="220" t="s">
        <v>14</v>
      </c>
      <c r="E2" s="220" t="s">
        <v>15</v>
      </c>
      <c r="F2" s="220" t="s">
        <v>16</v>
      </c>
      <c r="G2" s="220" t="s">
        <v>17</v>
      </c>
      <c r="H2" s="220" t="s">
        <v>18</v>
      </c>
      <c r="I2" s="220" t="s">
        <v>480</v>
      </c>
      <c r="J2" s="220" t="s">
        <v>19</v>
      </c>
      <c r="K2" s="220" t="s">
        <v>473</v>
      </c>
      <c r="L2" s="219" t="s">
        <v>474</v>
      </c>
      <c r="M2" s="219" t="s">
        <v>476</v>
      </c>
    </row>
    <row r="3" spans="1:13" ht="18" customHeight="1" thickBot="1">
      <c r="A3" s="219" t="s">
        <v>20</v>
      </c>
      <c r="B3" s="356" t="s">
        <v>225</v>
      </c>
      <c r="C3" s="357"/>
      <c r="D3" s="357"/>
      <c r="E3" s="357"/>
      <c r="F3" s="338"/>
      <c r="G3" s="689">
        <v>2013</v>
      </c>
      <c r="H3" s="669"/>
      <c r="I3" s="670"/>
      <c r="J3" s="350">
        <v>2014</v>
      </c>
      <c r="K3" s="350">
        <v>2015</v>
      </c>
      <c r="L3" s="350">
        <v>2016</v>
      </c>
      <c r="M3" s="350">
        <v>2017</v>
      </c>
    </row>
    <row r="4" spans="1:13" ht="15" thickBot="1">
      <c r="A4" s="219" t="s">
        <v>22</v>
      </c>
      <c r="B4" s="366"/>
      <c r="C4" s="365"/>
      <c r="D4" s="365"/>
      <c r="E4" s="344"/>
      <c r="F4" s="380">
        <v>241.06</v>
      </c>
      <c r="G4" s="347" t="s">
        <v>65</v>
      </c>
      <c r="H4" s="348" t="s">
        <v>356</v>
      </c>
      <c r="I4" s="349" t="s">
        <v>355</v>
      </c>
      <c r="J4" s="353"/>
      <c r="K4" s="353"/>
      <c r="L4" s="355"/>
      <c r="M4" s="355"/>
    </row>
    <row r="5" spans="2:13" ht="15">
      <c r="B5" s="358"/>
      <c r="C5" s="359"/>
      <c r="D5" s="359"/>
      <c r="E5" s="340"/>
      <c r="F5" s="341"/>
      <c r="G5" s="339"/>
      <c r="H5" s="345"/>
      <c r="I5" s="346"/>
      <c r="J5" s="351"/>
      <c r="K5" s="351"/>
      <c r="L5" s="354"/>
      <c r="M5" s="354"/>
    </row>
    <row r="6" spans="1:13" ht="60">
      <c r="A6" s="219" t="s">
        <v>24</v>
      </c>
      <c r="B6" s="358"/>
      <c r="C6" s="360" t="s">
        <v>226</v>
      </c>
      <c r="D6" s="360" t="s">
        <v>227</v>
      </c>
      <c r="E6" s="361" t="s">
        <v>228</v>
      </c>
      <c r="F6" s="362" t="s">
        <v>229</v>
      </c>
      <c r="G6" s="339">
        <f>+H6+I6</f>
        <v>24408</v>
      </c>
      <c r="H6" s="339">
        <v>16272</v>
      </c>
      <c r="I6" s="341">
        <v>8136</v>
      </c>
      <c r="J6" s="351">
        <v>16272</v>
      </c>
      <c r="K6" s="351">
        <f>+J6</f>
        <v>16272</v>
      </c>
      <c r="L6" s="354">
        <f>+K6</f>
        <v>16272</v>
      </c>
      <c r="M6" s="354">
        <f>+L6</f>
        <v>16272</v>
      </c>
    </row>
    <row r="7" spans="2:13" ht="7.5" customHeight="1">
      <c r="B7" s="358"/>
      <c r="C7" s="360"/>
      <c r="D7" s="360"/>
      <c r="E7" s="361"/>
      <c r="F7" s="362"/>
      <c r="G7" s="339"/>
      <c r="H7" s="339"/>
      <c r="I7" s="341"/>
      <c r="J7" s="351"/>
      <c r="K7" s="351"/>
      <c r="L7" s="354"/>
      <c r="M7" s="354"/>
    </row>
    <row r="8" spans="1:13" ht="78" customHeight="1">
      <c r="A8" s="219" t="s">
        <v>25</v>
      </c>
      <c r="B8" s="358"/>
      <c r="C8" s="360" t="s">
        <v>230</v>
      </c>
      <c r="D8" s="360" t="s">
        <v>231</v>
      </c>
      <c r="E8" s="340">
        <v>80000</v>
      </c>
      <c r="F8" s="362" t="s">
        <v>312</v>
      </c>
      <c r="G8" s="339">
        <f>+H8+I8</f>
        <v>1050</v>
      </c>
      <c r="H8" s="339"/>
      <c r="I8" s="341">
        <v>1050</v>
      </c>
      <c r="J8" s="351">
        <v>5000</v>
      </c>
      <c r="K8" s="351">
        <v>5000</v>
      </c>
      <c r="L8" s="354">
        <v>5000</v>
      </c>
      <c r="M8" s="354">
        <v>5000</v>
      </c>
    </row>
    <row r="9" spans="2:13" ht="10.5" customHeight="1">
      <c r="B9" s="358"/>
      <c r="C9" s="360"/>
      <c r="D9" s="360"/>
      <c r="E9" s="340"/>
      <c r="F9" s="341"/>
      <c r="G9" s="339"/>
      <c r="H9" s="339"/>
      <c r="I9" s="341"/>
      <c r="J9" s="351"/>
      <c r="K9" s="351"/>
      <c r="L9" s="354"/>
      <c r="M9" s="354"/>
    </row>
    <row r="10" spans="1:13" ht="30">
      <c r="A10" s="219" t="s">
        <v>26</v>
      </c>
      <c r="B10" s="358"/>
      <c r="C10" s="360" t="s">
        <v>313</v>
      </c>
      <c r="D10" s="360" t="s">
        <v>314</v>
      </c>
      <c r="E10" s="340">
        <v>96000</v>
      </c>
      <c r="F10" s="341"/>
      <c r="G10" s="339"/>
      <c r="H10" s="339"/>
      <c r="I10" s="341"/>
      <c r="J10" s="351">
        <v>4800</v>
      </c>
      <c r="K10" s="351">
        <v>4800</v>
      </c>
      <c r="L10" s="354">
        <v>4800</v>
      </c>
      <c r="M10" s="354">
        <v>4800</v>
      </c>
    </row>
    <row r="11" spans="2:13" ht="7.5" customHeight="1" thickBot="1">
      <c r="B11" s="358"/>
      <c r="C11" s="359"/>
      <c r="D11" s="359"/>
      <c r="E11" s="340"/>
      <c r="F11" s="341"/>
      <c r="G11" s="339"/>
      <c r="H11" s="339"/>
      <c r="I11" s="341"/>
      <c r="J11" s="351"/>
      <c r="K11" s="351"/>
      <c r="L11" s="354"/>
      <c r="M11" s="354"/>
    </row>
    <row r="12" spans="1:13" ht="15" thickBot="1">
      <c r="A12" s="219" t="s">
        <v>27</v>
      </c>
      <c r="B12" s="367" t="s">
        <v>232</v>
      </c>
      <c r="C12" s="368"/>
      <c r="D12" s="368"/>
      <c r="E12" s="348"/>
      <c r="F12" s="349"/>
      <c r="G12" s="347">
        <f aca="true" t="shared" si="0" ref="G12:M12">SUM(G6:G11)</f>
        <v>25458</v>
      </c>
      <c r="H12" s="347">
        <f t="shared" si="0"/>
        <v>16272</v>
      </c>
      <c r="I12" s="347">
        <f t="shared" si="0"/>
        <v>9186</v>
      </c>
      <c r="J12" s="347">
        <f t="shared" si="0"/>
        <v>26072</v>
      </c>
      <c r="K12" s="347">
        <f t="shared" si="0"/>
        <v>26072</v>
      </c>
      <c r="L12" s="347">
        <f t="shared" si="0"/>
        <v>26072</v>
      </c>
      <c r="M12" s="347">
        <f t="shared" si="0"/>
        <v>26072</v>
      </c>
    </row>
    <row r="13" spans="2:13" ht="6" customHeight="1">
      <c r="B13" s="358"/>
      <c r="C13" s="359"/>
      <c r="D13" s="359"/>
      <c r="E13" s="340"/>
      <c r="F13" s="341"/>
      <c r="G13" s="339"/>
      <c r="H13" s="339"/>
      <c r="I13" s="341"/>
      <c r="J13" s="351"/>
      <c r="K13" s="351"/>
      <c r="L13" s="354"/>
      <c r="M13" s="354"/>
    </row>
    <row r="14" spans="1:13" ht="15">
      <c r="A14" s="219" t="s">
        <v>28</v>
      </c>
      <c r="B14" s="364" t="s">
        <v>233</v>
      </c>
      <c r="C14" s="359"/>
      <c r="D14" s="359"/>
      <c r="E14" s="340"/>
      <c r="F14" s="341"/>
      <c r="G14" s="339"/>
      <c r="H14" s="339"/>
      <c r="I14" s="341"/>
      <c r="J14" s="351"/>
      <c r="K14" s="351"/>
      <c r="L14" s="354"/>
      <c r="M14" s="354"/>
    </row>
    <row r="15" spans="2:13" ht="15">
      <c r="B15" s="363"/>
      <c r="C15" s="359"/>
      <c r="D15" s="359"/>
      <c r="E15" s="340"/>
      <c r="F15" s="341"/>
      <c r="G15" s="339"/>
      <c r="H15" s="339"/>
      <c r="I15" s="341"/>
      <c r="J15" s="351"/>
      <c r="K15" s="351"/>
      <c r="L15" s="354"/>
      <c r="M15" s="354"/>
    </row>
    <row r="16" spans="1:13" ht="30">
      <c r="A16" s="219" t="s">
        <v>29</v>
      </c>
      <c r="B16" s="358"/>
      <c r="C16" s="360" t="str">
        <f>+C6</f>
        <v>"BATTONYA 2027" kötvény</v>
      </c>
      <c r="D16" s="359"/>
      <c r="E16" s="340"/>
      <c r="F16" s="341"/>
      <c r="G16" s="339">
        <f>+H16+I16</f>
        <v>7644</v>
      </c>
      <c r="H16" s="339">
        <v>5096</v>
      </c>
      <c r="I16" s="341">
        <v>2548</v>
      </c>
      <c r="J16" s="351">
        <v>5096</v>
      </c>
      <c r="K16" s="351">
        <f>+J16</f>
        <v>5096</v>
      </c>
      <c r="L16" s="351">
        <f>+K16</f>
        <v>5096</v>
      </c>
      <c r="M16" s="351">
        <f>+L16</f>
        <v>5096</v>
      </c>
    </row>
    <row r="17" spans="2:13" ht="9" customHeight="1">
      <c r="B17" s="358"/>
      <c r="C17" s="360"/>
      <c r="D17" s="359"/>
      <c r="E17" s="340"/>
      <c r="F17" s="341"/>
      <c r="G17" s="339"/>
      <c r="H17" s="339"/>
      <c r="I17" s="341"/>
      <c r="J17" s="351"/>
      <c r="K17" s="351"/>
      <c r="L17" s="351"/>
      <c r="M17" s="351"/>
    </row>
    <row r="18" spans="1:13" ht="75">
      <c r="A18" s="219" t="s">
        <v>30</v>
      </c>
      <c r="B18" s="358"/>
      <c r="C18" s="360" t="s">
        <v>230</v>
      </c>
      <c r="D18" s="360" t="s">
        <v>231</v>
      </c>
      <c r="E18" s="340"/>
      <c r="F18" s="341"/>
      <c r="G18" s="339">
        <f>+H18+I18</f>
        <v>6450</v>
      </c>
      <c r="H18" s="339">
        <v>4300</v>
      </c>
      <c r="I18" s="341">
        <v>2150</v>
      </c>
      <c r="J18" s="351">
        <v>4300</v>
      </c>
      <c r="K18" s="351">
        <v>4500</v>
      </c>
      <c r="L18" s="354">
        <v>3500</v>
      </c>
      <c r="M18" s="354">
        <v>1500</v>
      </c>
    </row>
    <row r="19" spans="2:13" ht="7.5" customHeight="1">
      <c r="B19" s="358"/>
      <c r="C19" s="360"/>
      <c r="D19" s="360"/>
      <c r="E19" s="340"/>
      <c r="F19" s="341"/>
      <c r="G19" s="339"/>
      <c r="H19" s="339"/>
      <c r="I19" s="341"/>
      <c r="J19" s="351"/>
      <c r="K19" s="351"/>
      <c r="L19" s="354"/>
      <c r="M19" s="354"/>
    </row>
    <row r="20" spans="1:13" ht="30.75" thickBot="1">
      <c r="A20" s="219" t="s">
        <v>31</v>
      </c>
      <c r="B20" s="358"/>
      <c r="C20" s="360" t="s">
        <v>313</v>
      </c>
      <c r="D20" s="360" t="s">
        <v>314</v>
      </c>
      <c r="E20" s="340"/>
      <c r="F20" s="341"/>
      <c r="G20" s="342">
        <f>+H20+I20</f>
        <v>5400</v>
      </c>
      <c r="H20" s="342">
        <f>7200/2</f>
        <v>3600</v>
      </c>
      <c r="I20" s="343">
        <v>1800</v>
      </c>
      <c r="J20" s="352">
        <v>3600</v>
      </c>
      <c r="K20" s="352">
        <v>3100</v>
      </c>
      <c r="L20" s="352">
        <v>2800</v>
      </c>
      <c r="M20" s="352">
        <v>2650</v>
      </c>
    </row>
    <row r="21" spans="1:13" ht="15" thickBot="1">
      <c r="A21" s="219" t="s">
        <v>32</v>
      </c>
      <c r="B21" s="367" t="s">
        <v>234</v>
      </c>
      <c r="C21" s="368"/>
      <c r="D21" s="368"/>
      <c r="E21" s="348"/>
      <c r="F21" s="349"/>
      <c r="G21" s="347">
        <f aca="true" t="shared" si="1" ref="G21:M21">SUM(G16:G20)</f>
        <v>19494</v>
      </c>
      <c r="H21" s="347">
        <f t="shared" si="1"/>
        <v>12996</v>
      </c>
      <c r="I21" s="347">
        <f t="shared" si="1"/>
        <v>6498</v>
      </c>
      <c r="J21" s="347">
        <f t="shared" si="1"/>
        <v>12996</v>
      </c>
      <c r="K21" s="347">
        <f t="shared" si="1"/>
        <v>12696</v>
      </c>
      <c r="L21" s="347">
        <f t="shared" si="1"/>
        <v>11396</v>
      </c>
      <c r="M21" s="597">
        <f t="shared" si="1"/>
        <v>9246</v>
      </c>
    </row>
    <row r="22" spans="2:13" ht="9" customHeight="1" thickBot="1">
      <c r="B22" s="358"/>
      <c r="C22" s="359"/>
      <c r="D22" s="359"/>
      <c r="E22" s="340"/>
      <c r="F22" s="341"/>
      <c r="G22" s="339"/>
      <c r="H22" s="339"/>
      <c r="I22" s="341"/>
      <c r="J22" s="351"/>
      <c r="K22" s="351"/>
      <c r="L22" s="354"/>
      <c r="M22" s="354"/>
    </row>
    <row r="23" spans="1:13" ht="15" thickBot="1">
      <c r="A23" s="219" t="s">
        <v>33</v>
      </c>
      <c r="B23" s="367" t="s">
        <v>235</v>
      </c>
      <c r="C23" s="368"/>
      <c r="D23" s="368"/>
      <c r="E23" s="348"/>
      <c r="F23" s="349"/>
      <c r="G23" s="347">
        <f aca="true" t="shared" si="2" ref="G23:M23">G21+G12</f>
        <v>44952</v>
      </c>
      <c r="H23" s="347">
        <f t="shared" si="2"/>
        <v>29268</v>
      </c>
      <c r="I23" s="347">
        <f t="shared" si="2"/>
        <v>15684</v>
      </c>
      <c r="J23" s="347">
        <f t="shared" si="2"/>
        <v>39068</v>
      </c>
      <c r="K23" s="347">
        <f t="shared" si="2"/>
        <v>38768</v>
      </c>
      <c r="L23" s="347">
        <f t="shared" si="2"/>
        <v>37468</v>
      </c>
      <c r="M23" s="597">
        <f t="shared" si="2"/>
        <v>35318</v>
      </c>
    </row>
    <row r="24" spans="2:13" ht="15">
      <c r="B24" s="220"/>
      <c r="C24" s="220"/>
      <c r="D24" s="220"/>
      <c r="E24" s="222"/>
      <c r="F24" s="222"/>
      <c r="G24" s="222"/>
      <c r="H24" s="222"/>
      <c r="I24" s="222"/>
      <c r="J24" s="222"/>
      <c r="K24" s="222"/>
      <c r="L24" s="221"/>
      <c r="M24" s="221"/>
    </row>
    <row r="25" spans="5:13" ht="14.25">
      <c r="E25" s="221"/>
      <c r="F25" s="221"/>
      <c r="G25" s="221"/>
      <c r="H25" s="221"/>
      <c r="I25" s="221"/>
      <c r="J25" s="221"/>
      <c r="K25" s="221"/>
      <c r="L25" s="221"/>
      <c r="M25" s="221"/>
    </row>
  </sheetData>
  <sheetProtection/>
  <mergeCells count="2">
    <mergeCell ref="G3:I3"/>
    <mergeCell ref="A1:M1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scale="98" r:id="rId1"/>
  <headerFooter alignWithMargins="0">
    <oddHeader>&amp;L11. melléklet a 2014. évi 4/2014.(II.28.) Önkormányzati költségvetési rendelethez&amp;R&amp;D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L62"/>
  <sheetViews>
    <sheetView tabSelected="1" zoomScalePageLayoutView="0" workbookViewId="0" topLeftCell="A4">
      <selection activeCell="F16" sqref="F16"/>
    </sheetView>
  </sheetViews>
  <sheetFormatPr defaultColWidth="9.140625" defaultRowHeight="18.75" customHeight="1"/>
  <cols>
    <col min="1" max="1" width="6.00390625" style="0" customWidth="1"/>
    <col min="2" max="2" width="32.421875" style="0" customWidth="1"/>
    <col min="3" max="4" width="13.00390625" style="0" customWidth="1"/>
    <col min="5" max="5" width="12.00390625" style="0" customWidth="1"/>
    <col min="6" max="7" width="11.00390625" style="0" customWidth="1"/>
    <col min="8" max="8" width="12.28125" style="0" customWidth="1"/>
    <col min="9" max="9" width="7.421875" style="0" customWidth="1"/>
    <col min="10" max="10" width="11.00390625" style="0" customWidth="1"/>
    <col min="11" max="11" width="12.421875" style="0" bestFit="1" customWidth="1"/>
  </cols>
  <sheetData>
    <row r="2" spans="2:11" ht="18.75" customHeight="1">
      <c r="B2" s="672" t="s">
        <v>292</v>
      </c>
      <c r="C2" s="672"/>
      <c r="D2" s="672"/>
      <c r="E2" s="672"/>
      <c r="F2" s="672"/>
      <c r="G2" s="672"/>
      <c r="H2" s="672"/>
      <c r="I2" s="672"/>
      <c r="J2" s="672"/>
      <c r="K2" s="672"/>
    </row>
    <row r="3" spans="2:11" ht="18.75" customHeight="1">
      <c r="B3" s="277"/>
      <c r="C3" s="277"/>
      <c r="D3" s="277"/>
      <c r="E3" s="277"/>
      <c r="F3" s="277"/>
      <c r="G3" s="277"/>
      <c r="H3" s="277"/>
      <c r="I3" s="277"/>
      <c r="J3" s="277"/>
      <c r="K3" s="278" t="s">
        <v>293</v>
      </c>
    </row>
    <row r="4" spans="1:11" ht="18.75" customHeight="1" thickBot="1">
      <c r="A4" t="s">
        <v>11</v>
      </c>
      <c r="B4" s="277" t="s">
        <v>12</v>
      </c>
      <c r="C4" s="277" t="s">
        <v>13</v>
      </c>
      <c r="D4" s="277" t="s">
        <v>14</v>
      </c>
      <c r="E4" s="277" t="s">
        <v>15</v>
      </c>
      <c r="F4" s="277" t="s">
        <v>16</v>
      </c>
      <c r="G4" s="277" t="s">
        <v>17</v>
      </c>
      <c r="H4" s="277" t="s">
        <v>18</v>
      </c>
      <c r="I4" s="277" t="s">
        <v>67</v>
      </c>
      <c r="J4" s="277" t="s">
        <v>19</v>
      </c>
      <c r="K4" s="277" t="s">
        <v>473</v>
      </c>
    </row>
    <row r="5" spans="1:11" ht="18.75" customHeight="1">
      <c r="A5" t="s">
        <v>20</v>
      </c>
      <c r="B5" s="673" t="s">
        <v>294</v>
      </c>
      <c r="C5" s="673" t="s">
        <v>295</v>
      </c>
      <c r="D5" s="692" t="s">
        <v>296</v>
      </c>
      <c r="E5" s="673" t="s">
        <v>297</v>
      </c>
      <c r="F5" s="673" t="s">
        <v>298</v>
      </c>
      <c r="G5" s="695" t="s">
        <v>299</v>
      </c>
      <c r="H5" s="695"/>
      <c r="I5" s="695"/>
      <c r="J5" s="695"/>
      <c r="K5" s="673" t="s">
        <v>5</v>
      </c>
    </row>
    <row r="6" spans="2:11" ht="18.75" customHeight="1">
      <c r="B6" s="690"/>
      <c r="C6" s="690"/>
      <c r="D6" s="693"/>
      <c r="E6" s="690"/>
      <c r="F6" s="690"/>
      <c r="G6" s="696" t="s">
        <v>300</v>
      </c>
      <c r="H6" s="698" t="s">
        <v>301</v>
      </c>
      <c r="I6" s="698" t="s">
        <v>74</v>
      </c>
      <c r="J6" s="700" t="s">
        <v>302</v>
      </c>
      <c r="K6" s="690"/>
    </row>
    <row r="7" spans="2:11" ht="51" customHeight="1" thickBot="1">
      <c r="B7" s="691"/>
      <c r="C7" s="691"/>
      <c r="D7" s="694"/>
      <c r="E7" s="691"/>
      <c r="F7" s="691"/>
      <c r="G7" s="697"/>
      <c r="H7" s="699"/>
      <c r="I7" s="699"/>
      <c r="J7" s="701"/>
      <c r="K7" s="691"/>
    </row>
    <row r="8" spans="1:11" ht="18.75" customHeight="1">
      <c r="A8" t="s">
        <v>22</v>
      </c>
      <c r="B8" s="279" t="s">
        <v>76</v>
      </c>
      <c r="C8" s="280"/>
      <c r="D8" s="281"/>
      <c r="E8" s="282"/>
      <c r="F8" s="280"/>
      <c r="G8" s="283"/>
      <c r="H8" s="284"/>
      <c r="I8" s="284"/>
      <c r="J8" s="285"/>
      <c r="K8" s="286"/>
    </row>
    <row r="9" spans="1:11" ht="29.25" customHeight="1">
      <c r="A9" t="s">
        <v>24</v>
      </c>
      <c r="B9" s="287" t="s">
        <v>359</v>
      </c>
      <c r="C9" s="676">
        <f>+C12-C11-C10</f>
        <v>96312</v>
      </c>
      <c r="D9" s="676">
        <f>+D12-D11-D10</f>
        <v>24820</v>
      </c>
      <c r="E9" s="676">
        <f>+E12-E11-E10</f>
        <v>31585</v>
      </c>
      <c r="F9" s="676">
        <f>+F12-F11-F10</f>
        <v>2879</v>
      </c>
      <c r="G9" s="676">
        <f>+G12-G11-G10</f>
        <v>154481</v>
      </c>
      <c r="H9" s="676"/>
      <c r="I9" s="676"/>
      <c r="J9" s="676"/>
      <c r="K9" s="293">
        <f>SUM(C9:J9)</f>
        <v>310077</v>
      </c>
    </row>
    <row r="10" spans="2:11" ht="29.25" customHeight="1">
      <c r="B10" s="294" t="s">
        <v>643</v>
      </c>
      <c r="C10" s="369">
        <f>+'12_mell'!C60</f>
        <v>16035</v>
      </c>
      <c r="D10" s="674">
        <f>+'12_mell'!D60</f>
        <v>3990</v>
      </c>
      <c r="E10" s="675">
        <f>+'12_mell'!E60</f>
        <v>11161</v>
      </c>
      <c r="F10" s="295"/>
      <c r="G10" s="316"/>
      <c r="H10" s="317"/>
      <c r="I10" s="317"/>
      <c r="J10" s="300"/>
      <c r="K10" s="293">
        <f>SUM(C10:J10)</f>
        <v>31186</v>
      </c>
    </row>
    <row r="11" spans="1:11" ht="18.75" customHeight="1" thickBot="1">
      <c r="A11" t="s">
        <v>25</v>
      </c>
      <c r="B11" s="294" t="s">
        <v>303</v>
      </c>
      <c r="C11" s="295">
        <v>1911</v>
      </c>
      <c r="D11" s="296">
        <v>516</v>
      </c>
      <c r="E11" s="295"/>
      <c r="F11" s="297"/>
      <c r="G11" s="298"/>
      <c r="H11" s="299"/>
      <c r="I11" s="299"/>
      <c r="J11" s="300"/>
      <c r="K11" s="293">
        <f>SUM(C11:J11)</f>
        <v>2427</v>
      </c>
    </row>
    <row r="12" spans="1:12" ht="18.75" customHeight="1" thickBot="1">
      <c r="A12" t="s">
        <v>26</v>
      </c>
      <c r="B12" s="301" t="s">
        <v>304</v>
      </c>
      <c r="C12" s="302">
        <f>+4_mell!D31</f>
        <v>114258</v>
      </c>
      <c r="D12" s="302">
        <f>+4_mell!E31</f>
        <v>29326</v>
      </c>
      <c r="E12" s="302">
        <f>+4_mell!F31</f>
        <v>42746</v>
      </c>
      <c r="F12" s="302">
        <f>+4_mell!L31</f>
        <v>2879</v>
      </c>
      <c r="G12" s="302">
        <f>+4_mell!I31</f>
        <v>154481</v>
      </c>
      <c r="H12" s="302">
        <f>SUM(H9:H11)</f>
        <v>0</v>
      </c>
      <c r="I12" s="302">
        <f>SUM(I9:I11)</f>
        <v>0</v>
      </c>
      <c r="J12" s="302">
        <f>SUM(J9:J11)</f>
        <v>0</v>
      </c>
      <c r="K12" s="302">
        <f>SUM(C12:J12)</f>
        <v>343690</v>
      </c>
      <c r="L12" s="185"/>
    </row>
    <row r="13" spans="1:11" ht="30" customHeight="1">
      <c r="A13" t="s">
        <v>27</v>
      </c>
      <c r="B13" s="279" t="s">
        <v>305</v>
      </c>
      <c r="C13" s="286"/>
      <c r="D13" s="303"/>
      <c r="E13" s="286"/>
      <c r="F13" s="304"/>
      <c r="G13" s="305"/>
      <c r="H13" s="306"/>
      <c r="I13" s="306"/>
      <c r="J13" s="285"/>
      <c r="K13" s="286"/>
    </row>
    <row r="14" spans="1:11" ht="18.75" customHeight="1">
      <c r="A14" t="s">
        <v>28</v>
      </c>
      <c r="B14" s="287" t="s">
        <v>306</v>
      </c>
      <c r="C14" s="289">
        <f>+'12_mell'!C66</f>
        <v>1468</v>
      </c>
      <c r="D14" s="288">
        <f>+'12_mell'!D66</f>
        <v>397</v>
      </c>
      <c r="E14" s="289">
        <f>+'12_mell'!E66</f>
        <v>2475</v>
      </c>
      <c r="F14" s="307"/>
      <c r="G14" s="308"/>
      <c r="H14" s="309"/>
      <c r="I14" s="309"/>
      <c r="J14" s="292"/>
      <c r="K14" s="293">
        <f>SUM(C14:J14)</f>
        <v>4340</v>
      </c>
    </row>
    <row r="15" spans="1:11" ht="18.75" customHeight="1">
      <c r="A15" t="s">
        <v>29</v>
      </c>
      <c r="B15" s="287" t="s">
        <v>307</v>
      </c>
      <c r="C15" s="289">
        <f>+'12_mell'!C75</f>
        <v>209493</v>
      </c>
      <c r="D15" s="288">
        <f>+'12_mell'!D75</f>
        <v>28560</v>
      </c>
      <c r="E15" s="289">
        <f>+'12_mell'!E75</f>
        <v>45429</v>
      </c>
      <c r="F15" s="289">
        <v>8572</v>
      </c>
      <c r="G15" s="290"/>
      <c r="H15" s="291"/>
      <c r="I15" s="291"/>
      <c r="J15" s="292"/>
      <c r="K15" s="293">
        <f aca="true" t="shared" si="0" ref="K15:K22">SUM(C15:J15)</f>
        <v>292054</v>
      </c>
    </row>
    <row r="16" spans="1:11" ht="18.75" customHeight="1">
      <c r="A16" t="s">
        <v>30</v>
      </c>
      <c r="B16" s="287" t="s">
        <v>300</v>
      </c>
      <c r="C16" s="289"/>
      <c r="D16" s="288"/>
      <c r="E16" s="289"/>
      <c r="F16" s="289"/>
      <c r="G16" s="290">
        <f>+4_mell!I22</f>
        <v>21481</v>
      </c>
      <c r="H16" s="291"/>
      <c r="I16" s="291"/>
      <c r="J16" s="292"/>
      <c r="K16" s="293">
        <f t="shared" si="0"/>
        <v>21481</v>
      </c>
    </row>
    <row r="17" spans="1:11" ht="15">
      <c r="A17" t="s">
        <v>31</v>
      </c>
      <c r="B17" s="287" t="s">
        <v>308</v>
      </c>
      <c r="C17" s="289"/>
      <c r="D17" s="288"/>
      <c r="E17" s="289"/>
      <c r="F17" s="307"/>
      <c r="G17" s="308"/>
      <c r="H17" s="291">
        <v>40563</v>
      </c>
      <c r="I17" s="291">
        <f>+4_mell!K22</f>
        <v>3000</v>
      </c>
      <c r="J17" s="292"/>
      <c r="K17" s="293">
        <f t="shared" si="0"/>
        <v>43563</v>
      </c>
    </row>
    <row r="18" spans="1:11" ht="15">
      <c r="A18" t="s">
        <v>32</v>
      </c>
      <c r="B18" s="287" t="s">
        <v>360</v>
      </c>
      <c r="C18" s="289"/>
      <c r="D18" s="288"/>
      <c r="E18" s="289">
        <f>+'12_mell'!E67</f>
        <v>858</v>
      </c>
      <c r="F18" s="307"/>
      <c r="G18" s="308"/>
      <c r="H18" s="291"/>
      <c r="I18" s="291"/>
      <c r="J18" s="292"/>
      <c r="K18" s="293">
        <f t="shared" si="0"/>
        <v>858</v>
      </c>
    </row>
    <row r="19" spans="1:11" ht="18.75" customHeight="1">
      <c r="A19" t="s">
        <v>33</v>
      </c>
      <c r="B19" s="287" t="s">
        <v>461</v>
      </c>
      <c r="C19" s="310">
        <f>+'12_mell'!C65</f>
        <v>2253</v>
      </c>
      <c r="D19" s="311">
        <f>+'12_mell'!D65</f>
        <v>607</v>
      </c>
      <c r="E19" s="312">
        <f>+'[3]ÖK'!$H$149-2000</f>
        <v>49015</v>
      </c>
      <c r="F19" s="312"/>
      <c r="G19" s="313"/>
      <c r="H19" s="314"/>
      <c r="I19" s="314"/>
      <c r="J19" s="315"/>
      <c r="K19" s="293">
        <f t="shared" si="0"/>
        <v>51875</v>
      </c>
    </row>
    <row r="20" spans="1:11" ht="18.75" customHeight="1">
      <c r="A20" t="s">
        <v>34</v>
      </c>
      <c r="B20" s="287" t="s">
        <v>462</v>
      </c>
      <c r="C20" s="310"/>
      <c r="D20" s="311"/>
      <c r="E20" s="310"/>
      <c r="F20" s="310"/>
      <c r="G20" s="313"/>
      <c r="H20" s="314"/>
      <c r="I20" s="314"/>
      <c r="J20" s="315">
        <v>550386</v>
      </c>
      <c r="K20" s="293">
        <f t="shared" si="0"/>
        <v>550386</v>
      </c>
    </row>
    <row r="21" spans="1:11" ht="18.75" customHeight="1">
      <c r="A21" t="s">
        <v>35</v>
      </c>
      <c r="B21" s="294" t="s">
        <v>643</v>
      </c>
      <c r="C21" s="664">
        <f>+'12_mell'!C72+'12_mell'!C73</f>
        <v>516</v>
      </c>
      <c r="D21" s="665">
        <v>134</v>
      </c>
      <c r="E21" s="664">
        <v>58767</v>
      </c>
      <c r="F21" s="664">
        <v>18870</v>
      </c>
      <c r="G21" s="666"/>
      <c r="H21" s="667">
        <f>323+4485</f>
        <v>4808</v>
      </c>
      <c r="I21" s="667"/>
      <c r="J21" s="668"/>
      <c r="K21" s="293">
        <f t="shared" si="0"/>
        <v>83095</v>
      </c>
    </row>
    <row r="22" spans="1:11" ht="18.75" customHeight="1" thickBot="1">
      <c r="A22" t="s">
        <v>36</v>
      </c>
      <c r="B22" s="294" t="s">
        <v>205</v>
      </c>
      <c r="C22" s="295"/>
      <c r="D22" s="296"/>
      <c r="E22" s="295"/>
      <c r="F22" s="295">
        <v>31979</v>
      </c>
      <c r="G22" s="316"/>
      <c r="H22" s="317"/>
      <c r="I22" s="317"/>
      <c r="J22" s="300"/>
      <c r="K22" s="293">
        <f t="shared" si="0"/>
        <v>31979</v>
      </c>
    </row>
    <row r="23" spans="1:11" ht="18.75" customHeight="1" thickBot="1">
      <c r="A23" t="s">
        <v>37</v>
      </c>
      <c r="B23" s="301" t="s">
        <v>309</v>
      </c>
      <c r="C23" s="302">
        <f>SUM(C14:C22)</f>
        <v>213730</v>
      </c>
      <c r="D23" s="302">
        <f aca="true" t="shared" si="1" ref="D23:J23">SUM(D14:D22)</f>
        <v>29698</v>
      </c>
      <c r="E23" s="302">
        <f t="shared" si="1"/>
        <v>156544</v>
      </c>
      <c r="F23" s="302">
        <f t="shared" si="1"/>
        <v>59421</v>
      </c>
      <c r="G23" s="302">
        <f t="shared" si="1"/>
        <v>21481</v>
      </c>
      <c r="H23" s="302">
        <f>SUM(H14:H22)</f>
        <v>45371</v>
      </c>
      <c r="I23" s="302">
        <f t="shared" si="1"/>
        <v>3000</v>
      </c>
      <c r="J23" s="302">
        <f t="shared" si="1"/>
        <v>550386</v>
      </c>
      <c r="K23" s="302">
        <f>SUM(K14:K22)</f>
        <v>1079631</v>
      </c>
    </row>
    <row r="24" spans="2:11" ht="18.75" customHeight="1">
      <c r="B24" s="318"/>
      <c r="C24" s="319"/>
      <c r="D24" s="319"/>
      <c r="E24" s="319"/>
      <c r="F24" s="319"/>
      <c r="G24" s="319"/>
      <c r="H24" s="319"/>
      <c r="I24" s="319"/>
      <c r="J24" s="319"/>
      <c r="K24" s="320"/>
    </row>
    <row r="25" spans="2:11" ht="18.75" customHeight="1">
      <c r="B25" s="318"/>
      <c r="C25" s="319"/>
      <c r="D25" s="319"/>
      <c r="E25" s="319"/>
      <c r="F25" s="319"/>
      <c r="G25" s="319"/>
      <c r="H25" s="319"/>
      <c r="I25" s="319"/>
      <c r="J25" s="319"/>
      <c r="K25" s="320"/>
    </row>
    <row r="26" spans="2:11" ht="18.75" customHeight="1">
      <c r="B26" s="318"/>
      <c r="C26" s="319"/>
      <c r="D26" s="319"/>
      <c r="E26" s="319"/>
      <c r="F26" s="319"/>
      <c r="G26" s="319"/>
      <c r="H26" s="319"/>
      <c r="I26" s="319"/>
      <c r="J26" s="319"/>
      <c r="K26" s="320"/>
    </row>
    <row r="27" spans="2:11" ht="18.75" customHeight="1">
      <c r="B27" s="318"/>
      <c r="C27" s="319"/>
      <c r="D27" s="319"/>
      <c r="E27" s="319"/>
      <c r="F27" s="319"/>
      <c r="G27" s="319"/>
      <c r="H27" s="319"/>
      <c r="I27" s="319"/>
      <c r="J27" s="319"/>
      <c r="K27" s="320"/>
    </row>
    <row r="28" spans="2:11" ht="18.75" customHeight="1">
      <c r="B28" s="318"/>
      <c r="C28" s="319"/>
      <c r="D28" s="319"/>
      <c r="E28" s="319"/>
      <c r="F28" s="319"/>
      <c r="G28" s="319"/>
      <c r="H28" s="319"/>
      <c r="I28" s="319"/>
      <c r="J28" s="319"/>
      <c r="K28" s="320"/>
    </row>
    <row r="29" spans="2:11" ht="18.75" customHeight="1">
      <c r="B29" s="318"/>
      <c r="C29" s="319"/>
      <c r="D29" s="319"/>
      <c r="E29" s="319"/>
      <c r="F29" s="319"/>
      <c r="G29" s="319"/>
      <c r="H29" s="319"/>
      <c r="I29" s="319"/>
      <c r="J29" s="319"/>
      <c r="K29" s="320"/>
    </row>
    <row r="30" spans="2:11" ht="18.75" customHeight="1">
      <c r="B30" s="318"/>
      <c r="C30" s="319"/>
      <c r="D30" s="319"/>
      <c r="E30" s="319"/>
      <c r="F30" s="319"/>
      <c r="G30" s="319"/>
      <c r="H30" s="319"/>
      <c r="I30" s="319"/>
      <c r="J30" s="319"/>
      <c r="K30" s="320"/>
    </row>
    <row r="31" spans="2:11" ht="30.75" customHeight="1">
      <c r="B31" s="318"/>
      <c r="C31" s="319"/>
      <c r="D31" s="319"/>
      <c r="E31" s="319"/>
      <c r="F31" s="319"/>
      <c r="G31" s="319"/>
      <c r="H31" s="319"/>
      <c r="I31" s="319"/>
      <c r="J31" s="319"/>
      <c r="K31" s="320"/>
    </row>
    <row r="32" spans="2:11" ht="18.75" customHeight="1">
      <c r="B32" s="318"/>
      <c r="C32" s="319"/>
      <c r="D32" s="319"/>
      <c r="E32" s="319"/>
      <c r="F32" s="319"/>
      <c r="G32" s="319"/>
      <c r="H32" s="319"/>
      <c r="I32" s="319"/>
      <c r="J32" s="319"/>
      <c r="K32" s="320"/>
    </row>
    <row r="33" spans="2:11" ht="18.75" customHeight="1">
      <c r="B33" s="318"/>
      <c r="C33" s="319"/>
      <c r="D33" s="319"/>
      <c r="E33" s="319"/>
      <c r="F33" s="319"/>
      <c r="G33" s="319"/>
      <c r="H33" s="319"/>
      <c r="I33" s="319"/>
      <c r="J33" s="319"/>
      <c r="K33" s="320"/>
    </row>
    <row r="34" spans="2:11" ht="18.75" customHeight="1">
      <c r="B34" s="321"/>
      <c r="C34" s="322"/>
      <c r="D34" s="322"/>
      <c r="E34" s="319"/>
      <c r="F34" s="319"/>
      <c r="G34" s="319"/>
      <c r="H34" s="319"/>
      <c r="I34" s="319"/>
      <c r="J34" s="319"/>
      <c r="K34" s="320"/>
    </row>
    <row r="35" spans="2:11" ht="18.75" customHeight="1">
      <c r="B35" s="321"/>
      <c r="C35" s="322"/>
      <c r="D35" s="322"/>
      <c r="E35" s="319"/>
      <c r="F35" s="319"/>
      <c r="G35" s="319"/>
      <c r="H35" s="319"/>
      <c r="I35" s="319"/>
      <c r="J35" s="319"/>
      <c r="K35" s="320"/>
    </row>
    <row r="36" spans="2:11" ht="18.75" customHeight="1">
      <c r="B36" s="323"/>
      <c r="C36" s="319"/>
      <c r="D36" s="319"/>
      <c r="E36" s="319"/>
      <c r="F36" s="319"/>
      <c r="G36" s="319"/>
      <c r="H36" s="319"/>
      <c r="I36" s="319"/>
      <c r="J36" s="319"/>
      <c r="K36" s="320"/>
    </row>
    <row r="37" spans="2:11" ht="18.75" customHeight="1">
      <c r="B37" s="318"/>
      <c r="C37" s="319"/>
      <c r="D37" s="319"/>
      <c r="E37" s="319"/>
      <c r="F37" s="319"/>
      <c r="G37" s="319"/>
      <c r="H37" s="319"/>
      <c r="I37" s="319"/>
      <c r="J37" s="319"/>
      <c r="K37" s="320"/>
    </row>
    <row r="38" spans="2:11" ht="18.75" customHeight="1">
      <c r="B38" s="318"/>
      <c r="C38" s="319"/>
      <c r="D38" s="319"/>
      <c r="E38" s="319"/>
      <c r="F38" s="319"/>
      <c r="G38" s="319"/>
      <c r="H38" s="319"/>
      <c r="I38" s="319"/>
      <c r="J38" s="319"/>
      <c r="K38" s="320"/>
    </row>
    <row r="39" spans="2:11" ht="18.75" customHeight="1">
      <c r="B39" s="274"/>
      <c r="C39" s="274"/>
      <c r="D39" s="274"/>
      <c r="E39" s="274"/>
      <c r="F39" s="274"/>
      <c r="G39" s="274"/>
      <c r="H39" s="274"/>
      <c r="I39" s="274"/>
      <c r="J39" s="274"/>
      <c r="K39" s="274"/>
    </row>
    <row r="40" spans="2:11" ht="18.75" customHeight="1">
      <c r="B40" s="274"/>
      <c r="C40" s="274"/>
      <c r="D40" s="274"/>
      <c r="E40" s="274"/>
      <c r="F40" s="274"/>
      <c r="G40" s="274"/>
      <c r="H40" s="274"/>
      <c r="I40" s="274"/>
      <c r="J40" s="274"/>
      <c r="K40" s="274"/>
    </row>
    <row r="54" spans="2:11" ht="18.75" customHeight="1">
      <c r="B54" s="702"/>
      <c r="C54" s="702"/>
      <c r="D54" s="702"/>
      <c r="E54" s="702"/>
      <c r="F54" s="702"/>
      <c r="G54" s="702"/>
      <c r="H54" s="702"/>
      <c r="I54" s="702"/>
      <c r="J54" s="702"/>
      <c r="K54" s="702"/>
    </row>
    <row r="55" spans="2:11" ht="18.75" customHeight="1">
      <c r="B55" s="325"/>
      <c r="C55" s="274"/>
      <c r="D55" s="274"/>
      <c r="E55" s="274"/>
      <c r="F55" s="274"/>
      <c r="G55" s="274"/>
      <c r="H55" s="274"/>
      <c r="I55" s="274"/>
      <c r="J55" s="274"/>
      <c r="K55" s="274"/>
    </row>
    <row r="56" spans="2:11" ht="18.75" customHeight="1">
      <c r="B56" s="325"/>
      <c r="C56" s="274"/>
      <c r="D56" s="274"/>
      <c r="E56" s="274"/>
      <c r="F56" s="274"/>
      <c r="G56" s="274"/>
      <c r="H56" s="274"/>
      <c r="I56" s="274"/>
      <c r="J56" s="274"/>
      <c r="K56" s="274"/>
    </row>
    <row r="57" spans="2:11" ht="18.75" customHeight="1">
      <c r="B57" s="325"/>
      <c r="C57" s="274"/>
      <c r="D57" s="274"/>
      <c r="E57" s="274"/>
      <c r="F57" s="274"/>
      <c r="G57" s="274"/>
      <c r="H57" s="274"/>
      <c r="I57" s="274"/>
      <c r="J57" s="274"/>
      <c r="K57" s="274"/>
    </row>
    <row r="59" ht="18.75" customHeight="1">
      <c r="B59" s="324"/>
    </row>
    <row r="61" ht="18.75" customHeight="1">
      <c r="B61" s="324"/>
    </row>
    <row r="62" ht="18.75" customHeight="1">
      <c r="B62" s="324"/>
    </row>
  </sheetData>
  <sheetProtection/>
  <mergeCells count="13">
    <mergeCell ref="I6:I7"/>
    <mergeCell ref="J6:J7"/>
    <mergeCell ref="B54:K54"/>
    <mergeCell ref="B2:K2"/>
    <mergeCell ref="B5:B7"/>
    <mergeCell ref="C5:C7"/>
    <mergeCell ref="D5:D7"/>
    <mergeCell ref="E5:E7"/>
    <mergeCell ref="F5:F7"/>
    <mergeCell ref="G5:J5"/>
    <mergeCell ref="K5:K7"/>
    <mergeCell ref="G6:G7"/>
    <mergeCell ref="H6:H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7" r:id="rId1"/>
  <headerFooter alignWithMargins="0">
    <oddHeader>&amp;L11/1.melléklet a 2014.évi 4/2014.(II.28.) Önkormányzati költségvetési rendelethez&amp;R&amp;D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2:AD81"/>
  <sheetViews>
    <sheetView view="pageBreakPreview" zoomScaleSheetLayoutView="100" zoomScalePageLayoutView="0" workbookViewId="0" topLeftCell="A54">
      <selection activeCell="D75" sqref="D75"/>
    </sheetView>
  </sheetViews>
  <sheetFormatPr defaultColWidth="9.140625" defaultRowHeight="12.75"/>
  <cols>
    <col min="1" max="1" width="0.2890625" style="326" customWidth="1"/>
    <col min="2" max="2" width="19.28125" style="326" customWidth="1"/>
    <col min="3" max="3" width="9.7109375" style="326" bestFit="1" customWidth="1"/>
    <col min="4" max="4" width="10.140625" style="326" bestFit="1" customWidth="1"/>
    <col min="5" max="5" width="8.28125" style="326" bestFit="1" customWidth="1"/>
    <col min="6" max="6" width="9.57421875" style="326" bestFit="1" customWidth="1"/>
    <col min="7" max="7" width="8.421875" style="326" customWidth="1"/>
    <col min="8" max="8" width="6.421875" style="326" customWidth="1"/>
    <col min="9" max="9" width="8.140625" style="326" bestFit="1" customWidth="1"/>
    <col min="10" max="11" width="8.140625" style="326" customWidth="1"/>
    <col min="12" max="12" width="7.7109375" style="326" customWidth="1"/>
    <col min="13" max="13" width="9.57421875" style="326" customWidth="1"/>
    <col min="14" max="14" width="8.8515625" style="326" bestFit="1" customWidth="1"/>
    <col min="15" max="17" width="7.8515625" style="326" customWidth="1"/>
    <col min="18" max="18" width="10.7109375" style="326" customWidth="1"/>
    <col min="19" max="19" width="10.140625" style="326" bestFit="1" customWidth="1"/>
    <col min="20" max="22" width="8.421875" style="326" customWidth="1"/>
    <col min="23" max="23" width="10.7109375" style="326" customWidth="1"/>
    <col min="24" max="24" width="7.421875" style="326" customWidth="1"/>
    <col min="25" max="26" width="10.00390625" style="326" customWidth="1"/>
    <col min="27" max="28" width="11.8515625" style="326" customWidth="1"/>
    <col min="29" max="29" width="12.140625" style="326" customWidth="1"/>
    <col min="30" max="16384" width="9.140625" style="326" customWidth="1"/>
  </cols>
  <sheetData>
    <row r="2" spans="2:17" ht="12.75">
      <c r="B2" s="379" t="s">
        <v>320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</row>
    <row r="3" ht="13.5" thickBot="1">
      <c r="AB3" s="326">
        <v>4000</v>
      </c>
    </row>
    <row r="4" spans="2:28" ht="13.5" thickBot="1">
      <c r="B4" s="385" t="s">
        <v>387</v>
      </c>
      <c r="C4" s="706" t="s">
        <v>240</v>
      </c>
      <c r="D4" s="706"/>
      <c r="E4" s="706"/>
      <c r="F4" s="706"/>
      <c r="G4" s="706"/>
      <c r="H4" s="706"/>
      <c r="I4" s="706"/>
      <c r="J4" s="706"/>
      <c r="K4" s="706"/>
      <c r="L4" s="706"/>
      <c r="M4" s="707"/>
      <c r="N4" s="708" t="s">
        <v>388</v>
      </c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7"/>
      <c r="AB4" s="326">
        <v>-101</v>
      </c>
    </row>
    <row r="5" spans="2:28" ht="13.5" thickBot="1">
      <c r="B5" s="457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7"/>
      <c r="N5" s="456"/>
      <c r="O5" s="456"/>
      <c r="P5" s="635"/>
      <c r="Q5" s="635"/>
      <c r="R5" s="443"/>
      <c r="S5" s="703" t="s">
        <v>372</v>
      </c>
      <c r="T5" s="704"/>
      <c r="U5" s="704"/>
      <c r="V5" s="704"/>
      <c r="W5" s="704"/>
      <c r="X5" s="704"/>
      <c r="Y5" s="705"/>
      <c r="Z5" s="475"/>
      <c r="AB5" s="326">
        <v>-800</v>
      </c>
    </row>
    <row r="6" spans="2:28" s="373" customFormat="1" ht="77.25" thickBot="1">
      <c r="B6" s="468" t="s">
        <v>319</v>
      </c>
      <c r="C6" s="469" t="s">
        <v>60</v>
      </c>
      <c r="D6" s="469" t="s">
        <v>321</v>
      </c>
      <c r="E6" s="469" t="s">
        <v>322</v>
      </c>
      <c r="F6" s="469" t="s">
        <v>65</v>
      </c>
      <c r="G6" s="470" t="s">
        <v>367</v>
      </c>
      <c r="H6" s="470" t="s">
        <v>368</v>
      </c>
      <c r="I6" s="470" t="s">
        <v>66</v>
      </c>
      <c r="J6" s="470" t="s">
        <v>9</v>
      </c>
      <c r="K6" s="470"/>
      <c r="L6" s="470" t="s">
        <v>369</v>
      </c>
      <c r="M6" s="471" t="s">
        <v>370</v>
      </c>
      <c r="N6" s="469" t="s">
        <v>337</v>
      </c>
      <c r="O6" s="469" t="s">
        <v>336</v>
      </c>
      <c r="P6" s="469" t="s">
        <v>8</v>
      </c>
      <c r="Q6" s="470" t="s">
        <v>637</v>
      </c>
      <c r="R6" s="472" t="s">
        <v>335</v>
      </c>
      <c r="S6" s="481" t="s">
        <v>352</v>
      </c>
      <c r="T6" s="473" t="s">
        <v>380</v>
      </c>
      <c r="U6" s="473" t="s">
        <v>381</v>
      </c>
      <c r="V6" s="474" t="s">
        <v>382</v>
      </c>
      <c r="W6" s="473" t="s">
        <v>384</v>
      </c>
      <c r="X6" s="474" t="s">
        <v>385</v>
      </c>
      <c r="Y6" s="482" t="s">
        <v>383</v>
      </c>
      <c r="Z6" s="468" t="s">
        <v>386</v>
      </c>
      <c r="AB6" s="373">
        <v>-500</v>
      </c>
    </row>
    <row r="7" spans="2:28" s="373" customFormat="1" ht="12.75">
      <c r="B7" s="458"/>
      <c r="C7" s="375"/>
      <c r="D7" s="375"/>
      <c r="E7" s="375"/>
      <c r="F7" s="375"/>
      <c r="G7" s="378"/>
      <c r="H7" s="378"/>
      <c r="I7" s="378"/>
      <c r="J7" s="378"/>
      <c r="K7" s="378"/>
      <c r="L7" s="378"/>
      <c r="M7" s="463"/>
      <c r="N7" s="375"/>
      <c r="O7" s="375"/>
      <c r="P7" s="375"/>
      <c r="Q7" s="375"/>
      <c r="R7" s="445"/>
      <c r="S7" s="483"/>
      <c r="T7" s="446"/>
      <c r="U7" s="446"/>
      <c r="V7" s="446"/>
      <c r="W7" s="446"/>
      <c r="X7" s="446"/>
      <c r="Y7" s="454"/>
      <c r="Z7" s="476"/>
      <c r="AB7" s="373">
        <v>-1500</v>
      </c>
    </row>
    <row r="8" spans="2:28" ht="12.75">
      <c r="B8" s="459" t="s">
        <v>373</v>
      </c>
      <c r="C8" s="449">
        <v>3683</v>
      </c>
      <c r="D8" s="449">
        <v>995</v>
      </c>
      <c r="E8" s="449">
        <v>16374</v>
      </c>
      <c r="F8" s="337">
        <f>SUM(C8:E8)</f>
        <v>21052</v>
      </c>
      <c r="G8" s="337"/>
      <c r="H8" s="337"/>
      <c r="I8" s="337"/>
      <c r="J8" s="337"/>
      <c r="K8" s="337"/>
      <c r="L8" s="337"/>
      <c r="M8" s="464">
        <f>SUM(F8:L8)</f>
        <v>21052</v>
      </c>
      <c r="N8" s="639">
        <v>7359</v>
      </c>
      <c r="O8" s="443"/>
      <c r="P8" s="443"/>
      <c r="Q8" s="443"/>
      <c r="R8" s="443"/>
      <c r="S8" s="484">
        <v>4927</v>
      </c>
      <c r="T8" s="443"/>
      <c r="U8" s="443">
        <v>8766</v>
      </c>
      <c r="V8" s="443"/>
      <c r="W8" s="443"/>
      <c r="X8" s="443"/>
      <c r="Y8" s="444"/>
      <c r="Z8" s="464">
        <f>SUM(N8:Y8)</f>
        <v>21052</v>
      </c>
      <c r="AA8" s="327">
        <f>+Z8-M8</f>
        <v>0</v>
      </c>
      <c r="AB8" s="326">
        <v>-500</v>
      </c>
    </row>
    <row r="9" spans="2:28" ht="12.75">
      <c r="B9" s="459" t="s">
        <v>323</v>
      </c>
      <c r="C9" s="449">
        <v>4035</v>
      </c>
      <c r="D9" s="449">
        <v>1082</v>
      </c>
      <c r="E9" s="449">
        <v>3333</v>
      </c>
      <c r="F9" s="337">
        <f>SUM(C9:E9)</f>
        <v>8450</v>
      </c>
      <c r="G9" s="337"/>
      <c r="H9" s="337"/>
      <c r="I9" s="337"/>
      <c r="J9" s="337"/>
      <c r="K9" s="337"/>
      <c r="L9" s="337"/>
      <c r="M9" s="464">
        <f aca="true" t="shared" si="0" ref="M9:M21">SUM(F9:L9)</f>
        <v>8450</v>
      </c>
      <c r="N9" s="443"/>
      <c r="O9" s="443"/>
      <c r="P9" s="443"/>
      <c r="Q9" s="443"/>
      <c r="R9" s="449"/>
      <c r="S9" s="448"/>
      <c r="T9" s="443"/>
      <c r="U9" s="443">
        <v>8450</v>
      </c>
      <c r="V9" s="443"/>
      <c r="W9" s="443"/>
      <c r="X9" s="443"/>
      <c r="Y9" s="444"/>
      <c r="Z9" s="464">
        <f aca="true" t="shared" si="1" ref="Z9:Z21">SUM(N9:Y9)</f>
        <v>8450</v>
      </c>
      <c r="AA9" s="327">
        <f aca="true" t="shared" si="2" ref="AA9:AA72">+Z9-M9</f>
        <v>0</v>
      </c>
      <c r="AB9" s="326">
        <v>-350</v>
      </c>
    </row>
    <row r="10" spans="2:28" ht="12.75">
      <c r="B10" s="459" t="s">
        <v>324</v>
      </c>
      <c r="C10" s="449">
        <v>4876</v>
      </c>
      <c r="D10" s="449">
        <v>1079</v>
      </c>
      <c r="E10" s="449">
        <v>2460</v>
      </c>
      <c r="F10" s="337">
        <f aca="true" t="shared" si="3" ref="F10:F21">SUM(C10:E10)</f>
        <v>8415</v>
      </c>
      <c r="G10" s="337"/>
      <c r="H10" s="337"/>
      <c r="I10" s="337"/>
      <c r="J10" s="337"/>
      <c r="K10" s="337"/>
      <c r="L10" s="337"/>
      <c r="M10" s="464">
        <f t="shared" si="0"/>
        <v>8415</v>
      </c>
      <c r="N10" s="443"/>
      <c r="O10" s="443"/>
      <c r="P10" s="443"/>
      <c r="Q10" s="443"/>
      <c r="R10" s="451"/>
      <c r="S10" s="448"/>
      <c r="T10" s="443"/>
      <c r="U10" s="443">
        <v>8415</v>
      </c>
      <c r="V10" s="443"/>
      <c r="W10" s="443"/>
      <c r="X10" s="443"/>
      <c r="Y10" s="444"/>
      <c r="Z10" s="464">
        <f t="shared" si="1"/>
        <v>8415</v>
      </c>
      <c r="AA10" s="327">
        <f t="shared" si="2"/>
        <v>0</v>
      </c>
      <c r="AB10" s="326">
        <v>-249</v>
      </c>
    </row>
    <row r="11" spans="2:27" ht="12.75">
      <c r="B11" s="459" t="s">
        <v>325</v>
      </c>
      <c r="C11" s="449">
        <v>1334</v>
      </c>
      <c r="D11" s="449">
        <v>360</v>
      </c>
      <c r="E11" s="449">
        <v>1322</v>
      </c>
      <c r="F11" s="337">
        <f t="shared" si="3"/>
        <v>3016</v>
      </c>
      <c r="G11" s="337"/>
      <c r="H11" s="337"/>
      <c r="I11" s="337"/>
      <c r="J11" s="337"/>
      <c r="K11" s="337"/>
      <c r="L11" s="337"/>
      <c r="M11" s="464">
        <f t="shared" si="0"/>
        <v>3016</v>
      </c>
      <c r="N11" s="637">
        <v>1587</v>
      </c>
      <c r="O11" s="638"/>
      <c r="P11" s="443"/>
      <c r="Q11" s="443"/>
      <c r="R11" s="451"/>
      <c r="S11" s="484">
        <v>2834</v>
      </c>
      <c r="T11" s="443"/>
      <c r="U11" s="443"/>
      <c r="V11" s="443"/>
      <c r="W11" s="443"/>
      <c r="X11" s="443"/>
      <c r="Y11" s="444">
        <v>-1405</v>
      </c>
      <c r="Z11" s="464">
        <f t="shared" si="1"/>
        <v>3016</v>
      </c>
      <c r="AA11" s="327">
        <f t="shared" si="2"/>
        <v>0</v>
      </c>
    </row>
    <row r="12" spans="2:28" ht="12.75">
      <c r="B12" s="459" t="s">
        <v>326</v>
      </c>
      <c r="C12" s="449">
        <v>7873</v>
      </c>
      <c r="D12" s="449">
        <v>1647</v>
      </c>
      <c r="E12" s="449">
        <v>1052</v>
      </c>
      <c r="F12" s="337">
        <f>SUM(C12:E12)</f>
        <v>10572</v>
      </c>
      <c r="G12" s="337"/>
      <c r="H12" s="337"/>
      <c r="I12" s="337"/>
      <c r="J12" s="337"/>
      <c r="K12" s="337"/>
      <c r="L12" s="337"/>
      <c r="M12" s="464">
        <f t="shared" si="0"/>
        <v>10572</v>
      </c>
      <c r="N12" s="637">
        <v>759</v>
      </c>
      <c r="O12" s="443"/>
      <c r="P12" s="443"/>
      <c r="Q12" s="443"/>
      <c r="R12" s="451"/>
      <c r="S12" s="484">
        <v>13500</v>
      </c>
      <c r="T12" s="443"/>
      <c r="U12" s="443"/>
      <c r="V12" s="443"/>
      <c r="W12" s="443"/>
      <c r="X12" s="443"/>
      <c r="Y12" s="444">
        <v>-3687</v>
      </c>
      <c r="Z12" s="464">
        <f t="shared" si="1"/>
        <v>10572</v>
      </c>
      <c r="AA12" s="327">
        <f t="shared" si="2"/>
        <v>0</v>
      </c>
      <c r="AB12" s="326">
        <f>SUM(AB3:AB11)</f>
        <v>0</v>
      </c>
    </row>
    <row r="13" spans="2:27" ht="12.75">
      <c r="B13" s="459" t="s">
        <v>327</v>
      </c>
      <c r="C13" s="449">
        <v>3216</v>
      </c>
      <c r="D13" s="449">
        <v>783</v>
      </c>
      <c r="E13" s="449">
        <v>1119</v>
      </c>
      <c r="F13" s="337">
        <f t="shared" si="3"/>
        <v>5118</v>
      </c>
      <c r="G13" s="337"/>
      <c r="H13" s="337"/>
      <c r="I13" s="337"/>
      <c r="J13" s="337"/>
      <c r="K13" s="337"/>
      <c r="L13" s="337"/>
      <c r="M13" s="464">
        <f t="shared" si="0"/>
        <v>5118</v>
      </c>
      <c r="N13" s="443"/>
      <c r="O13" s="443"/>
      <c r="P13" s="443"/>
      <c r="Q13" s="443"/>
      <c r="R13" s="451"/>
      <c r="S13" s="484">
        <v>2367</v>
      </c>
      <c r="T13" s="443"/>
      <c r="U13" s="443"/>
      <c r="V13" s="443"/>
      <c r="W13" s="443"/>
      <c r="X13" s="443"/>
      <c r="Y13" s="444">
        <v>2751</v>
      </c>
      <c r="Z13" s="464">
        <f t="shared" si="1"/>
        <v>5118</v>
      </c>
      <c r="AA13" s="327">
        <f t="shared" si="2"/>
        <v>0</v>
      </c>
    </row>
    <row r="14" spans="2:27" ht="12.75">
      <c r="B14" s="459" t="s">
        <v>328</v>
      </c>
      <c r="C14" s="449">
        <v>11176</v>
      </c>
      <c r="D14" s="449">
        <v>3760</v>
      </c>
      <c r="E14" s="449">
        <v>8285</v>
      </c>
      <c r="F14" s="337">
        <f t="shared" si="3"/>
        <v>23221</v>
      </c>
      <c r="G14" s="337"/>
      <c r="H14" s="337"/>
      <c r="I14" s="337"/>
      <c r="J14" s="337"/>
      <c r="K14" s="337"/>
      <c r="L14" s="337"/>
      <c r="M14" s="464">
        <f t="shared" si="0"/>
        <v>23221</v>
      </c>
      <c r="N14" s="638">
        <v>1573</v>
      </c>
      <c r="O14" s="443"/>
      <c r="P14" s="638">
        <v>4065</v>
      </c>
      <c r="Q14" s="638"/>
      <c r="R14" s="640">
        <f>224+2227+1349</f>
        <v>3800</v>
      </c>
      <c r="S14" s="484">
        <v>2367</v>
      </c>
      <c r="T14" s="443"/>
      <c r="U14" s="443">
        <v>11416</v>
      </c>
      <c r="V14" s="443"/>
      <c r="W14" s="443"/>
      <c r="X14" s="443"/>
      <c r="Y14" s="444"/>
      <c r="Z14" s="464">
        <f t="shared" si="1"/>
        <v>23221</v>
      </c>
      <c r="AA14" s="327">
        <f t="shared" si="2"/>
        <v>0</v>
      </c>
    </row>
    <row r="15" spans="2:27" ht="12.75">
      <c r="B15" s="459" t="s">
        <v>329</v>
      </c>
      <c r="C15" s="449">
        <v>7457</v>
      </c>
      <c r="D15" s="449">
        <v>1896</v>
      </c>
      <c r="E15" s="449">
        <v>1156</v>
      </c>
      <c r="F15" s="337">
        <f>SUM(C15:E15)</f>
        <v>10509</v>
      </c>
      <c r="G15" s="337"/>
      <c r="H15" s="337"/>
      <c r="I15" s="337"/>
      <c r="J15" s="337"/>
      <c r="K15" s="337"/>
      <c r="L15" s="337"/>
      <c r="M15" s="464">
        <f t="shared" si="0"/>
        <v>10509</v>
      </c>
      <c r="N15" s="637">
        <v>79</v>
      </c>
      <c r="O15" s="443"/>
      <c r="P15" s="443"/>
      <c r="Q15" s="443"/>
      <c r="R15" s="451"/>
      <c r="S15" s="484">
        <v>4350</v>
      </c>
      <c r="T15" s="443"/>
      <c r="U15" s="443">
        <v>6080</v>
      </c>
      <c r="V15" s="443"/>
      <c r="W15" s="443"/>
      <c r="X15" s="443"/>
      <c r="Y15" s="444"/>
      <c r="Z15" s="464">
        <f t="shared" si="1"/>
        <v>10509</v>
      </c>
      <c r="AA15" s="327">
        <f t="shared" si="2"/>
        <v>0</v>
      </c>
    </row>
    <row r="16" spans="2:27" ht="12.75">
      <c r="B16" s="459" t="s">
        <v>330</v>
      </c>
      <c r="C16" s="449">
        <v>6348</v>
      </c>
      <c r="D16" s="449">
        <v>1885</v>
      </c>
      <c r="E16" s="449">
        <v>2857</v>
      </c>
      <c r="F16" s="337">
        <f t="shared" si="3"/>
        <v>11090</v>
      </c>
      <c r="G16" s="337"/>
      <c r="H16" s="337"/>
      <c r="I16" s="337"/>
      <c r="J16" s="337"/>
      <c r="K16" s="337"/>
      <c r="L16" s="337"/>
      <c r="M16" s="464">
        <f t="shared" si="0"/>
        <v>11090</v>
      </c>
      <c r="N16" s="443"/>
      <c r="O16" s="637">
        <v>8743</v>
      </c>
      <c r="P16" s="449"/>
      <c r="Q16" s="449"/>
      <c r="R16" s="451"/>
      <c r="S16" s="448"/>
      <c r="T16" s="443"/>
      <c r="U16" s="443">
        <v>6</v>
      </c>
      <c r="V16" s="443"/>
      <c r="W16" s="443"/>
      <c r="X16" s="443"/>
      <c r="Y16" s="444">
        <v>2341</v>
      </c>
      <c r="Z16" s="464">
        <f t="shared" si="1"/>
        <v>11090</v>
      </c>
      <c r="AA16" s="327">
        <f t="shared" si="2"/>
        <v>0</v>
      </c>
    </row>
    <row r="17" spans="2:27" ht="12.75">
      <c r="B17" s="459" t="s">
        <v>331</v>
      </c>
      <c r="C17" s="449">
        <v>9101</v>
      </c>
      <c r="D17" s="449">
        <v>2172</v>
      </c>
      <c r="E17" s="449">
        <f>1593+802-697</f>
        <v>1698</v>
      </c>
      <c r="F17" s="337">
        <f t="shared" si="3"/>
        <v>12971</v>
      </c>
      <c r="G17" s="337">
        <v>697</v>
      </c>
      <c r="H17" s="337"/>
      <c r="I17" s="337"/>
      <c r="J17" s="337">
        <v>217</v>
      </c>
      <c r="K17" s="337"/>
      <c r="L17" s="337"/>
      <c r="M17" s="464">
        <f t="shared" si="0"/>
        <v>13885</v>
      </c>
      <c r="N17" s="443"/>
      <c r="O17" s="637">
        <v>11533</v>
      </c>
      <c r="P17" s="449"/>
      <c r="Q17" s="449"/>
      <c r="R17" s="451"/>
      <c r="S17" s="448"/>
      <c r="T17" s="443"/>
      <c r="U17" s="443">
        <v>2352</v>
      </c>
      <c r="V17" s="443"/>
      <c r="W17" s="443"/>
      <c r="X17" s="443"/>
      <c r="Y17" s="444"/>
      <c r="Z17" s="464">
        <f t="shared" si="1"/>
        <v>13885</v>
      </c>
      <c r="AA17" s="327">
        <f t="shared" si="2"/>
        <v>0</v>
      </c>
    </row>
    <row r="18" spans="2:27" ht="12.75">
      <c r="B18" s="459" t="s">
        <v>332</v>
      </c>
      <c r="C18" s="449"/>
      <c r="D18" s="449"/>
      <c r="E18" s="449">
        <v>526</v>
      </c>
      <c r="F18" s="337">
        <f t="shared" si="3"/>
        <v>526</v>
      </c>
      <c r="G18" s="337"/>
      <c r="H18" s="337"/>
      <c r="I18" s="337"/>
      <c r="J18" s="337"/>
      <c r="K18" s="337"/>
      <c r="L18" s="337"/>
      <c r="M18" s="464">
        <f t="shared" si="0"/>
        <v>526</v>
      </c>
      <c r="N18" s="443"/>
      <c r="O18" s="637">
        <v>526</v>
      </c>
      <c r="P18" s="449"/>
      <c r="Q18" s="449"/>
      <c r="R18" s="451"/>
      <c r="S18" s="448"/>
      <c r="T18" s="443"/>
      <c r="U18" s="443"/>
      <c r="V18" s="443"/>
      <c r="W18" s="443"/>
      <c r="X18" s="443"/>
      <c r="Y18" s="444"/>
      <c r="Z18" s="464">
        <f t="shared" si="1"/>
        <v>526</v>
      </c>
      <c r="AA18" s="327">
        <f t="shared" si="2"/>
        <v>0</v>
      </c>
    </row>
    <row r="19" spans="2:27" ht="12.75">
      <c r="B19" s="459" t="s">
        <v>333</v>
      </c>
      <c r="C19" s="449">
        <v>1707</v>
      </c>
      <c r="D19" s="449">
        <v>461</v>
      </c>
      <c r="E19" s="449">
        <v>894</v>
      </c>
      <c r="F19" s="337">
        <f>SUM(C19:E19)</f>
        <v>3062</v>
      </c>
      <c r="G19" s="337"/>
      <c r="H19" s="337"/>
      <c r="I19" s="337"/>
      <c r="J19" s="337"/>
      <c r="K19" s="337"/>
      <c r="L19" s="337"/>
      <c r="M19" s="464">
        <f t="shared" si="0"/>
        <v>3062</v>
      </c>
      <c r="N19" s="443"/>
      <c r="O19" s="637">
        <v>2066</v>
      </c>
      <c r="P19" s="449"/>
      <c r="Q19" s="449"/>
      <c r="R19" s="451"/>
      <c r="S19" s="448"/>
      <c r="T19" s="443"/>
      <c r="U19" s="443">
        <v>996</v>
      </c>
      <c r="V19" s="443"/>
      <c r="W19" s="443"/>
      <c r="X19" s="443"/>
      <c r="Y19" s="444"/>
      <c r="Z19" s="464">
        <f t="shared" si="1"/>
        <v>3062</v>
      </c>
      <c r="AA19" s="327">
        <f t="shared" si="2"/>
        <v>0</v>
      </c>
    </row>
    <row r="20" spans="2:27" ht="12.75">
      <c r="B20" s="459" t="s">
        <v>463</v>
      </c>
      <c r="C20" s="449">
        <v>2529</v>
      </c>
      <c r="D20" s="449">
        <v>660</v>
      </c>
      <c r="E20" s="449">
        <v>2328</v>
      </c>
      <c r="F20" s="337">
        <f t="shared" si="3"/>
        <v>5517</v>
      </c>
      <c r="G20" s="337"/>
      <c r="H20" s="337"/>
      <c r="I20" s="337"/>
      <c r="J20" s="337"/>
      <c r="K20" s="337"/>
      <c r="L20" s="337"/>
      <c r="M20" s="464">
        <f t="shared" si="0"/>
        <v>5517</v>
      </c>
      <c r="N20" s="443"/>
      <c r="O20" s="637">
        <v>1857</v>
      </c>
      <c r="P20" s="449"/>
      <c r="Q20" s="449"/>
      <c r="R20" s="451"/>
      <c r="S20" s="448"/>
      <c r="T20" s="443"/>
      <c r="U20" s="443">
        <v>3660</v>
      </c>
      <c r="V20" s="443"/>
      <c r="W20" s="443"/>
      <c r="X20" s="443"/>
      <c r="Y20" s="444"/>
      <c r="Z20" s="464">
        <f t="shared" si="1"/>
        <v>5517</v>
      </c>
      <c r="AA20" s="327">
        <f t="shared" si="2"/>
        <v>0</v>
      </c>
    </row>
    <row r="21" spans="2:27" ht="12.75">
      <c r="B21" s="459" t="s">
        <v>334</v>
      </c>
      <c r="C21" s="449">
        <v>1592</v>
      </c>
      <c r="D21" s="449">
        <v>407</v>
      </c>
      <c r="E21" s="449">
        <v>6786</v>
      </c>
      <c r="F21" s="337">
        <f t="shared" si="3"/>
        <v>8785</v>
      </c>
      <c r="G21" s="337"/>
      <c r="H21" s="337"/>
      <c r="I21" s="337"/>
      <c r="J21" s="337"/>
      <c r="K21" s="337"/>
      <c r="L21" s="337"/>
      <c r="M21" s="464">
        <f t="shared" si="0"/>
        <v>8785</v>
      </c>
      <c r="N21" s="638">
        <v>462</v>
      </c>
      <c r="O21" s="637">
        <v>7672</v>
      </c>
      <c r="P21" s="449"/>
      <c r="Q21" s="449"/>
      <c r="R21" s="451"/>
      <c r="S21" s="448"/>
      <c r="T21" s="443"/>
      <c r="U21" s="443">
        <v>651</v>
      </c>
      <c r="V21" s="443"/>
      <c r="W21" s="443"/>
      <c r="X21" s="443"/>
      <c r="Y21" s="444"/>
      <c r="Z21" s="464">
        <f t="shared" si="1"/>
        <v>8785</v>
      </c>
      <c r="AA21" s="327">
        <f t="shared" si="2"/>
        <v>0</v>
      </c>
    </row>
    <row r="22" spans="2:27" s="373" customFormat="1" ht="12.75">
      <c r="B22" s="460" t="s">
        <v>361</v>
      </c>
      <c r="C22" s="452">
        <f aca="true" t="shared" si="4" ref="C22:W22">SUM(C8:C21)</f>
        <v>64927</v>
      </c>
      <c r="D22" s="452">
        <f t="shared" si="4"/>
        <v>17187</v>
      </c>
      <c r="E22" s="452">
        <f t="shared" si="4"/>
        <v>50190</v>
      </c>
      <c r="F22" s="452">
        <f t="shared" si="4"/>
        <v>132304</v>
      </c>
      <c r="G22" s="452">
        <f t="shared" si="4"/>
        <v>697</v>
      </c>
      <c r="H22" s="452">
        <f t="shared" si="4"/>
        <v>0</v>
      </c>
      <c r="I22" s="452">
        <f t="shared" si="4"/>
        <v>0</v>
      </c>
      <c r="J22" s="452">
        <f t="shared" si="4"/>
        <v>217</v>
      </c>
      <c r="K22" s="452"/>
      <c r="L22" s="452">
        <f t="shared" si="4"/>
        <v>0</v>
      </c>
      <c r="M22" s="465">
        <f t="shared" si="4"/>
        <v>133218</v>
      </c>
      <c r="N22" s="452">
        <f>SUM(N8:N21)</f>
        <v>11819</v>
      </c>
      <c r="O22" s="452">
        <f>SUM(O8:O21)</f>
        <v>32397</v>
      </c>
      <c r="P22" s="452">
        <f>SUM(P8:P21)</f>
        <v>4065</v>
      </c>
      <c r="Q22" s="452">
        <f>SUM(Q8:Q21)</f>
        <v>0</v>
      </c>
      <c r="R22" s="452">
        <f>SUM(R8:R21)</f>
        <v>3800</v>
      </c>
      <c r="S22" s="485">
        <f t="shared" si="4"/>
        <v>30345</v>
      </c>
      <c r="T22" s="452">
        <f t="shared" si="4"/>
        <v>0</v>
      </c>
      <c r="U22" s="452">
        <f t="shared" si="4"/>
        <v>50792</v>
      </c>
      <c r="V22" s="452">
        <f t="shared" si="4"/>
        <v>0</v>
      </c>
      <c r="W22" s="452">
        <f t="shared" si="4"/>
        <v>0</v>
      </c>
      <c r="X22" s="452"/>
      <c r="Y22" s="453">
        <f>SUM(Y8:Y21)</f>
        <v>0</v>
      </c>
      <c r="Z22" s="465">
        <f>SUM(Z8:Z21)</f>
        <v>133218</v>
      </c>
      <c r="AA22" s="327">
        <f t="shared" si="2"/>
        <v>0</v>
      </c>
    </row>
    <row r="23" spans="2:30" ht="12.75">
      <c r="B23" s="459"/>
      <c r="C23" s="443"/>
      <c r="D23" s="443"/>
      <c r="E23" s="443"/>
      <c r="F23" s="449"/>
      <c r="G23" s="449"/>
      <c r="H23" s="449"/>
      <c r="I23" s="449"/>
      <c r="J23" s="449"/>
      <c r="K23" s="449"/>
      <c r="L23" s="449"/>
      <c r="M23" s="466"/>
      <c r="N23" s="449"/>
      <c r="O23" s="449"/>
      <c r="P23" s="449"/>
      <c r="Q23" s="449"/>
      <c r="R23" s="449"/>
      <c r="S23" s="448"/>
      <c r="T23" s="451"/>
      <c r="U23" s="451"/>
      <c r="V23" s="451"/>
      <c r="W23" s="443"/>
      <c r="X23" s="443"/>
      <c r="Y23" s="444"/>
      <c r="Z23" s="459"/>
      <c r="AA23" s="327">
        <f t="shared" si="2"/>
        <v>0</v>
      </c>
      <c r="AD23" s="328"/>
    </row>
    <row r="24" spans="2:30" ht="28.5" customHeight="1">
      <c r="B24" s="461" t="str">
        <f>+4_mell!B14</f>
        <v>Városi Művelődési Központ és Könyvtár</v>
      </c>
      <c r="C24" s="375"/>
      <c r="D24" s="375"/>
      <c r="E24" s="375"/>
      <c r="F24" s="375"/>
      <c r="G24" s="378"/>
      <c r="H24" s="378"/>
      <c r="I24" s="378"/>
      <c r="J24" s="378"/>
      <c r="K24" s="378"/>
      <c r="L24" s="378"/>
      <c r="M24" s="463"/>
      <c r="N24" s="636"/>
      <c r="O24" s="636"/>
      <c r="P24" s="375"/>
      <c r="Q24" s="375"/>
      <c r="R24" s="445"/>
      <c r="S24" s="483"/>
      <c r="T24" s="446"/>
      <c r="U24" s="446"/>
      <c r="V24" s="446"/>
      <c r="W24" s="446"/>
      <c r="X24" s="446"/>
      <c r="Y24" s="454"/>
      <c r="Z24" s="477"/>
      <c r="AA24" s="327">
        <f t="shared" si="2"/>
        <v>0</v>
      </c>
      <c r="AD24" s="328"/>
    </row>
    <row r="25" spans="2:30" ht="12.75">
      <c r="B25" s="462" t="s">
        <v>375</v>
      </c>
      <c r="C25" s="443">
        <v>4059</v>
      </c>
      <c r="D25" s="443">
        <v>1106</v>
      </c>
      <c r="E25" s="443">
        <v>2229</v>
      </c>
      <c r="F25" s="455">
        <f aca="true" t="shared" si="5" ref="F25:F30">SUM(C25:E25)</f>
        <v>7394</v>
      </c>
      <c r="G25" s="449"/>
      <c r="H25" s="449"/>
      <c r="I25" s="449"/>
      <c r="J25" s="449">
        <v>408</v>
      </c>
      <c r="K25" s="449"/>
      <c r="L25" s="449"/>
      <c r="M25" s="466">
        <f aca="true" t="shared" si="6" ref="M25:M30">SUM(F25:L25)</f>
        <v>7802</v>
      </c>
      <c r="N25" s="449">
        <v>1438</v>
      </c>
      <c r="O25" s="449"/>
      <c r="P25" s="449"/>
      <c r="Q25" s="449"/>
      <c r="R25" s="449"/>
      <c r="S25" s="484">
        <v>6831</v>
      </c>
      <c r="T25" s="451"/>
      <c r="U25" s="451"/>
      <c r="V25" s="451"/>
      <c r="W25" s="443"/>
      <c r="X25" s="443"/>
      <c r="Y25" s="444">
        <v>-467</v>
      </c>
      <c r="Z25" s="464">
        <f aca="true" t="shared" si="7" ref="Z25:Z30">SUM(N25:Y25)</f>
        <v>7802</v>
      </c>
      <c r="AA25" s="327">
        <f t="shared" si="2"/>
        <v>0</v>
      </c>
      <c r="AD25" s="328"/>
    </row>
    <row r="26" spans="2:30" ht="12.75">
      <c r="B26" s="462" t="s">
        <v>376</v>
      </c>
      <c r="C26" s="443"/>
      <c r="D26" s="443"/>
      <c r="E26" s="443">
        <v>919</v>
      </c>
      <c r="F26" s="455">
        <f t="shared" si="5"/>
        <v>919</v>
      </c>
      <c r="G26" s="449"/>
      <c r="H26" s="449"/>
      <c r="I26" s="449"/>
      <c r="J26" s="449"/>
      <c r="K26" s="449"/>
      <c r="L26" s="449"/>
      <c r="M26" s="466">
        <f t="shared" si="6"/>
        <v>919</v>
      </c>
      <c r="N26" s="449"/>
      <c r="O26" s="449"/>
      <c r="P26" s="449"/>
      <c r="Q26" s="449"/>
      <c r="R26" s="449"/>
      <c r="S26" s="448"/>
      <c r="T26" s="451"/>
      <c r="U26" s="451">
        <v>919</v>
      </c>
      <c r="V26" s="451"/>
      <c r="W26" s="443"/>
      <c r="X26" s="443"/>
      <c r="Y26" s="444"/>
      <c r="Z26" s="464">
        <f t="shared" si="7"/>
        <v>919</v>
      </c>
      <c r="AA26" s="327">
        <f t="shared" si="2"/>
        <v>0</v>
      </c>
      <c r="AD26" s="328"/>
    </row>
    <row r="27" spans="2:30" ht="12.75">
      <c r="B27" s="462" t="s">
        <v>377</v>
      </c>
      <c r="C27" s="443">
        <v>2400</v>
      </c>
      <c r="D27" s="443">
        <v>655</v>
      </c>
      <c r="E27" s="443">
        <v>1162</v>
      </c>
      <c r="F27" s="455">
        <f t="shared" si="5"/>
        <v>4217</v>
      </c>
      <c r="G27" s="449"/>
      <c r="H27" s="449"/>
      <c r="I27" s="449"/>
      <c r="J27" s="449"/>
      <c r="K27" s="449"/>
      <c r="L27" s="449"/>
      <c r="M27" s="466">
        <f t="shared" si="6"/>
        <v>4217</v>
      </c>
      <c r="N27" s="449"/>
      <c r="O27" s="449"/>
      <c r="P27" s="449"/>
      <c r="Q27" s="449"/>
      <c r="R27" s="449"/>
      <c r="S27" s="484"/>
      <c r="T27" s="451"/>
      <c r="U27" s="451">
        <v>4217</v>
      </c>
      <c r="V27" s="451"/>
      <c r="W27" s="443"/>
      <c r="X27" s="443"/>
      <c r="Y27" s="444"/>
      <c r="Z27" s="464">
        <f t="shared" si="7"/>
        <v>4217</v>
      </c>
      <c r="AA27" s="327">
        <f t="shared" si="2"/>
        <v>0</v>
      </c>
      <c r="AD27" s="328"/>
    </row>
    <row r="28" spans="2:30" ht="12.75">
      <c r="B28" s="462" t="s">
        <v>378</v>
      </c>
      <c r="C28" s="443">
        <v>1517</v>
      </c>
      <c r="D28" s="443">
        <v>410</v>
      </c>
      <c r="E28" s="443"/>
      <c r="F28" s="455">
        <f t="shared" si="5"/>
        <v>1927</v>
      </c>
      <c r="G28" s="449"/>
      <c r="H28" s="449"/>
      <c r="I28" s="449"/>
      <c r="J28" s="449"/>
      <c r="K28" s="449"/>
      <c r="L28" s="449"/>
      <c r="M28" s="466">
        <f t="shared" si="6"/>
        <v>1927</v>
      </c>
      <c r="N28" s="449"/>
      <c r="O28" s="449"/>
      <c r="P28" s="449"/>
      <c r="Q28" s="449"/>
      <c r="R28" s="449"/>
      <c r="S28" s="448"/>
      <c r="T28" s="451"/>
      <c r="U28" s="451">
        <v>1927</v>
      </c>
      <c r="V28" s="451"/>
      <c r="W28" s="443"/>
      <c r="X28" s="443"/>
      <c r="Y28" s="444"/>
      <c r="Z28" s="464">
        <f t="shared" si="7"/>
        <v>1927</v>
      </c>
      <c r="AA28" s="327">
        <f t="shared" si="2"/>
        <v>0</v>
      </c>
      <c r="AD28" s="328"/>
    </row>
    <row r="29" spans="2:30" ht="12.75">
      <c r="B29" s="462" t="s">
        <v>379</v>
      </c>
      <c r="C29" s="443">
        <v>2405</v>
      </c>
      <c r="D29" s="443">
        <v>632</v>
      </c>
      <c r="E29" s="443">
        <v>7806</v>
      </c>
      <c r="F29" s="455">
        <f t="shared" si="5"/>
        <v>10843</v>
      </c>
      <c r="G29" s="449"/>
      <c r="H29" s="449"/>
      <c r="I29" s="449"/>
      <c r="J29" s="449"/>
      <c r="K29" s="449"/>
      <c r="L29" s="449"/>
      <c r="M29" s="466">
        <f t="shared" si="6"/>
        <v>10843</v>
      </c>
      <c r="N29" s="449">
        <v>1065</v>
      </c>
      <c r="O29" s="449"/>
      <c r="P29" s="449"/>
      <c r="Q29" s="449"/>
      <c r="R29" s="449">
        <v>1945</v>
      </c>
      <c r="S29" s="448"/>
      <c r="T29" s="451"/>
      <c r="U29" s="451">
        <v>7833</v>
      </c>
      <c r="V29" s="451"/>
      <c r="W29" s="443"/>
      <c r="X29" s="443"/>
      <c r="Y29" s="444"/>
      <c r="Z29" s="464">
        <f t="shared" si="7"/>
        <v>10843</v>
      </c>
      <c r="AA29" s="327">
        <f t="shared" si="2"/>
        <v>0</v>
      </c>
      <c r="AD29" s="328"/>
    </row>
    <row r="30" spans="2:30" ht="13.5" thickBot="1">
      <c r="B30" s="462" t="s">
        <v>636</v>
      </c>
      <c r="C30" s="443">
        <v>756</v>
      </c>
      <c r="D30" s="443">
        <v>204</v>
      </c>
      <c r="E30" s="443">
        <v>4372</v>
      </c>
      <c r="F30" s="455">
        <f t="shared" si="5"/>
        <v>5332</v>
      </c>
      <c r="G30" s="449"/>
      <c r="H30" s="449"/>
      <c r="I30" s="449"/>
      <c r="J30" s="449">
        <v>3122</v>
      </c>
      <c r="K30" s="449"/>
      <c r="L30" s="449"/>
      <c r="M30" s="466">
        <f t="shared" si="6"/>
        <v>8454</v>
      </c>
      <c r="N30" s="449"/>
      <c r="O30" s="449"/>
      <c r="P30" s="449"/>
      <c r="Q30" s="449">
        <f>3435-313</f>
        <v>3122</v>
      </c>
      <c r="R30" s="449">
        <f>4565+454+313</f>
        <v>5332</v>
      </c>
      <c r="S30" s="641"/>
      <c r="T30" s="451"/>
      <c r="U30" s="451"/>
      <c r="V30" s="451"/>
      <c r="W30" s="443"/>
      <c r="X30" s="443"/>
      <c r="Y30" s="642"/>
      <c r="Z30" s="464">
        <f t="shared" si="7"/>
        <v>8454</v>
      </c>
      <c r="AA30" s="327">
        <f t="shared" si="2"/>
        <v>0</v>
      </c>
      <c r="AD30" s="328"/>
    </row>
    <row r="31" spans="2:30" s="374" customFormat="1" ht="12.75" customHeight="1" thickBot="1">
      <c r="B31" s="478" t="s">
        <v>361</v>
      </c>
      <c r="C31" s="479">
        <f>SUM(C25:C30)</f>
        <v>11137</v>
      </c>
      <c r="D31" s="479">
        <f>SUM(D25:D30)</f>
        <v>3007</v>
      </c>
      <c r="E31" s="479">
        <f aca="true" t="shared" si="8" ref="E31:K31">SUM(E25:E30)</f>
        <v>16488</v>
      </c>
      <c r="F31" s="479">
        <f t="shared" si="8"/>
        <v>30632</v>
      </c>
      <c r="G31" s="479">
        <f t="shared" si="8"/>
        <v>0</v>
      </c>
      <c r="H31" s="479">
        <f t="shared" si="8"/>
        <v>0</v>
      </c>
      <c r="I31" s="479">
        <f t="shared" si="8"/>
        <v>0</v>
      </c>
      <c r="J31" s="479">
        <f t="shared" si="8"/>
        <v>3530</v>
      </c>
      <c r="K31" s="479">
        <f t="shared" si="8"/>
        <v>0</v>
      </c>
      <c r="L31" s="480">
        <f aca="true" t="shared" si="9" ref="L31:Z31">SUM(L25:L30)</f>
        <v>0</v>
      </c>
      <c r="M31" s="643">
        <f t="shared" si="9"/>
        <v>34162</v>
      </c>
      <c r="N31" s="480">
        <f t="shared" si="9"/>
        <v>2503</v>
      </c>
      <c r="O31" s="480">
        <f t="shared" si="9"/>
        <v>0</v>
      </c>
      <c r="P31" s="480">
        <f t="shared" si="9"/>
        <v>0</v>
      </c>
      <c r="Q31" s="480">
        <f t="shared" si="9"/>
        <v>3122</v>
      </c>
      <c r="R31" s="480">
        <f t="shared" si="9"/>
        <v>7277</v>
      </c>
      <c r="S31" s="486">
        <f t="shared" si="9"/>
        <v>6831</v>
      </c>
      <c r="T31" s="480">
        <f t="shared" si="9"/>
        <v>0</v>
      </c>
      <c r="U31" s="480">
        <f t="shared" si="9"/>
        <v>14896</v>
      </c>
      <c r="V31" s="480">
        <f t="shared" si="9"/>
        <v>0</v>
      </c>
      <c r="W31" s="480">
        <f t="shared" si="9"/>
        <v>0</v>
      </c>
      <c r="X31" s="480">
        <f t="shared" si="9"/>
        <v>0</v>
      </c>
      <c r="Y31" s="480">
        <f t="shared" si="9"/>
        <v>-467</v>
      </c>
      <c r="Z31" s="643">
        <f t="shared" si="9"/>
        <v>34162</v>
      </c>
      <c r="AA31" s="327">
        <f t="shared" si="2"/>
        <v>0</v>
      </c>
      <c r="AD31" s="382"/>
    </row>
    <row r="32" spans="3:30" ht="0.75" customHeight="1" hidden="1" thickBot="1">
      <c r="C32" s="326">
        <f>+4_mell!D16</f>
        <v>9313</v>
      </c>
      <c r="D32" s="326">
        <f>+4_mell!E16</f>
        <v>2514</v>
      </c>
      <c r="E32" s="326">
        <f>+4_mell!F16</f>
        <v>6921</v>
      </c>
      <c r="F32" s="327">
        <f>SUM(C32:E32)</f>
        <v>18748</v>
      </c>
      <c r="G32" s="327"/>
      <c r="H32" s="327"/>
      <c r="I32" s="327"/>
      <c r="J32" s="327"/>
      <c r="K32" s="327"/>
      <c r="L32" s="327"/>
      <c r="M32" s="327"/>
      <c r="N32" s="327">
        <f>+3_mell!D16</f>
        <v>1290</v>
      </c>
      <c r="O32" s="327"/>
      <c r="P32" s="327"/>
      <c r="Q32" s="327"/>
      <c r="R32" s="327"/>
      <c r="T32" s="328">
        <f>+3_mell!J16</f>
        <v>17458</v>
      </c>
      <c r="U32" s="328">
        <f>SUM(S31:U31)</f>
        <v>21727</v>
      </c>
      <c r="V32" s="328"/>
      <c r="AA32" s="327">
        <f t="shared" si="2"/>
        <v>0</v>
      </c>
      <c r="AD32" s="328"/>
    </row>
    <row r="33" spans="6:30" ht="13.5" hidden="1" thickBot="1"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T33" s="328"/>
      <c r="U33" s="328"/>
      <c r="V33" s="328"/>
      <c r="AA33" s="327">
        <f t="shared" si="2"/>
        <v>0</v>
      </c>
      <c r="AD33" s="328"/>
    </row>
    <row r="34" spans="3:30" ht="13.5" hidden="1" thickBot="1">
      <c r="C34" s="326">
        <f>+4_mell!D17</f>
        <v>11137</v>
      </c>
      <c r="D34" s="326">
        <f>+4_mell!E17</f>
        <v>3007</v>
      </c>
      <c r="E34" s="326">
        <f>+4_mell!F17</f>
        <v>16488</v>
      </c>
      <c r="F34" s="327"/>
      <c r="G34" s="327"/>
      <c r="H34" s="327"/>
      <c r="I34" s="327"/>
      <c r="J34" s="327">
        <f>+4_mell!L17</f>
        <v>3530</v>
      </c>
      <c r="K34" s="327"/>
      <c r="L34" s="327"/>
      <c r="M34" s="327">
        <f>+4_mell!M17</f>
        <v>34162</v>
      </c>
      <c r="N34" s="327">
        <f>+3_mell!D17</f>
        <v>2503</v>
      </c>
      <c r="O34" s="327"/>
      <c r="P34" s="327"/>
      <c r="Q34" s="327">
        <f>+3_mell!H17</f>
        <v>3122</v>
      </c>
      <c r="R34" s="327">
        <f>+3_mell!F17+3_mell!G17</f>
        <v>7277</v>
      </c>
      <c r="T34" s="328"/>
      <c r="U34" s="328"/>
      <c r="V34" s="328"/>
      <c r="AA34" s="327">
        <f t="shared" si="2"/>
        <v>-34162</v>
      </c>
      <c r="AD34" s="328"/>
    </row>
    <row r="35" spans="2:27" ht="13.5" thickBot="1">
      <c r="B35" s="385" t="s">
        <v>387</v>
      </c>
      <c r="C35" s="708" t="s">
        <v>240</v>
      </c>
      <c r="D35" s="706"/>
      <c r="E35" s="706"/>
      <c r="F35" s="706"/>
      <c r="G35" s="706"/>
      <c r="H35" s="706"/>
      <c r="I35" s="706"/>
      <c r="J35" s="706"/>
      <c r="K35" s="706"/>
      <c r="L35" s="706"/>
      <c r="M35" s="707"/>
      <c r="N35" s="708" t="s">
        <v>388</v>
      </c>
      <c r="O35" s="706"/>
      <c r="P35" s="706"/>
      <c r="Q35" s="706"/>
      <c r="R35" s="706"/>
      <c r="S35" s="706"/>
      <c r="T35" s="706"/>
      <c r="U35" s="706"/>
      <c r="V35" s="706"/>
      <c r="W35" s="706"/>
      <c r="X35" s="706"/>
      <c r="Y35" s="706"/>
      <c r="Z35" s="707"/>
      <c r="AA35" s="327">
        <f t="shared" si="2"/>
        <v>0</v>
      </c>
    </row>
    <row r="36" spans="2:27" ht="13.5" thickBot="1">
      <c r="B36" s="650"/>
      <c r="C36" s="647"/>
      <c r="D36" s="647"/>
      <c r="E36" s="647"/>
      <c r="F36" s="647"/>
      <c r="G36" s="647"/>
      <c r="H36" s="647"/>
      <c r="I36" s="647"/>
      <c r="J36" s="647"/>
      <c r="K36" s="647"/>
      <c r="L36" s="647"/>
      <c r="M36" s="650"/>
      <c r="N36" s="646"/>
      <c r="O36" s="647"/>
      <c r="P36" s="647"/>
      <c r="Q36" s="648"/>
      <c r="R36" s="649"/>
      <c r="S36" s="709" t="s">
        <v>372</v>
      </c>
      <c r="T36" s="710"/>
      <c r="U36" s="710"/>
      <c r="V36" s="710"/>
      <c r="W36" s="710"/>
      <c r="X36" s="710"/>
      <c r="Y36" s="711"/>
      <c r="Z36" s="494"/>
      <c r="AA36" s="327">
        <f t="shared" si="2"/>
        <v>0</v>
      </c>
    </row>
    <row r="37" spans="2:27" s="373" customFormat="1" ht="77.25" thickBot="1">
      <c r="B37" s="467" t="s">
        <v>362</v>
      </c>
      <c r="C37" s="384" t="s">
        <v>60</v>
      </c>
      <c r="D37" s="384" t="s">
        <v>321</v>
      </c>
      <c r="E37" s="384" t="s">
        <v>322</v>
      </c>
      <c r="F37" s="384" t="s">
        <v>65</v>
      </c>
      <c r="G37" s="506" t="s">
        <v>367</v>
      </c>
      <c r="H37" s="506" t="s">
        <v>368</v>
      </c>
      <c r="I37" s="506" t="s">
        <v>66</v>
      </c>
      <c r="J37" s="506" t="s">
        <v>9</v>
      </c>
      <c r="K37" s="506"/>
      <c r="L37" s="506" t="s">
        <v>369</v>
      </c>
      <c r="M37" s="507" t="s">
        <v>370</v>
      </c>
      <c r="N37" s="645" t="s">
        <v>337</v>
      </c>
      <c r="O37" s="384" t="s">
        <v>336</v>
      </c>
      <c r="P37" s="384" t="s">
        <v>8</v>
      </c>
      <c r="Q37" s="506" t="s">
        <v>637</v>
      </c>
      <c r="R37" s="501" t="s">
        <v>335</v>
      </c>
      <c r="S37" s="383" t="s">
        <v>352</v>
      </c>
      <c r="T37" s="502" t="s">
        <v>380</v>
      </c>
      <c r="U37" s="502" t="s">
        <v>381</v>
      </c>
      <c r="V37" s="503" t="s">
        <v>382</v>
      </c>
      <c r="W37" s="502" t="s">
        <v>384</v>
      </c>
      <c r="X37" s="503" t="s">
        <v>385</v>
      </c>
      <c r="Y37" s="504" t="s">
        <v>383</v>
      </c>
      <c r="Z37" s="505" t="s">
        <v>386</v>
      </c>
      <c r="AA37" s="327"/>
    </row>
    <row r="38" spans="2:30" s="373" customFormat="1" ht="12" customHeight="1">
      <c r="B38" s="477"/>
      <c r="C38" s="375"/>
      <c r="D38" s="375"/>
      <c r="E38" s="375"/>
      <c r="F38" s="375"/>
      <c r="G38" s="378"/>
      <c r="H38" s="378"/>
      <c r="I38" s="378"/>
      <c r="J38" s="378"/>
      <c r="K38" s="378"/>
      <c r="L38" s="378"/>
      <c r="M38" s="463"/>
      <c r="N38" s="483"/>
      <c r="O38" s="375"/>
      <c r="P38" s="375"/>
      <c r="Q38" s="375"/>
      <c r="R38" s="445"/>
      <c r="S38" s="483"/>
      <c r="T38" s="446"/>
      <c r="U38" s="446"/>
      <c r="V38" s="446"/>
      <c r="W38" s="446"/>
      <c r="X38" s="446"/>
      <c r="Y38" s="454"/>
      <c r="Z38" s="447"/>
      <c r="AA38" s="327">
        <f t="shared" si="2"/>
        <v>0</v>
      </c>
      <c r="AD38" s="376"/>
    </row>
    <row r="39" spans="2:27" ht="25.5">
      <c r="B39" s="487" t="s">
        <v>340</v>
      </c>
      <c r="C39" s="330"/>
      <c r="D39" s="330"/>
      <c r="E39" s="331"/>
      <c r="F39" s="336">
        <f>SUM(C39:E39)</f>
        <v>0</v>
      </c>
      <c r="G39" s="336"/>
      <c r="H39" s="336"/>
      <c r="I39" s="336"/>
      <c r="J39" s="336"/>
      <c r="K39" s="336"/>
      <c r="L39" s="336"/>
      <c r="M39" s="492">
        <f>SUM(F39:L39)</f>
        <v>0</v>
      </c>
      <c r="N39" s="448"/>
      <c r="O39" s="443"/>
      <c r="P39" s="443"/>
      <c r="Q39" s="443"/>
      <c r="R39" s="443"/>
      <c r="S39" s="448"/>
      <c r="T39" s="443"/>
      <c r="U39" s="443"/>
      <c r="V39" s="443"/>
      <c r="W39" s="443"/>
      <c r="X39" s="443"/>
      <c r="Y39" s="444"/>
      <c r="Z39" s="450">
        <f>SUM(N39:Y39)</f>
        <v>0</v>
      </c>
      <c r="AA39" s="327">
        <f t="shared" si="2"/>
        <v>0</v>
      </c>
    </row>
    <row r="40" spans="2:27" ht="51">
      <c r="B40" s="488" t="s">
        <v>341</v>
      </c>
      <c r="C40" s="330"/>
      <c r="D40" s="330"/>
      <c r="E40" s="331"/>
      <c r="F40" s="336">
        <f aca="true" t="shared" si="10" ref="F40:F50">SUM(C40:E40)</f>
        <v>0</v>
      </c>
      <c r="G40" s="336"/>
      <c r="H40" s="336"/>
      <c r="I40" s="336"/>
      <c r="J40" s="336"/>
      <c r="K40" s="336"/>
      <c r="L40" s="336"/>
      <c r="M40" s="492">
        <f aca="true" t="shared" si="11" ref="M40:M50">SUM(F40:L40)</f>
        <v>0</v>
      </c>
      <c r="N40" s="448"/>
      <c r="O40" s="443"/>
      <c r="P40" s="443"/>
      <c r="Q40" s="443"/>
      <c r="R40" s="443"/>
      <c r="S40" s="448"/>
      <c r="T40" s="443"/>
      <c r="U40" s="443"/>
      <c r="V40" s="443"/>
      <c r="W40" s="443"/>
      <c r="X40" s="443"/>
      <c r="Y40" s="444"/>
      <c r="Z40" s="450">
        <f aca="true" t="shared" si="12" ref="Z40:Z50">SUM(N40:Y40)</f>
        <v>0</v>
      </c>
      <c r="AA40" s="327">
        <f t="shared" si="2"/>
        <v>0</v>
      </c>
    </row>
    <row r="41" spans="2:27" ht="51">
      <c r="B41" s="489" t="s">
        <v>342</v>
      </c>
      <c r="C41" s="330"/>
      <c r="D41" s="330"/>
      <c r="E41" s="331"/>
      <c r="F41" s="336">
        <f t="shared" si="10"/>
        <v>0</v>
      </c>
      <c r="G41" s="336"/>
      <c r="H41" s="336"/>
      <c r="I41" s="336"/>
      <c r="J41" s="336"/>
      <c r="K41" s="336"/>
      <c r="L41" s="336"/>
      <c r="M41" s="492">
        <f t="shared" si="11"/>
        <v>0</v>
      </c>
      <c r="N41" s="448"/>
      <c r="O41" s="443"/>
      <c r="P41" s="443"/>
      <c r="Q41" s="443"/>
      <c r="R41" s="443"/>
      <c r="S41" s="484"/>
      <c r="T41" s="443"/>
      <c r="U41" s="443"/>
      <c r="V41" s="443"/>
      <c r="W41" s="443"/>
      <c r="X41" s="443"/>
      <c r="Y41" s="444"/>
      <c r="Z41" s="450">
        <f t="shared" si="12"/>
        <v>0</v>
      </c>
      <c r="AA41" s="327">
        <f t="shared" si="2"/>
        <v>0</v>
      </c>
    </row>
    <row r="42" spans="2:27" ht="12.75">
      <c r="B42" s="490" t="s">
        <v>343</v>
      </c>
      <c r="C42" s="331">
        <v>14197</v>
      </c>
      <c r="D42" s="331">
        <v>3369</v>
      </c>
      <c r="E42" s="331">
        <v>65219</v>
      </c>
      <c r="F42" s="336">
        <f t="shared" si="10"/>
        <v>82785</v>
      </c>
      <c r="G42" s="336"/>
      <c r="H42" s="336"/>
      <c r="I42" s="336"/>
      <c r="J42" s="336"/>
      <c r="K42" s="336"/>
      <c r="L42" s="336"/>
      <c r="M42" s="492">
        <f t="shared" si="11"/>
        <v>82785</v>
      </c>
      <c r="N42" s="495">
        <v>77173</v>
      </c>
      <c r="O42" s="443"/>
      <c r="P42" s="443"/>
      <c r="Q42" s="443"/>
      <c r="R42" s="443">
        <v>250</v>
      </c>
      <c r="S42" s="448">
        <f>394+91+301</f>
        <v>786</v>
      </c>
      <c r="T42" s="443"/>
      <c r="U42" s="443"/>
      <c r="V42" s="443"/>
      <c r="W42" s="443"/>
      <c r="X42" s="443"/>
      <c r="Y42" s="444">
        <v>4576</v>
      </c>
      <c r="Z42" s="450">
        <f t="shared" si="12"/>
        <v>82785</v>
      </c>
      <c r="AA42" s="327">
        <f t="shared" si="2"/>
        <v>0</v>
      </c>
    </row>
    <row r="43" spans="2:27" ht="38.25">
      <c r="B43" s="488" t="s">
        <v>344</v>
      </c>
      <c r="C43" s="333"/>
      <c r="D43" s="333"/>
      <c r="E43" s="331">
        <v>3813</v>
      </c>
      <c r="F43" s="336">
        <f t="shared" si="10"/>
        <v>3813</v>
      </c>
      <c r="G43" s="336"/>
      <c r="H43" s="336"/>
      <c r="I43" s="336"/>
      <c r="J43" s="336"/>
      <c r="K43" s="336"/>
      <c r="L43" s="336"/>
      <c r="M43" s="492">
        <f t="shared" si="11"/>
        <v>3813</v>
      </c>
      <c r="N43" s="448">
        <v>3311</v>
      </c>
      <c r="O43" s="443"/>
      <c r="P43" s="443"/>
      <c r="Q43" s="443"/>
      <c r="R43" s="443"/>
      <c r="S43" s="448"/>
      <c r="T43" s="443"/>
      <c r="U43" s="443"/>
      <c r="V43" s="443"/>
      <c r="W43" s="443"/>
      <c r="X43" s="443"/>
      <c r="Y43" s="444">
        <v>502</v>
      </c>
      <c r="Z43" s="450">
        <f t="shared" si="12"/>
        <v>3813</v>
      </c>
      <c r="AA43" s="327">
        <f t="shared" si="2"/>
        <v>0</v>
      </c>
    </row>
    <row r="44" spans="2:27" ht="38.25">
      <c r="B44" s="489" t="s">
        <v>345</v>
      </c>
      <c r="C44" s="333"/>
      <c r="D44" s="333"/>
      <c r="E44" s="331">
        <f>1879+1597</f>
        <v>3476</v>
      </c>
      <c r="F44" s="336">
        <f t="shared" si="10"/>
        <v>3476</v>
      </c>
      <c r="G44" s="336"/>
      <c r="H44" s="336"/>
      <c r="I44" s="336"/>
      <c r="J44" s="336"/>
      <c r="K44" s="336"/>
      <c r="L44" s="336"/>
      <c r="M44" s="492">
        <f t="shared" si="11"/>
        <v>3476</v>
      </c>
      <c r="N44" s="448">
        <f>6601+2194</f>
        <v>8795</v>
      </c>
      <c r="O44" s="443"/>
      <c r="P44" s="443"/>
      <c r="Q44" s="443"/>
      <c r="R44" s="443"/>
      <c r="S44" s="448"/>
      <c r="T44" s="443"/>
      <c r="U44" s="443"/>
      <c r="V44" s="443"/>
      <c r="W44" s="443"/>
      <c r="X44" s="443"/>
      <c r="Y44" s="444">
        <v>-5319</v>
      </c>
      <c r="Z44" s="450">
        <f t="shared" si="12"/>
        <v>3476</v>
      </c>
      <c r="AA44" s="327">
        <f t="shared" si="2"/>
        <v>0</v>
      </c>
    </row>
    <row r="45" spans="2:27" ht="25.5">
      <c r="B45" s="489" t="s">
        <v>346</v>
      </c>
      <c r="C45" s="333"/>
      <c r="D45" s="333"/>
      <c r="E45" s="331">
        <v>5152</v>
      </c>
      <c r="F45" s="336">
        <f t="shared" si="10"/>
        <v>5152</v>
      </c>
      <c r="G45" s="336"/>
      <c r="H45" s="336"/>
      <c r="I45" s="336"/>
      <c r="J45" s="336"/>
      <c r="K45" s="336"/>
      <c r="L45" s="336"/>
      <c r="M45" s="492">
        <f t="shared" si="11"/>
        <v>5152</v>
      </c>
      <c r="N45" s="448"/>
      <c r="O45" s="443"/>
      <c r="P45" s="443"/>
      <c r="Q45" s="443"/>
      <c r="R45" s="443"/>
      <c r="S45" s="448">
        <v>3200</v>
      </c>
      <c r="T45" s="443"/>
      <c r="U45" s="443">
        <v>1952</v>
      </c>
      <c r="V45" s="443"/>
      <c r="W45" s="443"/>
      <c r="X45" s="443"/>
      <c r="Y45" s="444"/>
      <c r="Z45" s="450">
        <f t="shared" si="12"/>
        <v>5152</v>
      </c>
      <c r="AA45" s="327">
        <f t="shared" si="2"/>
        <v>0</v>
      </c>
    </row>
    <row r="46" spans="2:27" ht="38.25">
      <c r="B46" s="489" t="s">
        <v>347</v>
      </c>
      <c r="C46" s="331">
        <v>31688</v>
      </c>
      <c r="D46" s="331">
        <v>9049</v>
      </c>
      <c r="E46" s="331">
        <f>33070+13950+898</f>
        <v>47918</v>
      </c>
      <c r="F46" s="336">
        <f t="shared" si="10"/>
        <v>88655</v>
      </c>
      <c r="G46" s="336"/>
      <c r="H46" s="336"/>
      <c r="I46" s="336"/>
      <c r="J46" s="336">
        <f>291+206</f>
        <v>497</v>
      </c>
      <c r="K46" s="336"/>
      <c r="L46" s="336"/>
      <c r="M46" s="492">
        <f t="shared" si="11"/>
        <v>89152</v>
      </c>
      <c r="N46" s="448">
        <f>2163+39</f>
        <v>2202</v>
      </c>
      <c r="O46" s="443"/>
      <c r="P46" s="443">
        <v>1294</v>
      </c>
      <c r="Q46" s="443"/>
      <c r="R46" s="443">
        <v>3133</v>
      </c>
      <c r="S46" s="484">
        <f>19955+12986</f>
        <v>32941</v>
      </c>
      <c r="T46" s="443"/>
      <c r="U46" s="443">
        <f>62568-2822-12986</f>
        <v>46760</v>
      </c>
      <c r="V46" s="443"/>
      <c r="W46" s="443"/>
      <c r="X46" s="443"/>
      <c r="Y46" s="444">
        <v>2822</v>
      </c>
      <c r="Z46" s="450">
        <f t="shared" si="12"/>
        <v>89152</v>
      </c>
      <c r="AA46" s="327">
        <f t="shared" si="2"/>
        <v>0</v>
      </c>
    </row>
    <row r="47" spans="2:27" ht="12.75">
      <c r="B47" s="491" t="s">
        <v>348</v>
      </c>
      <c r="C47" s="333"/>
      <c r="D47" s="333"/>
      <c r="E47" s="331">
        <v>43236</v>
      </c>
      <c r="F47" s="336">
        <f t="shared" si="10"/>
        <v>43236</v>
      </c>
      <c r="G47" s="336"/>
      <c r="H47" s="336"/>
      <c r="I47" s="336"/>
      <c r="J47" s="336"/>
      <c r="K47" s="336"/>
      <c r="L47" s="336"/>
      <c r="M47" s="492">
        <f t="shared" si="11"/>
        <v>43236</v>
      </c>
      <c r="N47" s="448"/>
      <c r="O47" s="443"/>
      <c r="P47" s="443"/>
      <c r="Q47" s="443"/>
      <c r="R47" s="443"/>
      <c r="S47" s="484">
        <v>19625</v>
      </c>
      <c r="T47" s="443"/>
      <c r="U47" s="443">
        <f>23611-10</f>
        <v>23601</v>
      </c>
      <c r="V47" s="443"/>
      <c r="W47" s="443"/>
      <c r="X47" s="443"/>
      <c r="Y47" s="444">
        <v>10</v>
      </c>
      <c r="Z47" s="450">
        <f t="shared" si="12"/>
        <v>43236</v>
      </c>
      <c r="AA47" s="327">
        <f t="shared" si="2"/>
        <v>0</v>
      </c>
    </row>
    <row r="48" spans="2:27" ht="38.25">
      <c r="B48" s="489" t="s">
        <v>349</v>
      </c>
      <c r="C48" s="331"/>
      <c r="D48" s="331"/>
      <c r="E48" s="331">
        <f>1610+851</f>
        <v>2461</v>
      </c>
      <c r="F48" s="336">
        <f t="shared" si="10"/>
        <v>2461</v>
      </c>
      <c r="G48" s="336"/>
      <c r="H48" s="336"/>
      <c r="I48" s="336"/>
      <c r="J48" s="336"/>
      <c r="K48" s="336"/>
      <c r="L48" s="336"/>
      <c r="M48" s="492">
        <f t="shared" si="11"/>
        <v>2461</v>
      </c>
      <c r="N48" s="495">
        <v>2471</v>
      </c>
      <c r="O48" s="443"/>
      <c r="P48" s="443"/>
      <c r="Q48" s="443"/>
      <c r="R48" s="443"/>
      <c r="S48" s="448"/>
      <c r="T48" s="443"/>
      <c r="U48" s="443"/>
      <c r="V48" s="443"/>
      <c r="W48" s="443"/>
      <c r="X48" s="443"/>
      <c r="Y48" s="444">
        <v>-10</v>
      </c>
      <c r="Z48" s="450">
        <f t="shared" si="12"/>
        <v>2461</v>
      </c>
      <c r="AA48" s="327">
        <f t="shared" si="2"/>
        <v>0</v>
      </c>
    </row>
    <row r="49" spans="2:27" ht="38.25">
      <c r="B49" s="489" t="s">
        <v>350</v>
      </c>
      <c r="C49" s="331">
        <v>2910</v>
      </c>
      <c r="D49" s="331">
        <v>786</v>
      </c>
      <c r="E49" s="331">
        <v>7697</v>
      </c>
      <c r="F49" s="336">
        <f t="shared" si="10"/>
        <v>11393</v>
      </c>
      <c r="G49" s="336"/>
      <c r="H49" s="336"/>
      <c r="I49" s="336"/>
      <c r="J49" s="336"/>
      <c r="K49" s="336"/>
      <c r="L49" s="336"/>
      <c r="M49" s="492">
        <f t="shared" si="11"/>
        <v>11393</v>
      </c>
      <c r="N49" s="448"/>
      <c r="O49" s="443"/>
      <c r="P49" s="443"/>
      <c r="Q49" s="443"/>
      <c r="R49" s="443"/>
      <c r="S49" s="448"/>
      <c r="T49" s="443"/>
      <c r="U49" s="443">
        <v>11393</v>
      </c>
      <c r="V49" s="443"/>
      <c r="W49" s="443"/>
      <c r="X49" s="443"/>
      <c r="Y49" s="444"/>
      <c r="Z49" s="450">
        <f t="shared" si="12"/>
        <v>11393</v>
      </c>
      <c r="AA49" s="327">
        <f t="shared" si="2"/>
        <v>0</v>
      </c>
    </row>
    <row r="50" spans="2:27" ht="26.25" thickBot="1">
      <c r="B50" s="489" t="s">
        <v>351</v>
      </c>
      <c r="C50" s="333"/>
      <c r="D50" s="333"/>
      <c r="E50" s="331"/>
      <c r="F50" s="336">
        <f t="shared" si="10"/>
        <v>0</v>
      </c>
      <c r="G50" s="336"/>
      <c r="H50" s="336"/>
      <c r="I50" s="336"/>
      <c r="J50" s="336"/>
      <c r="K50" s="336"/>
      <c r="L50" s="336"/>
      <c r="M50" s="492">
        <f t="shared" si="11"/>
        <v>0</v>
      </c>
      <c r="N50" s="448">
        <v>273</v>
      </c>
      <c r="O50" s="443"/>
      <c r="P50" s="443"/>
      <c r="Q50" s="443"/>
      <c r="R50" s="443"/>
      <c r="S50" s="484">
        <v>2308</v>
      </c>
      <c r="T50" s="443"/>
      <c r="U50" s="443"/>
      <c r="V50" s="443"/>
      <c r="W50" s="443"/>
      <c r="X50" s="443"/>
      <c r="Y50" s="444">
        <v>-2581</v>
      </c>
      <c r="Z50" s="450">
        <f t="shared" si="12"/>
        <v>0</v>
      </c>
      <c r="AA50" s="327">
        <f t="shared" si="2"/>
        <v>0</v>
      </c>
    </row>
    <row r="51" spans="2:27" ht="13.5" thickBot="1">
      <c r="B51" s="496" t="s">
        <v>339</v>
      </c>
      <c r="C51" s="497">
        <f aca="true" t="shared" si="13" ref="C51:N51">SUM(C39:C50)</f>
        <v>48795</v>
      </c>
      <c r="D51" s="497">
        <f t="shared" si="13"/>
        <v>13204</v>
      </c>
      <c r="E51" s="497">
        <f t="shared" si="13"/>
        <v>178972</v>
      </c>
      <c r="F51" s="497">
        <f t="shared" si="13"/>
        <v>240971</v>
      </c>
      <c r="G51" s="497">
        <f t="shared" si="13"/>
        <v>0</v>
      </c>
      <c r="H51" s="497">
        <f t="shared" si="13"/>
        <v>0</v>
      </c>
      <c r="I51" s="497">
        <f t="shared" si="13"/>
        <v>0</v>
      </c>
      <c r="J51" s="497">
        <f>SUM(J39:J50)</f>
        <v>497</v>
      </c>
      <c r="K51" s="497">
        <f>SUM(K39:K50)</f>
        <v>0</v>
      </c>
      <c r="L51" s="497">
        <f t="shared" si="13"/>
        <v>0</v>
      </c>
      <c r="M51" s="498">
        <f t="shared" si="13"/>
        <v>241468</v>
      </c>
      <c r="N51" s="499">
        <f t="shared" si="13"/>
        <v>94225</v>
      </c>
      <c r="O51" s="497">
        <f aca="true" t="shared" si="14" ref="O51:Z51">SUM(O39:O50)</f>
        <v>0</v>
      </c>
      <c r="P51" s="497">
        <f t="shared" si="14"/>
        <v>1294</v>
      </c>
      <c r="Q51" s="497">
        <f t="shared" si="14"/>
        <v>0</v>
      </c>
      <c r="R51" s="497">
        <f t="shared" si="14"/>
        <v>3383</v>
      </c>
      <c r="S51" s="499">
        <f t="shared" si="14"/>
        <v>58860</v>
      </c>
      <c r="T51" s="497">
        <f t="shared" si="14"/>
        <v>0</v>
      </c>
      <c r="U51" s="497">
        <f t="shared" si="14"/>
        <v>83706</v>
      </c>
      <c r="V51" s="497">
        <f t="shared" si="14"/>
        <v>0</v>
      </c>
      <c r="W51" s="497">
        <f t="shared" si="14"/>
        <v>0</v>
      </c>
      <c r="X51" s="497">
        <f t="shared" si="14"/>
        <v>0</v>
      </c>
      <c r="Y51" s="497">
        <f t="shared" si="14"/>
        <v>0</v>
      </c>
      <c r="Z51" s="500">
        <f t="shared" si="14"/>
        <v>241468</v>
      </c>
      <c r="AA51" s="327">
        <f t="shared" si="2"/>
        <v>0</v>
      </c>
    </row>
    <row r="52" spans="2:27" ht="13.5" hidden="1" thickBot="1">
      <c r="B52" s="334"/>
      <c r="C52" s="334">
        <f>+4_mell!D7</f>
        <v>48795</v>
      </c>
      <c r="D52" s="334">
        <f>+4_mell!E7</f>
        <v>13204</v>
      </c>
      <c r="E52" s="329">
        <f>+4_mell!F7</f>
        <v>178972</v>
      </c>
      <c r="F52" s="334">
        <f>SUM(C51:E51)</f>
        <v>240971</v>
      </c>
      <c r="G52" s="334"/>
      <c r="H52" s="334"/>
      <c r="I52" s="334"/>
      <c r="J52" s="334">
        <f>+4_mell!L7</f>
        <v>497</v>
      </c>
      <c r="K52" s="334"/>
      <c r="L52" s="334"/>
      <c r="M52" s="334">
        <f>+4_mell!M7</f>
        <v>241468</v>
      </c>
      <c r="N52" s="326">
        <f>+3_mell!D7</f>
        <v>94225</v>
      </c>
      <c r="P52" s="326">
        <f>+3_mell!E7</f>
        <v>1294</v>
      </c>
      <c r="R52" s="326">
        <f>+3_mell!F7+3_mell!G7</f>
        <v>3383</v>
      </c>
      <c r="U52" s="332"/>
      <c r="Z52" s="644">
        <f>+3_mell!L7</f>
        <v>241468</v>
      </c>
      <c r="AA52" s="327">
        <f t="shared" si="2"/>
        <v>0</v>
      </c>
    </row>
    <row r="53" spans="2:27" ht="13.5" hidden="1" thickBot="1">
      <c r="B53" s="334"/>
      <c r="C53" s="334"/>
      <c r="D53" s="334"/>
      <c r="E53" s="329">
        <f>+E52-E51</f>
        <v>0</v>
      </c>
      <c r="F53" s="334">
        <f>+4_mell!G7</f>
        <v>240971</v>
      </c>
      <c r="G53" s="334"/>
      <c r="H53" s="334"/>
      <c r="I53" s="334"/>
      <c r="J53" s="334"/>
      <c r="K53" s="334"/>
      <c r="L53" s="334"/>
      <c r="M53" s="334"/>
      <c r="AA53" s="327">
        <f t="shared" si="2"/>
        <v>0</v>
      </c>
    </row>
    <row r="54" spans="2:27" ht="13.5" thickBot="1">
      <c r="B54" s="385" t="s">
        <v>387</v>
      </c>
      <c r="C54" s="708" t="s">
        <v>240</v>
      </c>
      <c r="D54" s="706"/>
      <c r="E54" s="706"/>
      <c r="F54" s="706"/>
      <c r="G54" s="706"/>
      <c r="H54" s="706"/>
      <c r="I54" s="706"/>
      <c r="J54" s="706"/>
      <c r="K54" s="706"/>
      <c r="L54" s="706"/>
      <c r="M54" s="707"/>
      <c r="N54" s="706" t="s">
        <v>388</v>
      </c>
      <c r="O54" s="706"/>
      <c r="P54" s="706"/>
      <c r="Q54" s="706"/>
      <c r="R54" s="706"/>
      <c r="S54" s="706"/>
      <c r="T54" s="706"/>
      <c r="U54" s="706"/>
      <c r="V54" s="706"/>
      <c r="W54" s="706"/>
      <c r="X54" s="706"/>
      <c r="Y54" s="706"/>
      <c r="Z54" s="707"/>
      <c r="AA54" s="327">
        <f t="shared" si="2"/>
        <v>0</v>
      </c>
    </row>
    <row r="55" spans="2:27" ht="13.5" thickBot="1">
      <c r="B55" s="457"/>
      <c r="C55" s="651"/>
      <c r="D55" s="652"/>
      <c r="E55" s="652"/>
      <c r="F55" s="652"/>
      <c r="G55" s="652"/>
      <c r="H55" s="652"/>
      <c r="I55" s="652"/>
      <c r="J55" s="652"/>
      <c r="K55" s="652"/>
      <c r="L55" s="652"/>
      <c r="M55" s="653"/>
      <c r="N55" s="652"/>
      <c r="O55" s="652"/>
      <c r="P55" s="654"/>
      <c r="Q55" s="654"/>
      <c r="R55" s="655"/>
      <c r="S55" s="712" t="s">
        <v>372</v>
      </c>
      <c r="T55" s="713"/>
      <c r="U55" s="713"/>
      <c r="V55" s="713"/>
      <c r="W55" s="713"/>
      <c r="X55" s="713"/>
      <c r="Y55" s="714"/>
      <c r="Z55" s="475"/>
      <c r="AA55" s="327">
        <f t="shared" si="2"/>
        <v>0</v>
      </c>
    </row>
    <row r="56" spans="2:27" s="373" customFormat="1" ht="77.25" thickBot="1">
      <c r="B56" s="658" t="s">
        <v>76</v>
      </c>
      <c r="C56" s="481" t="s">
        <v>60</v>
      </c>
      <c r="D56" s="469" t="s">
        <v>321</v>
      </c>
      <c r="E56" s="469" t="s">
        <v>322</v>
      </c>
      <c r="F56" s="469" t="s">
        <v>65</v>
      </c>
      <c r="G56" s="470" t="s">
        <v>367</v>
      </c>
      <c r="H56" s="470" t="s">
        <v>368</v>
      </c>
      <c r="I56" s="470" t="s">
        <v>66</v>
      </c>
      <c r="J56" s="470" t="s">
        <v>9</v>
      </c>
      <c r="K56" s="470" t="s">
        <v>638</v>
      </c>
      <c r="L56" s="470" t="s">
        <v>369</v>
      </c>
      <c r="M56" s="659" t="s">
        <v>370</v>
      </c>
      <c r="N56" s="469" t="s">
        <v>337</v>
      </c>
      <c r="O56" s="469" t="s">
        <v>336</v>
      </c>
      <c r="P56" s="469" t="s">
        <v>8</v>
      </c>
      <c r="Q56" s="470" t="s">
        <v>637</v>
      </c>
      <c r="R56" s="472" t="s">
        <v>335</v>
      </c>
      <c r="S56" s="481" t="s">
        <v>352</v>
      </c>
      <c r="T56" s="473" t="s">
        <v>380</v>
      </c>
      <c r="U56" s="473" t="s">
        <v>381</v>
      </c>
      <c r="V56" s="474" t="s">
        <v>382</v>
      </c>
      <c r="W56" s="473" t="s">
        <v>384</v>
      </c>
      <c r="X56" s="474" t="s">
        <v>385</v>
      </c>
      <c r="Y56" s="482" t="s">
        <v>383</v>
      </c>
      <c r="Z56" s="468" t="s">
        <v>386</v>
      </c>
      <c r="AA56" s="327" t="e">
        <f t="shared" si="2"/>
        <v>#VALUE!</v>
      </c>
    </row>
    <row r="57" spans="2:27" ht="12.75">
      <c r="B57" s="516"/>
      <c r="C57" s="508"/>
      <c r="D57" s="509"/>
      <c r="E57" s="335"/>
      <c r="F57" s="509"/>
      <c r="G57" s="509"/>
      <c r="H57" s="509"/>
      <c r="I57" s="509"/>
      <c r="J57" s="509"/>
      <c r="K57" s="509"/>
      <c r="L57" s="509"/>
      <c r="M57" s="656"/>
      <c r="N57" s="443"/>
      <c r="O57" s="443"/>
      <c r="P57" s="443"/>
      <c r="Q57" s="443"/>
      <c r="R57" s="443"/>
      <c r="S57" s="448"/>
      <c r="T57" s="443"/>
      <c r="U57" s="443"/>
      <c r="V57" s="443"/>
      <c r="W57" s="443"/>
      <c r="X57" s="443"/>
      <c r="Y57" s="657"/>
      <c r="Z57" s="522"/>
      <c r="AA57" s="327">
        <f t="shared" si="2"/>
        <v>0</v>
      </c>
    </row>
    <row r="58" spans="2:27" ht="12.75">
      <c r="B58" s="459"/>
      <c r="C58" s="483"/>
      <c r="D58" s="375"/>
      <c r="E58" s="375"/>
      <c r="F58" s="375"/>
      <c r="G58" s="378"/>
      <c r="H58" s="378"/>
      <c r="I58" s="378"/>
      <c r="J58" s="378"/>
      <c r="K58" s="378"/>
      <c r="L58" s="378"/>
      <c r="M58" s="518"/>
      <c r="N58" s="375"/>
      <c r="O58" s="375"/>
      <c r="P58" s="375"/>
      <c r="Q58" s="375"/>
      <c r="R58" s="445"/>
      <c r="S58" s="483"/>
      <c r="T58" s="446"/>
      <c r="U58" s="446"/>
      <c r="V58" s="446"/>
      <c r="W58" s="446"/>
      <c r="X58" s="446"/>
      <c r="Y58" s="493"/>
      <c r="Z58" s="522"/>
      <c r="AA58" s="327">
        <f t="shared" si="2"/>
        <v>0</v>
      </c>
    </row>
    <row r="59" spans="2:27" ht="25.5">
      <c r="B59" s="489" t="s">
        <v>363</v>
      </c>
      <c r="C59" s="519">
        <v>98223</v>
      </c>
      <c r="D59" s="335">
        <v>25336</v>
      </c>
      <c r="E59" s="335">
        <v>31585</v>
      </c>
      <c r="F59" s="335">
        <f>SUM(C59:E59)</f>
        <v>155144</v>
      </c>
      <c r="G59" s="335"/>
      <c r="H59" s="335"/>
      <c r="I59" s="335"/>
      <c r="J59" s="335">
        <f>1000+1000+267+72+540</f>
        <v>2879</v>
      </c>
      <c r="K59" s="335"/>
      <c r="L59" s="335"/>
      <c r="M59" s="520">
        <f>SUM(F59:L59)</f>
        <v>158023</v>
      </c>
      <c r="N59" s="335">
        <v>2751</v>
      </c>
      <c r="O59" s="443"/>
      <c r="P59" s="443">
        <v>814</v>
      </c>
      <c r="Q59" s="443"/>
      <c r="R59" s="449">
        <v>969</v>
      </c>
      <c r="S59" s="484">
        <f>86002+62061</f>
        <v>148063</v>
      </c>
      <c r="T59" s="449">
        <v>2879</v>
      </c>
      <c r="U59" s="449"/>
      <c r="V59" s="449"/>
      <c r="W59" s="443"/>
      <c r="X59" s="443">
        <v>144</v>
      </c>
      <c r="Y59" s="525">
        <v>2403</v>
      </c>
      <c r="Z59" s="523">
        <f>SUM(N59:Y59)</f>
        <v>158023</v>
      </c>
      <c r="AA59" s="327">
        <f t="shared" si="2"/>
        <v>0</v>
      </c>
    </row>
    <row r="60" spans="2:27" ht="12.75">
      <c r="B60" s="489" t="s">
        <v>570</v>
      </c>
      <c r="C60" s="519">
        <v>16035</v>
      </c>
      <c r="D60" s="335">
        <v>3990</v>
      </c>
      <c r="E60" s="335">
        <v>11161</v>
      </c>
      <c r="F60" s="335">
        <f>SUM(C60:E60)</f>
        <v>31186</v>
      </c>
      <c r="G60" s="335"/>
      <c r="H60" s="335"/>
      <c r="I60" s="335"/>
      <c r="J60" s="335"/>
      <c r="K60" s="335"/>
      <c r="L60" s="335"/>
      <c r="M60" s="520">
        <f>SUM(F60:L60)</f>
        <v>31186</v>
      </c>
      <c r="N60" s="335">
        <v>6</v>
      </c>
      <c r="O60" s="443"/>
      <c r="P60" s="443">
        <v>5796</v>
      </c>
      <c r="Q60" s="443"/>
      <c r="R60" s="449">
        <v>27787</v>
      </c>
      <c r="S60" s="484"/>
      <c r="T60" s="449"/>
      <c r="U60" s="449"/>
      <c r="V60" s="449"/>
      <c r="W60" s="443"/>
      <c r="X60" s="443"/>
      <c r="Y60" s="525">
        <v>-2403</v>
      </c>
      <c r="Z60" s="523">
        <f>SUM(N60:Y60)</f>
        <v>31186</v>
      </c>
      <c r="AA60" s="327">
        <f t="shared" si="2"/>
        <v>0</v>
      </c>
    </row>
    <row r="61" spans="2:27" ht="12.75">
      <c r="B61" s="489" t="s">
        <v>374</v>
      </c>
      <c r="C61" s="519"/>
      <c r="D61" s="335"/>
      <c r="E61" s="335"/>
      <c r="F61" s="335">
        <f>SUM(C61:E61)</f>
        <v>0</v>
      </c>
      <c r="G61" s="335"/>
      <c r="H61" s="335"/>
      <c r="I61" s="335">
        <f>+6_mell!I45</f>
        <v>154481</v>
      </c>
      <c r="J61" s="335"/>
      <c r="K61" s="335"/>
      <c r="L61" s="335"/>
      <c r="M61" s="520">
        <f>SUM(F61:L61)</f>
        <v>154481</v>
      </c>
      <c r="N61" s="335"/>
      <c r="O61" s="443"/>
      <c r="P61" s="443"/>
      <c r="Q61" s="443"/>
      <c r="R61" s="449"/>
      <c r="S61" s="484">
        <v>154481</v>
      </c>
      <c r="T61" s="449"/>
      <c r="U61" s="449"/>
      <c r="V61" s="449"/>
      <c r="W61" s="443"/>
      <c r="X61" s="443"/>
      <c r="Y61" s="444"/>
      <c r="Z61" s="523">
        <f>SUM(N61:Y61)</f>
        <v>154481</v>
      </c>
      <c r="AA61" s="327">
        <f t="shared" si="2"/>
        <v>0</v>
      </c>
    </row>
    <row r="62" spans="2:27" s="374" customFormat="1" ht="12.75">
      <c r="B62" s="516" t="s">
        <v>371</v>
      </c>
      <c r="C62" s="521">
        <f>SUM(C59:C61)</f>
        <v>114258</v>
      </c>
      <c r="D62" s="511">
        <f aca="true" t="shared" si="15" ref="D62:M62">SUM(D59:D61)</f>
        <v>29326</v>
      </c>
      <c r="E62" s="511">
        <f t="shared" si="15"/>
        <v>42746</v>
      </c>
      <c r="F62" s="511">
        <f t="shared" si="15"/>
        <v>186330</v>
      </c>
      <c r="G62" s="511">
        <f t="shared" si="15"/>
        <v>0</v>
      </c>
      <c r="H62" s="511">
        <f t="shared" si="15"/>
        <v>0</v>
      </c>
      <c r="I62" s="511">
        <f t="shared" si="15"/>
        <v>154481</v>
      </c>
      <c r="J62" s="511">
        <f t="shared" si="15"/>
        <v>2879</v>
      </c>
      <c r="K62" s="511"/>
      <c r="L62" s="511">
        <f t="shared" si="15"/>
        <v>0</v>
      </c>
      <c r="M62" s="512">
        <f t="shared" si="15"/>
        <v>343690</v>
      </c>
      <c r="N62" s="511">
        <f>SUM(N59:N61)</f>
        <v>2757</v>
      </c>
      <c r="O62" s="511">
        <f aca="true" t="shared" si="16" ref="O62:Z62">SUM(O59:O61)</f>
        <v>0</v>
      </c>
      <c r="P62" s="511">
        <f t="shared" si="16"/>
        <v>6610</v>
      </c>
      <c r="Q62" s="511">
        <f t="shared" si="16"/>
        <v>0</v>
      </c>
      <c r="R62" s="511">
        <f t="shared" si="16"/>
        <v>28756</v>
      </c>
      <c r="S62" s="521">
        <f t="shared" si="16"/>
        <v>302544</v>
      </c>
      <c r="T62" s="511">
        <f t="shared" si="16"/>
        <v>2879</v>
      </c>
      <c r="U62" s="511">
        <f t="shared" si="16"/>
        <v>0</v>
      </c>
      <c r="V62" s="511">
        <f t="shared" si="16"/>
        <v>0</v>
      </c>
      <c r="W62" s="511">
        <f t="shared" si="16"/>
        <v>0</v>
      </c>
      <c r="X62" s="511">
        <f t="shared" si="16"/>
        <v>144</v>
      </c>
      <c r="Y62" s="512">
        <f t="shared" si="16"/>
        <v>0</v>
      </c>
      <c r="Z62" s="524">
        <f t="shared" si="16"/>
        <v>343690</v>
      </c>
      <c r="AA62" s="327">
        <f t="shared" si="2"/>
        <v>0</v>
      </c>
    </row>
    <row r="63" spans="2:27" s="374" customFormat="1" ht="12.75">
      <c r="B63" s="516"/>
      <c r="C63" s="521"/>
      <c r="D63" s="511"/>
      <c r="E63" s="511"/>
      <c r="F63" s="511"/>
      <c r="G63" s="511"/>
      <c r="H63" s="511"/>
      <c r="I63" s="511"/>
      <c r="J63" s="511"/>
      <c r="K63" s="511"/>
      <c r="L63" s="511"/>
      <c r="M63" s="512"/>
      <c r="N63" s="511"/>
      <c r="O63" s="511"/>
      <c r="P63" s="511"/>
      <c r="Q63" s="511"/>
      <c r="R63" s="511"/>
      <c r="S63" s="521"/>
      <c r="T63" s="511"/>
      <c r="U63" s="511"/>
      <c r="V63" s="511"/>
      <c r="W63" s="511"/>
      <c r="X63" s="511"/>
      <c r="Y63" s="512"/>
      <c r="Z63" s="476"/>
      <c r="AA63" s="327">
        <f t="shared" si="2"/>
        <v>0</v>
      </c>
    </row>
    <row r="64" spans="2:27" ht="25.5">
      <c r="B64" s="515" t="s">
        <v>43</v>
      </c>
      <c r="C64" s="483"/>
      <c r="D64" s="375"/>
      <c r="E64" s="375"/>
      <c r="F64" s="375"/>
      <c r="G64" s="378"/>
      <c r="H64" s="378"/>
      <c r="I64" s="378"/>
      <c r="J64" s="378"/>
      <c r="K64" s="378"/>
      <c r="L64" s="378"/>
      <c r="M64" s="518"/>
      <c r="N64" s="375"/>
      <c r="O64" s="375"/>
      <c r="P64" s="375"/>
      <c r="Q64" s="375"/>
      <c r="R64" s="445"/>
      <c r="S64" s="483"/>
      <c r="T64" s="446"/>
      <c r="U64" s="446"/>
      <c r="V64" s="446"/>
      <c r="W64" s="446"/>
      <c r="X64" s="446"/>
      <c r="Y64" s="493"/>
      <c r="Z64" s="522"/>
      <c r="AA64" s="327">
        <f t="shared" si="2"/>
        <v>0</v>
      </c>
    </row>
    <row r="65" spans="2:27" ht="25.5">
      <c r="B65" s="517" t="s">
        <v>43</v>
      </c>
      <c r="C65" s="448">
        <v>2253</v>
      </c>
      <c r="D65" s="443">
        <v>607</v>
      </c>
      <c r="E65" s="443">
        <v>80760</v>
      </c>
      <c r="F65" s="514">
        <f>SUM(C65:E65)</f>
        <v>83620</v>
      </c>
      <c r="G65" s="337">
        <f>15287+25276</f>
        <v>40563</v>
      </c>
      <c r="H65" s="337">
        <v>3000</v>
      </c>
      <c r="I65" s="337"/>
      <c r="J65" s="337">
        <f>6686+17881+7412</f>
        <v>31979</v>
      </c>
      <c r="K65" s="337">
        <v>400</v>
      </c>
      <c r="L65" s="337"/>
      <c r="M65" s="510">
        <f>SUM(F65:L65)</f>
        <v>159562</v>
      </c>
      <c r="N65" s="443">
        <v>16332</v>
      </c>
      <c r="O65" s="443"/>
      <c r="P65" s="443">
        <v>35004</v>
      </c>
      <c r="Q65" s="443">
        <v>9201</v>
      </c>
      <c r="R65" s="443">
        <f>8831+2940</f>
        <v>11771</v>
      </c>
      <c r="S65" s="484">
        <f>+6_mell!F20+6_mell!F27+5_mell!C8+10609+8000+7101</f>
        <v>43538</v>
      </c>
      <c r="T65" s="449">
        <f>7922+772+33272+9+4836-14915</f>
        <v>31896</v>
      </c>
      <c r="U65" s="449"/>
      <c r="V65" s="449">
        <v>1902</v>
      </c>
      <c r="W65" s="443">
        <f>2816+7101</f>
        <v>9917</v>
      </c>
      <c r="X65" s="443"/>
      <c r="Y65" s="444">
        <v>1</v>
      </c>
      <c r="Z65" s="523">
        <f>SUM(N65:Y65)</f>
        <v>159562</v>
      </c>
      <c r="AA65" s="327">
        <f t="shared" si="2"/>
        <v>0</v>
      </c>
    </row>
    <row r="66" spans="2:27" ht="12.75">
      <c r="B66" s="459" t="s">
        <v>364</v>
      </c>
      <c r="C66" s="448">
        <v>1468</v>
      </c>
      <c r="D66" s="443">
        <v>397</v>
      </c>
      <c r="E66" s="443">
        <v>2475</v>
      </c>
      <c r="F66" s="514">
        <f aca="true" t="shared" si="17" ref="F66:F75">SUM(C66:E66)</f>
        <v>4340</v>
      </c>
      <c r="G66" s="514"/>
      <c r="H66" s="514"/>
      <c r="I66" s="514"/>
      <c r="J66" s="514"/>
      <c r="K66" s="514"/>
      <c r="L66" s="514"/>
      <c r="M66" s="510">
        <f aca="true" t="shared" si="18" ref="M66:M76">SUM(F66:L66)</f>
        <v>4340</v>
      </c>
      <c r="N66" s="443">
        <v>3</v>
      </c>
      <c r="O66" s="443"/>
      <c r="P66" s="443"/>
      <c r="Q66" s="443"/>
      <c r="R66" s="449">
        <f>750+4825</f>
        <v>5575</v>
      </c>
      <c r="S66" s="448"/>
      <c r="T66" s="443"/>
      <c r="U66" s="443"/>
      <c r="V66" s="443"/>
      <c r="W66" s="443"/>
      <c r="X66" s="443"/>
      <c r="Y66" s="444">
        <v>-1238</v>
      </c>
      <c r="Z66" s="523">
        <f>SUM(N66:Y66)</f>
        <v>4340</v>
      </c>
      <c r="AA66" s="327">
        <f t="shared" si="2"/>
        <v>0</v>
      </c>
    </row>
    <row r="67" spans="2:27" ht="25.5">
      <c r="B67" s="517" t="s">
        <v>365</v>
      </c>
      <c r="C67" s="448"/>
      <c r="D67" s="443"/>
      <c r="E67" s="443">
        <v>858</v>
      </c>
      <c r="F67" s="514">
        <f t="shared" si="17"/>
        <v>858</v>
      </c>
      <c r="G67" s="514"/>
      <c r="H67" s="514"/>
      <c r="I67" s="514"/>
      <c r="J67" s="514"/>
      <c r="K67" s="514"/>
      <c r="L67" s="514"/>
      <c r="M67" s="510">
        <f t="shared" si="18"/>
        <v>858</v>
      </c>
      <c r="N67" s="443"/>
      <c r="O67" s="443"/>
      <c r="P67" s="443"/>
      <c r="Q67" s="443"/>
      <c r="R67" s="443"/>
      <c r="S67" s="448"/>
      <c r="T67" s="443"/>
      <c r="U67" s="443"/>
      <c r="V67" s="443"/>
      <c r="W67" s="443"/>
      <c r="X67" s="443"/>
      <c r="Y67" s="444">
        <v>858</v>
      </c>
      <c r="Z67" s="523">
        <f>SUM(N67:Y67)</f>
        <v>858</v>
      </c>
      <c r="AA67" s="327">
        <f t="shared" si="2"/>
        <v>0</v>
      </c>
    </row>
    <row r="68" spans="2:27" ht="25.5">
      <c r="B68" s="517" t="s">
        <v>639</v>
      </c>
      <c r="C68" s="448"/>
      <c r="D68" s="443"/>
      <c r="E68" s="443">
        <v>12527</v>
      </c>
      <c r="F68" s="514">
        <f t="shared" si="17"/>
        <v>12527</v>
      </c>
      <c r="G68" s="514"/>
      <c r="H68" s="514"/>
      <c r="I68" s="514"/>
      <c r="J68" s="514"/>
      <c r="K68" s="514"/>
      <c r="L68" s="514"/>
      <c r="M68" s="510">
        <f t="shared" si="18"/>
        <v>12527</v>
      </c>
      <c r="N68" s="443">
        <f>226+646</f>
        <v>872</v>
      </c>
      <c r="O68" s="443"/>
      <c r="P68" s="443"/>
      <c r="Q68" s="443"/>
      <c r="R68" s="443"/>
      <c r="S68" s="448">
        <v>10802</v>
      </c>
      <c r="T68" s="443"/>
      <c r="U68" s="443"/>
      <c r="V68" s="443"/>
      <c r="W68" s="443"/>
      <c r="X68" s="443"/>
      <c r="Y68" s="444">
        <v>853</v>
      </c>
      <c r="Z68" s="523">
        <f aca="true" t="shared" si="19" ref="Z68:Z74">SUM(N68:Y68)</f>
        <v>12527</v>
      </c>
      <c r="AA68" s="327">
        <f t="shared" si="2"/>
        <v>0</v>
      </c>
    </row>
    <row r="69" spans="2:27" ht="12.75">
      <c r="B69" s="517" t="s">
        <v>640</v>
      </c>
      <c r="C69" s="448"/>
      <c r="D69" s="443"/>
      <c r="E69" s="443"/>
      <c r="F69" s="514">
        <f t="shared" si="17"/>
        <v>0</v>
      </c>
      <c r="G69" s="514"/>
      <c r="H69" s="514"/>
      <c r="I69" s="514"/>
      <c r="J69" s="514">
        <v>18870</v>
      </c>
      <c r="K69" s="514"/>
      <c r="L69" s="514"/>
      <c r="M69" s="510">
        <f t="shared" si="18"/>
        <v>18870</v>
      </c>
      <c r="N69" s="443">
        <v>5</v>
      </c>
      <c r="O69" s="443"/>
      <c r="P69" s="443"/>
      <c r="Q69" s="443">
        <v>18870</v>
      </c>
      <c r="R69" s="443"/>
      <c r="S69" s="448"/>
      <c r="T69" s="443"/>
      <c r="U69" s="443"/>
      <c r="V69" s="443"/>
      <c r="W69" s="443"/>
      <c r="X69" s="443"/>
      <c r="Y69" s="444">
        <v>-5</v>
      </c>
      <c r="Z69" s="523">
        <f t="shared" si="19"/>
        <v>18870</v>
      </c>
      <c r="AA69" s="327">
        <f t="shared" si="2"/>
        <v>0</v>
      </c>
    </row>
    <row r="70" spans="2:27" ht="12.75">
      <c r="B70" s="517" t="s">
        <v>641</v>
      </c>
      <c r="C70" s="448"/>
      <c r="D70" s="443"/>
      <c r="E70" s="443"/>
      <c r="F70" s="514">
        <f t="shared" si="17"/>
        <v>0</v>
      </c>
      <c r="G70" s="514"/>
      <c r="H70" s="514"/>
      <c r="I70" s="514"/>
      <c r="J70" s="514"/>
      <c r="K70" s="514"/>
      <c r="L70" s="514">
        <v>25458</v>
      </c>
      <c r="M70" s="510">
        <f t="shared" si="18"/>
        <v>25458</v>
      </c>
      <c r="N70" s="443"/>
      <c r="O70" s="443"/>
      <c r="P70" s="443"/>
      <c r="Q70" s="443"/>
      <c r="R70" s="443"/>
      <c r="S70" s="448">
        <v>13422</v>
      </c>
      <c r="T70" s="443">
        <v>12036</v>
      </c>
      <c r="U70" s="443"/>
      <c r="V70" s="443"/>
      <c r="W70" s="443"/>
      <c r="X70" s="443"/>
      <c r="Y70" s="444"/>
      <c r="Z70" s="523">
        <f t="shared" si="19"/>
        <v>25458</v>
      </c>
      <c r="AA70" s="327">
        <f t="shared" si="2"/>
        <v>0</v>
      </c>
    </row>
    <row r="71" spans="2:27" ht="12.75">
      <c r="B71" s="517" t="s">
        <v>570</v>
      </c>
      <c r="C71" s="448"/>
      <c r="D71" s="443"/>
      <c r="E71" s="443">
        <v>12925</v>
      </c>
      <c r="F71" s="514">
        <f t="shared" si="17"/>
        <v>12925</v>
      </c>
      <c r="G71" s="514">
        <v>323</v>
      </c>
      <c r="H71" s="514"/>
      <c r="I71" s="514"/>
      <c r="J71" s="514"/>
      <c r="K71" s="514"/>
      <c r="L71" s="514"/>
      <c r="M71" s="510">
        <f t="shared" si="18"/>
        <v>13248</v>
      </c>
      <c r="N71" s="443">
        <v>69</v>
      </c>
      <c r="O71" s="443"/>
      <c r="P71" s="443">
        <v>350</v>
      </c>
      <c r="Q71" s="443"/>
      <c r="R71" s="443"/>
      <c r="S71" s="448">
        <v>12829</v>
      </c>
      <c r="T71" s="443"/>
      <c r="U71" s="443"/>
      <c r="V71" s="443"/>
      <c r="W71" s="443"/>
      <c r="X71" s="443"/>
      <c r="Y71" s="444"/>
      <c r="Z71" s="523">
        <f t="shared" si="19"/>
        <v>13248</v>
      </c>
      <c r="AA71" s="327">
        <f t="shared" si="2"/>
        <v>0</v>
      </c>
    </row>
    <row r="72" spans="2:27" ht="12.75">
      <c r="B72" s="517" t="s">
        <v>570</v>
      </c>
      <c r="C72" s="448">
        <v>302</v>
      </c>
      <c r="D72" s="443">
        <v>82</v>
      </c>
      <c r="E72" s="443">
        <v>862</v>
      </c>
      <c r="F72" s="514">
        <f t="shared" si="17"/>
        <v>1246</v>
      </c>
      <c r="G72" s="514"/>
      <c r="H72" s="514"/>
      <c r="I72" s="514"/>
      <c r="J72" s="514"/>
      <c r="K72" s="514"/>
      <c r="L72" s="514"/>
      <c r="M72" s="510">
        <f t="shared" si="18"/>
        <v>1246</v>
      </c>
      <c r="N72" s="443">
        <v>1</v>
      </c>
      <c r="O72" s="443"/>
      <c r="P72" s="443"/>
      <c r="Q72" s="443">
        <v>862</v>
      </c>
      <c r="R72" s="443">
        <v>384</v>
      </c>
      <c r="S72" s="448"/>
      <c r="T72" s="443"/>
      <c r="U72" s="443"/>
      <c r="V72" s="443"/>
      <c r="W72" s="443"/>
      <c r="X72" s="443"/>
      <c r="Y72" s="444">
        <v>-1</v>
      </c>
      <c r="Z72" s="523">
        <f t="shared" si="19"/>
        <v>1246</v>
      </c>
      <c r="AA72" s="327">
        <f t="shared" si="2"/>
        <v>0</v>
      </c>
    </row>
    <row r="73" spans="2:27" ht="12.75">
      <c r="B73" s="517" t="s">
        <v>570</v>
      </c>
      <c r="C73" s="448">
        <v>214</v>
      </c>
      <c r="D73" s="443">
        <v>52</v>
      </c>
      <c r="E73" s="443">
        <v>708</v>
      </c>
      <c r="F73" s="514">
        <f t="shared" si="17"/>
        <v>974</v>
      </c>
      <c r="G73" s="514">
        <v>4485</v>
      </c>
      <c r="H73" s="514"/>
      <c r="I73" s="514"/>
      <c r="J73" s="514"/>
      <c r="K73" s="514"/>
      <c r="L73" s="514"/>
      <c r="M73" s="510">
        <f t="shared" si="18"/>
        <v>5459</v>
      </c>
      <c r="N73" s="443">
        <v>1</v>
      </c>
      <c r="O73" s="443"/>
      <c r="P73" s="443">
        <v>5459</v>
      </c>
      <c r="Q73" s="443"/>
      <c r="R73" s="443"/>
      <c r="S73" s="448"/>
      <c r="T73" s="443"/>
      <c r="U73" s="443"/>
      <c r="V73" s="443"/>
      <c r="W73" s="443"/>
      <c r="X73" s="443"/>
      <c r="Y73" s="444">
        <v>-1</v>
      </c>
      <c r="Z73" s="523">
        <f t="shared" si="19"/>
        <v>5459</v>
      </c>
      <c r="AA73" s="327">
        <f aca="true" t="shared" si="20" ref="AA73:AA79">+Z73-M73</f>
        <v>0</v>
      </c>
    </row>
    <row r="74" spans="2:27" ht="12.75">
      <c r="B74" s="517" t="s">
        <v>642</v>
      </c>
      <c r="C74" s="448"/>
      <c r="D74" s="443"/>
      <c r="E74" s="443"/>
      <c r="F74" s="514">
        <f t="shared" si="17"/>
        <v>0</v>
      </c>
      <c r="G74" s="514"/>
      <c r="H74" s="514"/>
      <c r="I74" s="337">
        <f>+4_mell!I22</f>
        <v>21481</v>
      </c>
      <c r="J74" s="514"/>
      <c r="K74" s="514"/>
      <c r="L74" s="514"/>
      <c r="M74" s="510">
        <f t="shared" si="18"/>
        <v>21481</v>
      </c>
      <c r="N74" s="443"/>
      <c r="O74" s="443"/>
      <c r="P74" s="443"/>
      <c r="Q74" s="443"/>
      <c r="R74" s="443"/>
      <c r="S74" s="448">
        <v>21481</v>
      </c>
      <c r="T74" s="443"/>
      <c r="U74" s="443"/>
      <c r="V74" s="443"/>
      <c r="W74" s="443"/>
      <c r="X74" s="443"/>
      <c r="Y74" s="444"/>
      <c r="Z74" s="523">
        <f t="shared" si="19"/>
        <v>21481</v>
      </c>
      <c r="AA74" s="327">
        <f t="shared" si="20"/>
        <v>0</v>
      </c>
    </row>
    <row r="75" spans="2:27" ht="25.5">
      <c r="B75" s="517" t="s">
        <v>366</v>
      </c>
      <c r="C75" s="448">
        <v>209493</v>
      </c>
      <c r="D75" s="443">
        <v>28560</v>
      </c>
      <c r="E75" s="443">
        <v>45429</v>
      </c>
      <c r="F75" s="514">
        <f t="shared" si="17"/>
        <v>283482</v>
      </c>
      <c r="G75" s="514"/>
      <c r="H75" s="514"/>
      <c r="I75" s="514"/>
      <c r="J75" s="514">
        <v>8572</v>
      </c>
      <c r="K75" s="514"/>
      <c r="L75" s="514"/>
      <c r="M75" s="510">
        <f t="shared" si="18"/>
        <v>292054</v>
      </c>
      <c r="N75" s="443"/>
      <c r="O75" s="443"/>
      <c r="P75" s="443"/>
      <c r="Q75" s="443">
        <v>7710</v>
      </c>
      <c r="R75" s="443">
        <v>103151</v>
      </c>
      <c r="S75" s="448">
        <v>2528</v>
      </c>
      <c r="T75" s="443"/>
      <c r="U75" s="443"/>
      <c r="V75" s="443"/>
      <c r="W75" s="443"/>
      <c r="X75" s="443"/>
      <c r="Y75" s="444">
        <v>178665</v>
      </c>
      <c r="Z75" s="523">
        <f>SUM(N75:Y75)</f>
        <v>292054</v>
      </c>
      <c r="AA75" s="327">
        <f t="shared" si="20"/>
        <v>0</v>
      </c>
    </row>
    <row r="76" spans="2:27" s="374" customFormat="1" ht="12.75">
      <c r="B76" s="516" t="s">
        <v>371</v>
      </c>
      <c r="C76" s="660">
        <f>SUM(C65:C75)</f>
        <v>213730</v>
      </c>
      <c r="D76" s="662">
        <f aca="true" t="shared" si="21" ref="D76:Z76">SUM(D65:D75)</f>
        <v>29698</v>
      </c>
      <c r="E76" s="662">
        <f t="shared" si="21"/>
        <v>156544</v>
      </c>
      <c r="F76" s="662">
        <f t="shared" si="21"/>
        <v>399972</v>
      </c>
      <c r="G76" s="662">
        <f t="shared" si="21"/>
        <v>45371</v>
      </c>
      <c r="H76" s="662">
        <f t="shared" si="21"/>
        <v>3000</v>
      </c>
      <c r="I76" s="662">
        <f t="shared" si="21"/>
        <v>21481</v>
      </c>
      <c r="J76" s="662">
        <f t="shared" si="21"/>
        <v>59421</v>
      </c>
      <c r="K76" s="662">
        <f t="shared" si="21"/>
        <v>400</v>
      </c>
      <c r="L76" s="662">
        <f t="shared" si="21"/>
        <v>25458</v>
      </c>
      <c r="M76" s="510">
        <f t="shared" si="18"/>
        <v>555103</v>
      </c>
      <c r="N76" s="660">
        <f>SUM(N65:N75)</f>
        <v>17283</v>
      </c>
      <c r="O76" s="662">
        <f>SUM(O65:O75)</f>
        <v>0</v>
      </c>
      <c r="P76" s="662">
        <f>SUM(P65:P75)</f>
        <v>40813</v>
      </c>
      <c r="Q76" s="662">
        <f>SUM(Q65:Q75)</f>
        <v>36643</v>
      </c>
      <c r="R76" s="663">
        <f>SUM(R65:R75)</f>
        <v>120881</v>
      </c>
      <c r="S76" s="660">
        <f t="shared" si="21"/>
        <v>104600</v>
      </c>
      <c r="T76" s="662">
        <f t="shared" si="21"/>
        <v>43932</v>
      </c>
      <c r="U76" s="662">
        <f t="shared" si="21"/>
        <v>0</v>
      </c>
      <c r="V76" s="662">
        <f t="shared" si="21"/>
        <v>1902</v>
      </c>
      <c r="W76" s="662">
        <f t="shared" si="21"/>
        <v>9917</v>
      </c>
      <c r="X76" s="662">
        <f t="shared" si="21"/>
        <v>0</v>
      </c>
      <c r="Y76" s="661">
        <f t="shared" si="21"/>
        <v>179132</v>
      </c>
      <c r="Z76" s="513">
        <f t="shared" si="21"/>
        <v>555103</v>
      </c>
      <c r="AA76" s="327">
        <f t="shared" si="20"/>
        <v>0</v>
      </c>
    </row>
    <row r="77" spans="2:27" ht="12.75">
      <c r="B77" s="459"/>
      <c r="C77" s="448">
        <f>+4_mell!D22</f>
        <v>213730</v>
      </c>
      <c r="D77" s="443">
        <f>+4_mell!E22</f>
        <v>29698</v>
      </c>
      <c r="E77" s="443">
        <f>+4_mell!F22</f>
        <v>156544</v>
      </c>
      <c r="F77" s="514">
        <f>SUM(C77:E77)</f>
        <v>399972</v>
      </c>
      <c r="G77" s="449">
        <f>+4_mell!H22+4_mell!J22</f>
        <v>45371</v>
      </c>
      <c r="H77" s="449">
        <f>+4_mell!K22</f>
        <v>3000</v>
      </c>
      <c r="I77" s="449">
        <f>+4_mell!I22</f>
        <v>21481</v>
      </c>
      <c r="J77" s="449">
        <f>+4_mell!L22</f>
        <v>59421</v>
      </c>
      <c r="K77" s="449">
        <f>+2_mell!E32</f>
        <v>400</v>
      </c>
      <c r="L77" s="449">
        <f>+2_mell!E27</f>
        <v>25458</v>
      </c>
      <c r="M77" s="444"/>
      <c r="N77" s="443">
        <f>+3_mell!D22</f>
        <v>17283</v>
      </c>
      <c r="O77" s="443"/>
      <c r="P77" s="443">
        <f>+3_mell!E22</f>
        <v>40813</v>
      </c>
      <c r="Q77" s="443"/>
      <c r="R77" s="443"/>
      <c r="S77" s="448"/>
      <c r="T77" s="443"/>
      <c r="U77" s="443"/>
      <c r="V77" s="443"/>
      <c r="W77" s="443"/>
      <c r="X77" s="443"/>
      <c r="Y77" s="444"/>
      <c r="Z77" s="522"/>
      <c r="AA77" s="327">
        <f t="shared" si="20"/>
        <v>0</v>
      </c>
    </row>
    <row r="78" spans="2:27" ht="13.5" thickBot="1">
      <c r="B78" s="459"/>
      <c r="C78" s="448"/>
      <c r="D78" s="443"/>
      <c r="E78" s="443"/>
      <c r="F78" s="443"/>
      <c r="G78" s="443"/>
      <c r="H78" s="443"/>
      <c r="I78" s="443"/>
      <c r="J78" s="443"/>
      <c r="K78" s="443"/>
      <c r="L78" s="443"/>
      <c r="M78" s="444"/>
      <c r="N78" s="443"/>
      <c r="O78" s="443"/>
      <c r="P78" s="443"/>
      <c r="Q78" s="443"/>
      <c r="R78" s="443"/>
      <c r="S78" s="448"/>
      <c r="T78" s="443"/>
      <c r="U78" s="443"/>
      <c r="V78" s="443"/>
      <c r="W78" s="443"/>
      <c r="X78" s="443"/>
      <c r="Y78" s="444"/>
      <c r="Z78" s="522"/>
      <c r="AA78" s="327">
        <f t="shared" si="20"/>
        <v>0</v>
      </c>
    </row>
    <row r="79" spans="2:27" ht="13.5" thickBot="1">
      <c r="B79" s="385" t="s">
        <v>121</v>
      </c>
      <c r="C79" s="526">
        <f aca="true" t="shared" si="22" ref="C79:Y79">+C76+C62+C51+C22+C31</f>
        <v>452847</v>
      </c>
      <c r="D79" s="527">
        <f t="shared" si="22"/>
        <v>92422</v>
      </c>
      <c r="E79" s="527">
        <f t="shared" si="22"/>
        <v>444940</v>
      </c>
      <c r="F79" s="527">
        <f t="shared" si="22"/>
        <v>990209</v>
      </c>
      <c r="G79" s="527">
        <f t="shared" si="22"/>
        <v>46068</v>
      </c>
      <c r="H79" s="527">
        <f t="shared" si="22"/>
        <v>3000</v>
      </c>
      <c r="I79" s="527">
        <f t="shared" si="22"/>
        <v>175962</v>
      </c>
      <c r="J79" s="527">
        <f t="shared" si="22"/>
        <v>66544</v>
      </c>
      <c r="K79" s="527">
        <f t="shared" si="22"/>
        <v>400</v>
      </c>
      <c r="L79" s="527">
        <f t="shared" si="22"/>
        <v>25458</v>
      </c>
      <c r="M79" s="528">
        <f t="shared" si="22"/>
        <v>1307641</v>
      </c>
      <c r="N79" s="527">
        <f t="shared" si="22"/>
        <v>128587</v>
      </c>
      <c r="O79" s="527">
        <f t="shared" si="22"/>
        <v>32397</v>
      </c>
      <c r="P79" s="527">
        <f t="shared" si="22"/>
        <v>52782</v>
      </c>
      <c r="Q79" s="527">
        <f t="shared" si="22"/>
        <v>39765</v>
      </c>
      <c r="R79" s="527">
        <f t="shared" si="22"/>
        <v>164097</v>
      </c>
      <c r="S79" s="526">
        <f t="shared" si="22"/>
        <v>503180</v>
      </c>
      <c r="T79" s="527">
        <f t="shared" si="22"/>
        <v>46811</v>
      </c>
      <c r="U79" s="527">
        <f t="shared" si="22"/>
        <v>149394</v>
      </c>
      <c r="V79" s="527">
        <f t="shared" si="22"/>
        <v>1902</v>
      </c>
      <c r="W79" s="527">
        <f t="shared" si="22"/>
        <v>9917</v>
      </c>
      <c r="X79" s="527">
        <f t="shared" si="22"/>
        <v>144</v>
      </c>
      <c r="Y79" s="528">
        <f t="shared" si="22"/>
        <v>178665</v>
      </c>
      <c r="Z79" s="529">
        <f>SUM(N79:Y79)</f>
        <v>1307641</v>
      </c>
      <c r="AA79" s="327">
        <f t="shared" si="20"/>
        <v>0</v>
      </c>
    </row>
    <row r="80" ht="12.75">
      <c r="U80" s="327"/>
    </row>
    <row r="81" ht="12.75">
      <c r="U81" s="327"/>
    </row>
  </sheetData>
  <sheetProtection/>
  <mergeCells count="9">
    <mergeCell ref="S36:Y36"/>
    <mergeCell ref="C54:M54"/>
    <mergeCell ref="N54:Z54"/>
    <mergeCell ref="S55:Y55"/>
    <mergeCell ref="S5:Y5"/>
    <mergeCell ref="C4:M4"/>
    <mergeCell ref="N4:Z4"/>
    <mergeCell ref="C35:M35"/>
    <mergeCell ref="N35:Z35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61" r:id="rId1"/>
  <headerFooter alignWithMargins="0">
    <oddHeader>&amp;L12.melléklet a 2014.évi 4/2014.(II.28.) Önkormányzati költségvetési rendelethez&amp;R&amp;D</oddHeader>
  </headerFooter>
  <rowBreaks count="2" manualBreakCount="2">
    <brk id="34" max="21" man="1"/>
    <brk id="53" max="21" man="1"/>
  </rowBreaks>
  <colBreaks count="1" manualBreakCount="1">
    <brk id="2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79"/>
  <sheetViews>
    <sheetView view="pageBreakPreview" zoomScale="75" zoomScaleSheetLayoutView="75" zoomScalePageLayoutView="0" workbookViewId="0" topLeftCell="A43">
      <selection activeCell="N69" sqref="N69"/>
    </sheetView>
  </sheetViews>
  <sheetFormatPr defaultColWidth="9.140625" defaultRowHeight="12.75"/>
  <cols>
    <col min="1" max="1" width="10.28125" style="54" customWidth="1"/>
    <col min="2" max="2" width="23.7109375" style="54" customWidth="1"/>
    <col min="3" max="3" width="9.140625" style="54" customWidth="1"/>
    <col min="4" max="4" width="11.28125" style="54" bestFit="1" customWidth="1"/>
    <col min="5" max="5" width="10.28125" style="54" bestFit="1" customWidth="1"/>
    <col min="6" max="6" width="10.8515625" style="54" customWidth="1"/>
    <col min="7" max="7" width="12.7109375" style="54" customWidth="1"/>
    <col min="8" max="8" width="10.57421875" style="54" customWidth="1"/>
    <col min="9" max="16384" width="9.140625" style="54" customWidth="1"/>
  </cols>
  <sheetData>
    <row r="1" spans="1:8" ht="12.75">
      <c r="A1" s="223"/>
      <c r="B1" s="224"/>
      <c r="C1" s="225"/>
      <c r="D1" s="531"/>
      <c r="E1" s="531"/>
      <c r="F1" s="225"/>
      <c r="G1" s="225"/>
      <c r="H1" s="225"/>
    </row>
    <row r="2" spans="1:8" ht="12.75">
      <c r="A2" s="223"/>
      <c r="B2" s="224"/>
      <c r="C2" s="225"/>
      <c r="E2" s="225"/>
      <c r="F2" s="225"/>
      <c r="G2" s="225"/>
      <c r="H2" s="225"/>
    </row>
    <row r="3" spans="1:8" ht="15">
      <c r="A3" s="226"/>
      <c r="B3" s="226"/>
      <c r="C3" s="530" t="s">
        <v>241</v>
      </c>
      <c r="D3" s="530"/>
      <c r="E3" s="530"/>
      <c r="F3" s="530"/>
      <c r="G3" s="226"/>
      <c r="H3" s="227"/>
    </row>
    <row r="4" spans="1:8" ht="12.75">
      <c r="A4" s="227"/>
      <c r="B4" s="227"/>
      <c r="C4" s="227"/>
      <c r="D4" s="227"/>
      <c r="E4" s="227"/>
      <c r="F4" s="227"/>
      <c r="G4" s="227"/>
      <c r="H4" s="227"/>
    </row>
    <row r="5" spans="1:8" ht="15">
      <c r="A5" s="233" t="s">
        <v>242</v>
      </c>
      <c r="B5" s="227"/>
      <c r="C5" s="227"/>
      <c r="D5" s="227"/>
      <c r="E5" s="227"/>
      <c r="F5" s="227"/>
      <c r="G5" s="227">
        <v>8000000</v>
      </c>
      <c r="H5" s="227"/>
    </row>
    <row r="6" spans="1:8" ht="13.5" thickBot="1">
      <c r="A6" s="227"/>
      <c r="B6" s="227"/>
      <c r="C6" s="227"/>
      <c r="D6" s="227"/>
      <c r="E6" s="227"/>
      <c r="F6" s="227"/>
      <c r="G6" s="227"/>
      <c r="H6" s="227"/>
    </row>
    <row r="7" spans="1:8" ht="15.75" thickBot="1">
      <c r="A7" s="252" t="s">
        <v>210</v>
      </c>
      <c r="B7" s="275"/>
      <c r="C7" s="275"/>
      <c r="D7" s="275"/>
      <c r="E7" s="275"/>
      <c r="F7" s="275"/>
      <c r="G7" s="275">
        <f>SUM(G5:G6)</f>
        <v>8000000</v>
      </c>
      <c r="H7" s="276">
        <f>G7/1000</f>
        <v>8000</v>
      </c>
    </row>
    <row r="8" spans="1:8" ht="12.75">
      <c r="A8" s="231"/>
      <c r="B8" s="231"/>
      <c r="C8" s="231"/>
      <c r="D8" s="231"/>
      <c r="E8" s="231"/>
      <c r="F8" s="231"/>
      <c r="G8" s="231"/>
      <c r="H8" s="231"/>
    </row>
    <row r="9" spans="1:8" ht="15">
      <c r="A9" s="717" t="s">
        <v>243</v>
      </c>
      <c r="B9" s="717"/>
      <c r="C9" s="232"/>
      <c r="D9" s="232"/>
      <c r="E9" s="232"/>
      <c r="F9" s="232"/>
      <c r="G9" s="232"/>
      <c r="H9" s="232"/>
    </row>
    <row r="10" spans="1:8" ht="14.25">
      <c r="A10" s="232"/>
      <c r="B10" s="232"/>
      <c r="C10" s="232"/>
      <c r="D10" s="232"/>
      <c r="E10" s="232"/>
      <c r="F10" s="232"/>
      <c r="G10" s="232"/>
      <c r="H10" s="232"/>
    </row>
    <row r="11" spans="1:8" ht="15">
      <c r="A11" s="233" t="s">
        <v>244</v>
      </c>
      <c r="B11" s="232"/>
      <c r="C11" s="232"/>
      <c r="D11" s="232"/>
      <c r="E11" s="232"/>
      <c r="F11" s="232"/>
      <c r="G11" s="234"/>
      <c r="H11" s="235"/>
    </row>
    <row r="12" spans="1:8" ht="18" customHeight="1">
      <c r="A12" s="236">
        <v>511113</v>
      </c>
      <c r="B12" s="232" t="s">
        <v>245</v>
      </c>
      <c r="C12" s="232"/>
      <c r="D12" s="232"/>
      <c r="E12" s="232"/>
      <c r="F12" s="237"/>
      <c r="G12" s="238">
        <f>SUM(F13:F15)</f>
        <v>3085200</v>
      </c>
      <c r="H12" s="238">
        <f>G12/1000</f>
        <v>3085.2</v>
      </c>
    </row>
    <row r="13" spans="1:8" ht="14.25">
      <c r="A13" s="232"/>
      <c r="B13" s="716" t="s">
        <v>246</v>
      </c>
      <c r="C13" s="716"/>
      <c r="D13" s="237">
        <v>257100</v>
      </c>
      <c r="E13" s="232" t="s">
        <v>247</v>
      </c>
      <c r="F13" s="237">
        <f>D13*1</f>
        <v>257100</v>
      </c>
      <c r="G13" s="239"/>
      <c r="H13" s="237"/>
    </row>
    <row r="14" spans="1:8" ht="14.25">
      <c r="A14" s="232"/>
      <c r="B14" s="718">
        <v>40909</v>
      </c>
      <c r="C14" s="719"/>
      <c r="D14" s="237">
        <v>257100</v>
      </c>
      <c r="E14" s="240" t="s">
        <v>248</v>
      </c>
      <c r="F14" s="237">
        <f>D14*11</f>
        <v>2828100</v>
      </c>
      <c r="G14" s="239"/>
      <c r="H14" s="237"/>
    </row>
    <row r="15" spans="1:8" ht="14.25">
      <c r="A15" s="232"/>
      <c r="B15" s="716"/>
      <c r="C15" s="716"/>
      <c r="D15" s="232"/>
      <c r="E15" s="232"/>
      <c r="F15" s="241"/>
      <c r="G15" s="237"/>
      <c r="H15" s="241"/>
    </row>
    <row r="16" spans="1:8" ht="1.5" customHeight="1">
      <c r="A16" s="232"/>
      <c r="B16" s="716"/>
      <c r="C16" s="716"/>
      <c r="D16" s="240"/>
      <c r="E16" s="232"/>
      <c r="F16" s="237"/>
      <c r="G16" s="241"/>
      <c r="H16" s="241"/>
    </row>
    <row r="17" spans="1:8" ht="15">
      <c r="A17" s="715" t="s">
        <v>249</v>
      </c>
      <c r="B17" s="715"/>
      <c r="C17" s="715"/>
      <c r="D17" s="240"/>
      <c r="E17" s="240"/>
      <c r="F17" s="241"/>
      <c r="G17" s="242">
        <f>SUM(G18:G19)</f>
        <v>501648</v>
      </c>
      <c r="H17" s="243">
        <f>G17/1000</f>
        <v>501.648</v>
      </c>
    </row>
    <row r="18" spans="1:8" ht="6.75" customHeight="1">
      <c r="A18" s="232"/>
      <c r="B18" s="244"/>
      <c r="C18" s="244"/>
      <c r="D18" s="244"/>
      <c r="E18" s="240"/>
      <c r="F18" s="241"/>
      <c r="G18" s="241"/>
      <c r="H18" s="241"/>
    </row>
    <row r="19" spans="1:8" ht="18.75" customHeight="1">
      <c r="A19" s="236">
        <v>514133</v>
      </c>
      <c r="B19" s="240" t="s">
        <v>250</v>
      </c>
      <c r="C19" s="240"/>
      <c r="D19" s="240"/>
      <c r="E19" s="240"/>
      <c r="F19" s="241"/>
      <c r="G19" s="243">
        <f>SUM(F20:F22)</f>
        <v>501648</v>
      </c>
      <c r="H19" s="243">
        <f>G19/1000</f>
        <v>501.648</v>
      </c>
    </row>
    <row r="20" spans="1:8" ht="14.25">
      <c r="A20" s="245"/>
      <c r="B20" s="170" t="s">
        <v>251</v>
      </c>
      <c r="C20" s="170"/>
      <c r="D20" s="170"/>
      <c r="E20" s="170"/>
      <c r="F20" s="81">
        <f>21*36*9*12</f>
        <v>81648</v>
      </c>
      <c r="G20" s="239"/>
      <c r="H20" s="81"/>
    </row>
    <row r="21" spans="1:8" ht="14.25">
      <c r="A21" s="232"/>
      <c r="B21" s="244"/>
      <c r="C21" s="244"/>
      <c r="D21" s="244"/>
      <c r="E21" s="240"/>
      <c r="F21" s="81"/>
      <c r="G21" s="241"/>
      <c r="H21" s="241"/>
    </row>
    <row r="22" spans="1:8" ht="14.25">
      <c r="A22" s="232"/>
      <c r="B22" s="244" t="s">
        <v>252</v>
      </c>
      <c r="C22" s="244"/>
      <c r="D22" s="244"/>
      <c r="E22" s="240"/>
      <c r="F22" s="241">
        <v>420000</v>
      </c>
      <c r="G22" s="241"/>
      <c r="H22" s="241"/>
    </row>
    <row r="23" spans="1:8" ht="14.25">
      <c r="A23" s="232"/>
      <c r="B23" s="244"/>
      <c r="C23" s="244"/>
      <c r="D23" s="244"/>
      <c r="E23" s="240"/>
      <c r="F23" s="241"/>
      <c r="G23" s="241"/>
      <c r="H23" s="241"/>
    </row>
    <row r="24" spans="1:8" ht="15">
      <c r="A24" s="236" t="s">
        <v>253</v>
      </c>
      <c r="B24" s="232"/>
      <c r="C24" s="246"/>
      <c r="D24" s="247"/>
      <c r="E24" s="232"/>
      <c r="F24" s="237"/>
      <c r="G24" s="243">
        <f>E27</f>
        <v>960000</v>
      </c>
      <c r="H24" s="248">
        <f>G24/1000</f>
        <v>960</v>
      </c>
    </row>
    <row r="25" spans="1:8" ht="15">
      <c r="A25" s="232"/>
      <c r="B25" s="25"/>
      <c r="C25" s="232"/>
      <c r="D25" s="232"/>
      <c r="E25" s="232"/>
      <c r="F25" s="232"/>
      <c r="G25" s="232"/>
      <c r="H25" s="232"/>
    </row>
    <row r="26" spans="1:8" ht="15">
      <c r="A26" s="244"/>
      <c r="B26" s="244" t="s">
        <v>254</v>
      </c>
      <c r="C26" s="244"/>
      <c r="D26" s="240"/>
      <c r="E26" s="249"/>
      <c r="F26" s="240"/>
      <c r="G26" s="250"/>
      <c r="H26" s="240"/>
    </row>
    <row r="27" spans="1:8" ht="12.75" customHeight="1">
      <c r="A27" s="244"/>
      <c r="B27" s="244" t="s">
        <v>255</v>
      </c>
      <c r="C27" s="244"/>
      <c r="D27" s="240"/>
      <c r="E27" s="249">
        <f>80000*12</f>
        <v>960000</v>
      </c>
      <c r="F27" s="240"/>
      <c r="G27" s="245"/>
      <c r="H27" s="240"/>
    </row>
    <row r="28" spans="1:8" ht="14.25" customHeight="1" thickBot="1">
      <c r="A28" s="245"/>
      <c r="B28" s="245"/>
      <c r="C28" s="245"/>
      <c r="D28" s="245"/>
      <c r="E28" s="245"/>
      <c r="F28" s="245"/>
      <c r="G28" s="251"/>
      <c r="H28" s="240"/>
    </row>
    <row r="29" spans="1:8" ht="13.5" hidden="1" thickBot="1">
      <c r="A29" s="227"/>
      <c r="B29" s="225"/>
      <c r="C29" s="225"/>
      <c r="D29" s="225"/>
      <c r="E29" s="225"/>
      <c r="F29" s="225"/>
      <c r="G29" s="225"/>
      <c r="H29" s="225"/>
    </row>
    <row r="30" spans="1:8" ht="15.75" thickBot="1">
      <c r="A30" s="252" t="s">
        <v>256</v>
      </c>
      <c r="B30" s="253"/>
      <c r="C30" s="253"/>
      <c r="D30" s="253"/>
      <c r="E30" s="253"/>
      <c r="F30" s="253"/>
      <c r="G30" s="254">
        <f>G12+G17+G24</f>
        <v>4546848</v>
      </c>
      <c r="H30" s="532">
        <f>ROUND(G30/1000,0)</f>
        <v>4547</v>
      </c>
    </row>
    <row r="31" spans="1:8" ht="12.75">
      <c r="A31" s="231"/>
      <c r="B31" s="225"/>
      <c r="C31" s="225"/>
      <c r="D31" s="225"/>
      <c r="E31" s="225"/>
      <c r="F31" s="225"/>
      <c r="G31" s="231"/>
      <c r="H31" s="231"/>
    </row>
    <row r="32" spans="1:8" ht="15">
      <c r="A32" s="255" t="s">
        <v>257</v>
      </c>
      <c r="B32" s="256"/>
      <c r="C32" s="256"/>
      <c r="D32" s="256"/>
      <c r="E32" s="256"/>
      <c r="F32" s="256"/>
      <c r="G32" s="256"/>
      <c r="H32" s="257"/>
    </row>
    <row r="33" spans="1:8" ht="15">
      <c r="A33" s="255"/>
      <c r="B33" s="258"/>
      <c r="C33" s="256"/>
      <c r="D33" s="256"/>
      <c r="E33" s="259"/>
      <c r="F33" s="259"/>
      <c r="G33" s="259"/>
      <c r="H33" s="257"/>
    </row>
    <row r="34" spans="1:8" ht="15">
      <c r="A34" s="260" t="s">
        <v>358</v>
      </c>
      <c r="B34" s="261"/>
      <c r="C34" s="262"/>
      <c r="D34" s="262">
        <f>G30-G17</f>
        <v>4045200</v>
      </c>
      <c r="E34" s="262"/>
      <c r="F34" s="256"/>
      <c r="G34" s="263"/>
      <c r="H34" s="227"/>
    </row>
    <row r="35" spans="1:8" ht="14.25">
      <c r="A35" s="264"/>
      <c r="B35" s="262"/>
      <c r="C35" s="262"/>
      <c r="D35" s="262"/>
      <c r="E35" s="262"/>
      <c r="F35" s="256"/>
      <c r="G35" s="263"/>
      <c r="H35" s="227"/>
    </row>
    <row r="36" spans="1:8" ht="14.25">
      <c r="A36" s="261" t="s">
        <v>258</v>
      </c>
      <c r="B36" s="261"/>
      <c r="C36" s="262"/>
      <c r="D36" s="262"/>
      <c r="E36" s="262"/>
      <c r="F36" s="256"/>
      <c r="G36" s="263"/>
      <c r="H36" s="227"/>
    </row>
    <row r="37" spans="1:8" ht="15">
      <c r="A37" s="33">
        <v>53125</v>
      </c>
      <c r="B37" s="265" t="s">
        <v>289</v>
      </c>
      <c r="C37" s="266"/>
      <c r="D37" s="267"/>
      <c r="E37" s="267"/>
      <c r="G37" s="267">
        <f>+D34*0.27</f>
        <v>1092204</v>
      </c>
      <c r="H37" s="268">
        <f>G37/1000</f>
        <v>1092.204</v>
      </c>
    </row>
    <row r="38" spans="1:8" ht="13.5" thickBot="1">
      <c r="A38" s="227"/>
      <c r="B38" s="225"/>
      <c r="C38" s="225"/>
      <c r="D38" s="225"/>
      <c r="E38" s="225"/>
      <c r="F38" s="225"/>
      <c r="G38" s="269"/>
      <c r="H38" s="269"/>
    </row>
    <row r="39" spans="1:8" ht="15.75" thickBot="1">
      <c r="A39" s="252" t="s">
        <v>259</v>
      </c>
      <c r="B39" s="253"/>
      <c r="C39" s="270"/>
      <c r="D39" s="270"/>
      <c r="E39" s="270"/>
      <c r="F39" s="270"/>
      <c r="G39" s="254">
        <f>SUM(G37:G38)</f>
        <v>1092204</v>
      </c>
      <c r="H39" s="532">
        <f>ROUND(G39/1000,0)</f>
        <v>1092</v>
      </c>
    </row>
    <row r="40" spans="1:8" ht="12.75">
      <c r="A40" s="227"/>
      <c r="B40" s="227"/>
      <c r="C40" s="227"/>
      <c r="D40" s="227"/>
      <c r="E40" s="227"/>
      <c r="F40" s="227"/>
      <c r="G40" s="225"/>
      <c r="H40" s="225"/>
    </row>
    <row r="41" spans="1:8" ht="15">
      <c r="A41" s="271" t="s">
        <v>260</v>
      </c>
      <c r="B41" s="272"/>
      <c r="C41" s="232"/>
      <c r="D41" s="232"/>
      <c r="E41" s="232"/>
      <c r="F41" s="232"/>
      <c r="G41" s="232"/>
      <c r="H41" s="232"/>
    </row>
    <row r="42" spans="1:8" ht="14.25">
      <c r="A42" s="232"/>
      <c r="B42" s="240"/>
      <c r="C42" s="240"/>
      <c r="D42" s="240"/>
      <c r="E42" s="240"/>
      <c r="F42" s="240"/>
      <c r="G42" s="240"/>
      <c r="H42" s="240"/>
    </row>
    <row r="43" spans="1:8" ht="15">
      <c r="A43" s="236">
        <v>5431</v>
      </c>
      <c r="B43" s="240" t="s">
        <v>261</v>
      </c>
      <c r="C43" s="240"/>
      <c r="D43" s="240"/>
      <c r="E43" s="240"/>
      <c r="F43" s="240"/>
      <c r="G43" s="241">
        <v>50000</v>
      </c>
      <c r="H43" s="241">
        <f>G43/1000</f>
        <v>50</v>
      </c>
    </row>
    <row r="44" spans="1:8" ht="15">
      <c r="A44" s="236">
        <v>5441</v>
      </c>
      <c r="B44" s="240" t="s">
        <v>262</v>
      </c>
      <c r="C44" s="240"/>
      <c r="D44" s="240"/>
      <c r="E44" s="240"/>
      <c r="F44" s="240"/>
      <c r="G44" s="241">
        <v>20000</v>
      </c>
      <c r="H44" s="241">
        <f>G44/1000</f>
        <v>20</v>
      </c>
    </row>
    <row r="45" spans="1:8" ht="15">
      <c r="A45" s="236"/>
      <c r="B45" s="240" t="s">
        <v>263</v>
      </c>
      <c r="C45" s="240"/>
      <c r="D45" s="240"/>
      <c r="E45" s="240"/>
      <c r="F45" s="240"/>
      <c r="G45" s="241"/>
      <c r="H45" s="241"/>
    </row>
    <row r="46" spans="1:8" ht="15">
      <c r="A46" s="236">
        <v>5471</v>
      </c>
      <c r="B46" s="240" t="s">
        <v>264</v>
      </c>
      <c r="C46" s="240"/>
      <c r="D46" s="240"/>
      <c r="E46" s="240"/>
      <c r="F46" s="240"/>
      <c r="G46" s="241">
        <v>32000</v>
      </c>
      <c r="H46" s="241">
        <f>G46/1000</f>
        <v>32</v>
      </c>
    </row>
    <row r="47" spans="1:8" ht="15">
      <c r="A47" s="236">
        <v>5471</v>
      </c>
      <c r="B47" s="240" t="s">
        <v>265</v>
      </c>
      <c r="C47" s="240"/>
      <c r="D47" s="240"/>
      <c r="E47" s="240"/>
      <c r="F47" s="240"/>
      <c r="G47" s="241"/>
      <c r="H47" s="241"/>
    </row>
    <row r="48" spans="1:8" ht="15">
      <c r="A48" s="233">
        <v>5481</v>
      </c>
      <c r="B48" s="240" t="s">
        <v>266</v>
      </c>
      <c r="C48" s="240" t="s">
        <v>267</v>
      </c>
      <c r="D48" s="240"/>
      <c r="E48" s="240"/>
      <c r="F48" s="240"/>
      <c r="G48" s="241"/>
      <c r="H48" s="241"/>
    </row>
    <row r="49" spans="1:8" ht="15">
      <c r="A49" s="233">
        <v>55111</v>
      </c>
      <c r="B49" s="240" t="s">
        <v>268</v>
      </c>
      <c r="C49" s="240"/>
      <c r="D49" s="240"/>
      <c r="E49" s="240"/>
      <c r="F49" s="240"/>
      <c r="G49" s="241">
        <f>SUM(E50:E51)</f>
        <v>216000</v>
      </c>
      <c r="H49" s="241">
        <f>G49/1000</f>
        <v>216</v>
      </c>
    </row>
    <row r="50" spans="1:8" ht="15">
      <c r="A50" s="233"/>
      <c r="B50" s="273" t="s">
        <v>269</v>
      </c>
      <c r="C50" s="240" t="s">
        <v>270</v>
      </c>
      <c r="D50" s="240"/>
      <c r="E50" s="240">
        <f>3*2000*12</f>
        <v>72000</v>
      </c>
      <c r="F50" s="240"/>
      <c r="G50" s="241"/>
      <c r="H50" s="241"/>
    </row>
    <row r="51" spans="1:8" ht="15">
      <c r="A51" s="233"/>
      <c r="B51" s="273" t="s">
        <v>271</v>
      </c>
      <c r="C51" s="240" t="s">
        <v>272</v>
      </c>
      <c r="D51" s="240"/>
      <c r="E51" s="240">
        <f>12*12000</f>
        <v>144000</v>
      </c>
      <c r="F51" s="240"/>
      <c r="G51" s="241"/>
      <c r="H51" s="241"/>
    </row>
    <row r="52" spans="1:8" ht="15">
      <c r="A52" s="233"/>
      <c r="B52" s="240"/>
      <c r="C52" s="240"/>
      <c r="D52" s="240"/>
      <c r="E52" s="240"/>
      <c r="F52" s="240"/>
      <c r="G52" s="241"/>
      <c r="H52" s="241"/>
    </row>
    <row r="53" spans="1:8" ht="15">
      <c r="A53" s="233">
        <v>55214</v>
      </c>
      <c r="B53" s="240" t="s">
        <v>273</v>
      </c>
      <c r="C53" s="240"/>
      <c r="D53" s="240"/>
      <c r="E53" s="240"/>
      <c r="F53" s="240"/>
      <c r="G53" s="241">
        <v>150000</v>
      </c>
      <c r="H53" s="241">
        <f>G53/1000</f>
        <v>150</v>
      </c>
    </row>
    <row r="54" spans="1:8" ht="15">
      <c r="A54" s="233">
        <v>55215</v>
      </c>
      <c r="B54" s="240" t="s">
        <v>274</v>
      </c>
      <c r="C54" s="240"/>
      <c r="D54" s="240"/>
      <c r="E54" s="240"/>
      <c r="F54" s="240"/>
      <c r="G54" s="241">
        <v>80000</v>
      </c>
      <c r="H54" s="241">
        <f>G54/1000</f>
        <v>80</v>
      </c>
    </row>
    <row r="55" spans="1:8" ht="15">
      <c r="A55" s="233">
        <v>55217</v>
      </c>
      <c r="B55" s="240" t="s">
        <v>275</v>
      </c>
      <c r="C55" s="240"/>
      <c r="D55" s="240"/>
      <c r="E55" s="240"/>
      <c r="F55" s="240"/>
      <c r="G55" s="241">
        <v>50000</v>
      </c>
      <c r="H55" s="241">
        <f>G55/1000</f>
        <v>50</v>
      </c>
    </row>
    <row r="56" spans="1:8" ht="15">
      <c r="A56" s="233">
        <v>55218</v>
      </c>
      <c r="B56" s="240" t="s">
        <v>276</v>
      </c>
      <c r="C56" s="240"/>
      <c r="D56" s="240"/>
      <c r="E56" s="240"/>
      <c r="F56" s="240"/>
      <c r="G56" s="241">
        <v>298000</v>
      </c>
      <c r="H56" s="241">
        <f>G56/1000</f>
        <v>298</v>
      </c>
    </row>
    <row r="57" spans="1:8" ht="15">
      <c r="A57" s="233">
        <v>55219</v>
      </c>
      <c r="B57" s="240" t="s">
        <v>277</v>
      </c>
      <c r="C57" s="240"/>
      <c r="D57" s="240"/>
      <c r="E57" s="240"/>
      <c r="F57" s="240"/>
      <c r="G57" s="241">
        <v>60000</v>
      </c>
      <c r="H57" s="241">
        <f>G57/1000</f>
        <v>60</v>
      </c>
    </row>
    <row r="58" spans="1:8" ht="15">
      <c r="A58" s="233">
        <v>5531</v>
      </c>
      <c r="B58" s="240" t="s">
        <v>278</v>
      </c>
      <c r="C58" s="240"/>
      <c r="D58" s="240"/>
      <c r="E58" s="240"/>
      <c r="F58" s="240"/>
      <c r="G58" s="241"/>
      <c r="H58" s="241"/>
    </row>
    <row r="59" spans="1:8" ht="14.25">
      <c r="A59" s="232"/>
      <c r="B59" s="240" t="s">
        <v>279</v>
      </c>
      <c r="C59" s="240" t="s">
        <v>280</v>
      </c>
      <c r="D59" s="240"/>
      <c r="E59" s="240"/>
      <c r="F59" s="240"/>
      <c r="G59" s="241">
        <f>50000*12</f>
        <v>600000</v>
      </c>
      <c r="H59" s="241">
        <f>G59/1000</f>
        <v>600</v>
      </c>
    </row>
    <row r="60" spans="1:8" ht="14.25">
      <c r="A60" s="232"/>
      <c r="B60" s="240" t="s">
        <v>281</v>
      </c>
      <c r="C60" s="240"/>
      <c r="D60" s="240"/>
      <c r="E60" s="240"/>
      <c r="F60" s="240"/>
      <c r="G60" s="241">
        <f>40000*6</f>
        <v>240000</v>
      </c>
      <c r="H60" s="241">
        <f>G60/1000</f>
        <v>240</v>
      </c>
    </row>
    <row r="61" spans="1:8" ht="14.25">
      <c r="A61" s="232"/>
      <c r="B61" s="240" t="s">
        <v>282</v>
      </c>
      <c r="C61" s="240">
        <v>100000</v>
      </c>
      <c r="D61" s="240"/>
      <c r="E61" s="240"/>
      <c r="F61" s="240"/>
      <c r="G61" s="241">
        <v>100000</v>
      </c>
      <c r="H61" s="241">
        <f>G61/1000</f>
        <v>100</v>
      </c>
    </row>
    <row r="62" spans="1:8" ht="14.25">
      <c r="A62" s="232"/>
      <c r="B62" s="240" t="s">
        <v>283</v>
      </c>
      <c r="C62" s="240">
        <v>100000</v>
      </c>
      <c r="D62" s="240"/>
      <c r="E62" s="240"/>
      <c r="F62" s="240"/>
      <c r="G62" s="241"/>
      <c r="H62" s="241"/>
    </row>
    <row r="63" spans="1:8" ht="14.25">
      <c r="A63" s="232"/>
      <c r="B63" s="240"/>
      <c r="C63" s="240"/>
      <c r="D63" s="240"/>
      <c r="E63" s="240"/>
      <c r="F63" s="240"/>
      <c r="G63" s="241"/>
      <c r="H63" s="241"/>
    </row>
    <row r="64" spans="1:8" ht="15">
      <c r="A64" s="236">
        <v>56211</v>
      </c>
      <c r="B64" s="240" t="s">
        <v>284</v>
      </c>
      <c r="C64" s="240"/>
      <c r="D64" s="240"/>
      <c r="E64" s="240"/>
      <c r="F64" s="240"/>
      <c r="G64" s="241">
        <f>170000+36835</f>
        <v>206835</v>
      </c>
      <c r="H64" s="241">
        <f>G64/1000</f>
        <v>206.835</v>
      </c>
    </row>
    <row r="65" spans="1:8" ht="15">
      <c r="A65" s="236"/>
      <c r="B65" s="240" t="s">
        <v>285</v>
      </c>
      <c r="C65" s="240"/>
      <c r="D65" s="240"/>
      <c r="E65" s="240"/>
      <c r="F65" s="240"/>
      <c r="G65" s="241"/>
      <c r="H65" s="241"/>
    </row>
    <row r="66" spans="1:8" ht="15">
      <c r="A66" s="236"/>
      <c r="B66" s="240"/>
      <c r="C66" s="240"/>
      <c r="D66" s="240"/>
      <c r="E66" s="240"/>
      <c r="F66" s="240"/>
      <c r="G66" s="241"/>
      <c r="H66" s="241"/>
    </row>
    <row r="67" spans="1:8" ht="16.5" customHeight="1">
      <c r="A67" s="236">
        <v>56111</v>
      </c>
      <c r="B67" s="240" t="s">
        <v>286</v>
      </c>
      <c r="C67" s="240"/>
      <c r="D67" s="240"/>
      <c r="E67" s="240"/>
      <c r="F67" s="240"/>
      <c r="G67" s="241">
        <v>258113</v>
      </c>
      <c r="H67" s="241">
        <f>G67/1000</f>
        <v>258.113</v>
      </c>
    </row>
    <row r="68" spans="1:8" ht="15" thickBot="1">
      <c r="A68" s="232"/>
      <c r="B68" s="240"/>
      <c r="C68" s="240"/>
      <c r="D68" s="240"/>
      <c r="E68" s="240"/>
      <c r="F68" s="240"/>
      <c r="G68" s="241"/>
      <c r="H68" s="241"/>
    </row>
    <row r="69" spans="1:8" ht="15.75" thickBot="1">
      <c r="A69" s="252" t="s">
        <v>287</v>
      </c>
      <c r="B69" s="270"/>
      <c r="C69" s="270"/>
      <c r="D69" s="270"/>
      <c r="E69" s="270"/>
      <c r="F69" s="270"/>
      <c r="G69" s="254">
        <f>SUM(G43:G67)</f>
        <v>2360948</v>
      </c>
      <c r="H69" s="532">
        <f>ROUND(G69/1000,0)</f>
        <v>2361</v>
      </c>
    </row>
    <row r="70" spans="1:8" ht="15" thickBot="1">
      <c r="A70" s="232"/>
      <c r="B70" s="240"/>
      <c r="C70" s="240"/>
      <c r="D70" s="240"/>
      <c r="E70" s="240"/>
      <c r="F70" s="240"/>
      <c r="G70" s="241"/>
      <c r="H70" s="241"/>
    </row>
    <row r="71" spans="1:8" ht="28.5" customHeight="1" thickBot="1">
      <c r="A71" s="228" t="s">
        <v>288</v>
      </c>
      <c r="B71" s="229"/>
      <c r="C71" s="229"/>
      <c r="D71" s="229"/>
      <c r="E71" s="229"/>
      <c r="F71" s="229"/>
      <c r="G71" s="230">
        <f>G69+G39+G30</f>
        <v>8000000</v>
      </c>
      <c r="H71" s="533">
        <f>H69+H39+H30</f>
        <v>8000</v>
      </c>
    </row>
    <row r="72" spans="7:8" ht="12.75">
      <c r="G72" s="53"/>
      <c r="H72" s="53"/>
    </row>
    <row r="73" spans="7:8" ht="12.75">
      <c r="G73" s="53"/>
      <c r="H73" s="53"/>
    </row>
    <row r="74" spans="2:8" ht="12.75">
      <c r="B74" s="54" t="s">
        <v>290</v>
      </c>
      <c r="G74" s="53">
        <f>+G7-G71</f>
        <v>0</v>
      </c>
      <c r="H74" s="53"/>
    </row>
    <row r="75" spans="7:8" ht="12.75">
      <c r="G75" s="53"/>
      <c r="H75" s="53"/>
    </row>
    <row r="76" spans="7:8" ht="12.75">
      <c r="G76" s="53"/>
      <c r="H76" s="53"/>
    </row>
    <row r="77" spans="7:8" ht="12.75">
      <c r="G77" s="53"/>
      <c r="H77" s="53"/>
    </row>
    <row r="78" spans="7:8" ht="12.75">
      <c r="G78" s="53"/>
      <c r="H78" s="53"/>
    </row>
    <row r="79" spans="7:8" ht="12.75">
      <c r="G79" s="53"/>
      <c r="H79" s="53"/>
    </row>
  </sheetData>
  <sheetProtection/>
  <mergeCells count="6">
    <mergeCell ref="A17:C17"/>
    <mergeCell ref="B15:C15"/>
    <mergeCell ref="A9:B9"/>
    <mergeCell ref="B16:C16"/>
    <mergeCell ref="B13:C13"/>
    <mergeCell ref="B14:C14"/>
  </mergeCells>
  <printOptions/>
  <pageMargins left="0.75" right="0.75" top="1" bottom="1" header="0.5" footer="0.5"/>
  <pageSetup horizontalDpi="600" verticalDpi="600" orientation="portrait" paperSize="9" scale="86" r:id="rId1"/>
  <headerFooter alignWithMargins="0">
    <oddHeader>&amp;L13. melléklet a 2014. évi 4/2013.(II.28.) Önkormányzati költségvetési rendelethez&amp;R&amp;D</oddHeader>
  </headerFooter>
  <rowBreaks count="1" manualBreakCount="1">
    <brk id="52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D13"/>
  <sheetViews>
    <sheetView view="pageBreakPreview" zoomScale="60" zoomScalePageLayoutView="0" workbookViewId="0" topLeftCell="A1">
      <selection activeCell="F22" sqref="F22"/>
    </sheetView>
  </sheetViews>
  <sheetFormatPr defaultColWidth="10.421875" defaultRowHeight="12.75"/>
  <cols>
    <col min="1" max="1" width="7.57421875" style="541" customWidth="1"/>
    <col min="2" max="2" width="56.421875" style="541" customWidth="1"/>
    <col min="3" max="3" width="18.7109375" style="541" customWidth="1"/>
    <col min="4" max="16384" width="10.421875" style="541" customWidth="1"/>
  </cols>
  <sheetData>
    <row r="1" spans="1:3" ht="78.75" customHeight="1">
      <c r="A1" s="720" t="s">
        <v>446</v>
      </c>
      <c r="B1" s="720"/>
      <c r="C1" s="720"/>
    </row>
    <row r="2" spans="1:4" ht="15.75" thickBot="1">
      <c r="A2" s="542"/>
      <c r="B2" s="542"/>
      <c r="C2" s="543" t="s">
        <v>447</v>
      </c>
      <c r="D2" s="544"/>
    </row>
    <row r="3" spans="1:3" ht="32.25" thickBot="1">
      <c r="A3" s="545" t="s">
        <v>391</v>
      </c>
      <c r="B3" s="546" t="s">
        <v>448</v>
      </c>
      <c r="C3" s="547" t="s">
        <v>458</v>
      </c>
    </row>
    <row r="4" spans="1:3" ht="16.5" thickBot="1">
      <c r="A4" s="548" t="s">
        <v>11</v>
      </c>
      <c r="B4" s="549" t="s">
        <v>469</v>
      </c>
      <c r="C4" s="550" t="s">
        <v>13</v>
      </c>
    </row>
    <row r="5" spans="1:3" ht="15.75">
      <c r="A5" s="564" t="s">
        <v>20</v>
      </c>
      <c r="B5" s="551" t="s">
        <v>449</v>
      </c>
      <c r="C5" s="552">
        <f>+1_mell!D11+1_mell!D14+1_mell!D15</f>
        <v>140217</v>
      </c>
    </row>
    <row r="6" spans="1:3" ht="15.75">
      <c r="A6" s="565" t="s">
        <v>22</v>
      </c>
      <c r="B6" s="553" t="s">
        <v>450</v>
      </c>
      <c r="C6" s="554"/>
    </row>
    <row r="7" spans="1:3" ht="15.75">
      <c r="A7" s="565" t="s">
        <v>24</v>
      </c>
      <c r="B7" s="553" t="s">
        <v>451</v>
      </c>
      <c r="C7" s="554">
        <f>+1_mell!D20</f>
        <v>2500</v>
      </c>
    </row>
    <row r="8" spans="1:3" ht="31.5">
      <c r="A8" s="565" t="s">
        <v>25</v>
      </c>
      <c r="B8" s="555" t="s">
        <v>452</v>
      </c>
      <c r="C8" s="554">
        <f>+1_mell!D17</f>
        <v>47550</v>
      </c>
    </row>
    <row r="9" spans="1:3" ht="15.75">
      <c r="A9" s="566" t="s">
        <v>26</v>
      </c>
      <c r="B9" s="556" t="s">
        <v>453</v>
      </c>
      <c r="C9" s="554"/>
    </row>
    <row r="10" spans="1:3" ht="15.75">
      <c r="A10" s="565" t="s">
        <v>27</v>
      </c>
      <c r="B10" s="553" t="s">
        <v>454</v>
      </c>
      <c r="C10" s="554"/>
    </row>
    <row r="11" spans="1:3" ht="16.5" thickBot="1">
      <c r="A11" s="566" t="s">
        <v>28</v>
      </c>
      <c r="B11" s="556" t="s">
        <v>455</v>
      </c>
      <c r="C11" s="563"/>
    </row>
    <row r="12" spans="1:3" ht="17.25" thickBot="1">
      <c r="A12" s="567" t="s">
        <v>29</v>
      </c>
      <c r="B12" s="562" t="s">
        <v>456</v>
      </c>
      <c r="C12" s="557">
        <f>SUM(C5:C11)</f>
        <v>190267</v>
      </c>
    </row>
    <row r="13" spans="1:3" ht="39" customHeight="1">
      <c r="A13" s="721" t="s">
        <v>457</v>
      </c>
      <c r="B13" s="721"/>
      <c r="C13" s="721"/>
    </row>
  </sheetData>
  <sheetProtection/>
  <mergeCells count="2">
    <mergeCell ref="A1:C1"/>
    <mergeCell ref="A13:C1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&amp;L14.melléklet a 2014.évi 4/2014.( II.28.) Önkormányzati költségvetési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AS250"/>
  <sheetViews>
    <sheetView view="pageBreakPreview" zoomScale="60" zoomScalePageLayoutView="0" workbookViewId="0" topLeftCell="A9">
      <selection activeCell="K38" sqref="K38"/>
    </sheetView>
  </sheetViews>
  <sheetFormatPr defaultColWidth="9.140625" defaultRowHeight="13.5" customHeight="1"/>
  <cols>
    <col min="1" max="1" width="5.28125" style="185" customWidth="1"/>
    <col min="2" max="2" width="4.7109375" style="185" customWidth="1"/>
    <col min="3" max="3" width="23.7109375" style="185" customWidth="1"/>
    <col min="4" max="5" width="12.7109375" style="185" bestFit="1" customWidth="1"/>
    <col min="6" max="6" width="10.140625" style="185" bestFit="1" customWidth="1"/>
    <col min="7" max="7" width="9.57421875" style="185" bestFit="1" customWidth="1"/>
    <col min="8" max="10" width="10.140625" style="185" bestFit="1" customWidth="1"/>
    <col min="11" max="11" width="9.8515625" style="185" bestFit="1" customWidth="1"/>
    <col min="12" max="12" width="11.00390625" style="185" bestFit="1" customWidth="1"/>
    <col min="13" max="13" width="10.8515625" style="185" bestFit="1" customWidth="1"/>
    <col min="14" max="14" width="11.57421875" style="185" bestFit="1" customWidth="1"/>
    <col min="15" max="15" width="11.140625" style="185" bestFit="1" customWidth="1"/>
    <col min="16" max="16" width="11.140625" style="423" bestFit="1" customWidth="1"/>
    <col min="17" max="18" width="9.7109375" style="422" customWidth="1"/>
    <col min="19" max="19" width="10.57421875" style="422" customWidth="1"/>
    <col min="20" max="20" width="13.00390625" style="422" customWidth="1"/>
    <col min="21" max="21" width="9.28125" style="422" customWidth="1"/>
    <col min="22" max="45" width="9.140625" style="422" customWidth="1"/>
    <col min="46" max="16384" width="9.140625" style="185" customWidth="1"/>
  </cols>
  <sheetData>
    <row r="1" spans="2:16" ht="32.25" customHeight="1">
      <c r="B1" s="722" t="s">
        <v>433</v>
      </c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  <c r="P1" s="722"/>
    </row>
    <row r="2" spans="1:16" ht="32.25" customHeight="1" thickBot="1">
      <c r="A2" s="185" t="s">
        <v>11</v>
      </c>
      <c r="B2" s="424" t="s">
        <v>469</v>
      </c>
      <c r="C2" s="424" t="s">
        <v>13</v>
      </c>
      <c r="D2" s="424" t="s">
        <v>14</v>
      </c>
      <c r="E2" s="424" t="s">
        <v>15</v>
      </c>
      <c r="F2" s="424" t="s">
        <v>16</v>
      </c>
      <c r="G2" s="424" t="s">
        <v>17</v>
      </c>
      <c r="H2" s="424" t="s">
        <v>18</v>
      </c>
      <c r="I2" s="424" t="s">
        <v>67</v>
      </c>
      <c r="J2" s="424" t="s">
        <v>481</v>
      </c>
      <c r="K2" s="424" t="s">
        <v>473</v>
      </c>
      <c r="L2" s="424" t="s">
        <v>474</v>
      </c>
      <c r="M2" s="424" t="s">
        <v>476</v>
      </c>
      <c r="N2" s="424" t="s">
        <v>482</v>
      </c>
      <c r="O2" s="424" t="s">
        <v>483</v>
      </c>
      <c r="P2" s="424" t="s">
        <v>484</v>
      </c>
    </row>
    <row r="3" spans="1:16" ht="21" customHeight="1" thickBot="1">
      <c r="A3" s="185" t="s">
        <v>20</v>
      </c>
      <c r="B3" s="390" t="s">
        <v>391</v>
      </c>
      <c r="C3" s="391" t="s">
        <v>71</v>
      </c>
      <c r="D3" s="391" t="s">
        <v>392</v>
      </c>
      <c r="E3" s="391" t="s">
        <v>393</v>
      </c>
      <c r="F3" s="391" t="s">
        <v>394</v>
      </c>
      <c r="G3" s="391" t="s">
        <v>395</v>
      </c>
      <c r="H3" s="391" t="s">
        <v>396</v>
      </c>
      <c r="I3" s="391" t="s">
        <v>397</v>
      </c>
      <c r="J3" s="391" t="s">
        <v>398</v>
      </c>
      <c r="K3" s="391" t="s">
        <v>399</v>
      </c>
      <c r="L3" s="391" t="s">
        <v>400</v>
      </c>
      <c r="M3" s="391" t="s">
        <v>401</v>
      </c>
      <c r="N3" s="391" t="s">
        <v>402</v>
      </c>
      <c r="O3" s="391" t="s">
        <v>403</v>
      </c>
      <c r="P3" s="392" t="s">
        <v>404</v>
      </c>
    </row>
    <row r="4" spans="1:16" ht="13.5" customHeight="1" thickBot="1">
      <c r="A4" s="185" t="s">
        <v>22</v>
      </c>
      <c r="B4" s="393"/>
      <c r="C4" s="394" t="s">
        <v>123</v>
      </c>
      <c r="D4" s="395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10"/>
    </row>
    <row r="5" spans="1:16" ht="13.5" customHeight="1">
      <c r="A5" s="185" t="s">
        <v>24</v>
      </c>
      <c r="B5" s="626">
        <v>1</v>
      </c>
      <c r="C5" s="627" t="s">
        <v>425</v>
      </c>
      <c r="D5" s="628">
        <v>423</v>
      </c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30" t="s">
        <v>426</v>
      </c>
    </row>
    <row r="6" spans="1:16" ht="13.5" customHeight="1">
      <c r="A6" s="185" t="s">
        <v>25</v>
      </c>
      <c r="B6" s="396">
        <v>2</v>
      </c>
      <c r="C6" s="397" t="s">
        <v>405</v>
      </c>
      <c r="D6" s="428">
        <f>+'17_mell'!D10</f>
        <v>175</v>
      </c>
      <c r="E6" s="428">
        <f>+'17_mell'!E10</f>
        <v>175</v>
      </c>
      <c r="F6" s="428">
        <f>+'17_mell'!F10</f>
        <v>175</v>
      </c>
      <c r="G6" s="428">
        <f>+'17_mell'!G10</f>
        <v>175</v>
      </c>
      <c r="H6" s="428">
        <f>+'17_mell'!H10</f>
        <v>175</v>
      </c>
      <c r="I6" s="428">
        <f>+'17_mell'!I10</f>
        <v>175</v>
      </c>
      <c r="J6" s="428">
        <f>+'17_mell'!J10</f>
        <v>175</v>
      </c>
      <c r="K6" s="428">
        <f>+'17_mell'!K10</f>
        <v>175</v>
      </c>
      <c r="L6" s="428">
        <f>+'17_mell'!L10</f>
        <v>175</v>
      </c>
      <c r="M6" s="428">
        <f>+'17_mell'!M10</f>
        <v>175</v>
      </c>
      <c r="N6" s="428">
        <f>+'17_mell'!N10</f>
        <v>175</v>
      </c>
      <c r="O6" s="428">
        <f>+'17_mell'!O10</f>
        <v>175</v>
      </c>
      <c r="P6" s="429">
        <f>SUM(D6:O6)</f>
        <v>2100</v>
      </c>
    </row>
    <row r="7" spans="1:16" ht="13.5" customHeight="1">
      <c r="A7" s="185" t="s">
        <v>26</v>
      </c>
      <c r="B7" s="400" t="s">
        <v>24</v>
      </c>
      <c r="C7" s="401" t="s">
        <v>406</v>
      </c>
      <c r="D7" s="428">
        <f>+'16_mell'!D8+'20_mell'!D9+'19_mell'!D9+'18_mell'!D9+'17_mell'!D11</f>
        <v>10587</v>
      </c>
      <c r="E7" s="428">
        <f>+'16_mell'!E8+'20_mell'!E9+'19_mell'!E9+'18_mell'!E9+'17_mell'!E11</f>
        <v>10587</v>
      </c>
      <c r="F7" s="428">
        <f>+'16_mell'!F8+'20_mell'!F9+'19_mell'!F9+'18_mell'!F9+'17_mell'!F11</f>
        <v>10587</v>
      </c>
      <c r="G7" s="428">
        <f>+'16_mell'!G8+'20_mell'!G9+'19_mell'!G9+'18_mell'!G9+'17_mell'!G11</f>
        <v>10587</v>
      </c>
      <c r="H7" s="428">
        <f>+'16_mell'!H8+'20_mell'!H9+'19_mell'!H9+'18_mell'!H9+'17_mell'!H11</f>
        <v>10587</v>
      </c>
      <c r="I7" s="428">
        <f>+'16_mell'!I8+'20_mell'!I9+'19_mell'!I9+'18_mell'!I9+'17_mell'!I11</f>
        <v>10587</v>
      </c>
      <c r="J7" s="428">
        <f>+'16_mell'!J8+'20_mell'!J9+'19_mell'!J9+'18_mell'!J9+'17_mell'!J11</f>
        <v>10587</v>
      </c>
      <c r="K7" s="428">
        <f>+'16_mell'!K8+'20_mell'!K9+'19_mell'!K9+'18_mell'!K9+'17_mell'!K11</f>
        <v>10587</v>
      </c>
      <c r="L7" s="428">
        <f>+'16_mell'!L8+'20_mell'!L9+'19_mell'!L9+'18_mell'!L9+'17_mell'!L11</f>
        <v>10587</v>
      </c>
      <c r="M7" s="428">
        <f>+'16_mell'!M8+'20_mell'!M9+'19_mell'!M9+'18_mell'!M9+'17_mell'!M11</f>
        <v>10587</v>
      </c>
      <c r="N7" s="428">
        <f>+'16_mell'!N8+'20_mell'!N9+'19_mell'!N9+'18_mell'!N9+'17_mell'!N11</f>
        <v>10587</v>
      </c>
      <c r="O7" s="428">
        <f>+'16_mell'!O8+'20_mell'!O9+'19_mell'!O9+'18_mell'!O9+'17_mell'!O11</f>
        <v>10030</v>
      </c>
      <c r="P7" s="429">
        <f>SUM(D7:O7)</f>
        <v>126487</v>
      </c>
    </row>
    <row r="8" spans="1:16" ht="22.5" customHeight="1">
      <c r="A8" s="185" t="s">
        <v>27</v>
      </c>
      <c r="B8" s="400" t="s">
        <v>25</v>
      </c>
      <c r="C8" s="404" t="s">
        <v>427</v>
      </c>
      <c r="D8" s="428">
        <f>+'16_mell'!D9</f>
        <v>49016</v>
      </c>
      <c r="E8" s="428">
        <f>+'16_mell'!E9</f>
        <v>49016</v>
      </c>
      <c r="F8" s="428">
        <f>+'16_mell'!F9</f>
        <v>49016</v>
      </c>
      <c r="G8" s="428">
        <f>+'16_mell'!G9</f>
        <v>49016</v>
      </c>
      <c r="H8" s="428">
        <f>+'16_mell'!H9</f>
        <v>49016</v>
      </c>
      <c r="I8" s="428">
        <f>+'16_mell'!I9</f>
        <v>49016</v>
      </c>
      <c r="J8" s="428">
        <f>+'16_mell'!J9</f>
        <v>49016</v>
      </c>
      <c r="K8" s="428">
        <f>+'16_mell'!K9</f>
        <v>49016</v>
      </c>
      <c r="L8" s="428">
        <f>+'16_mell'!L9</f>
        <v>98158</v>
      </c>
      <c r="M8" s="428">
        <f>+'16_mell'!M9</f>
        <v>49016</v>
      </c>
      <c r="N8" s="428">
        <f>+'16_mell'!N9</f>
        <v>49016</v>
      </c>
      <c r="O8" s="428">
        <f>+'16_mell'!O9</f>
        <v>76075</v>
      </c>
      <c r="P8" s="431">
        <f>SUM(D8:O8)</f>
        <v>664393</v>
      </c>
    </row>
    <row r="9" spans="1:16" ht="13.5" customHeight="1">
      <c r="A9" s="185" t="s">
        <v>28</v>
      </c>
      <c r="B9" s="400" t="s">
        <v>26</v>
      </c>
      <c r="C9" s="401" t="s">
        <v>408</v>
      </c>
      <c r="D9" s="428">
        <f>+'16_mell'!D10+'20_mell'!D11+'19_mell'!D11+'18_mell'!D11+'17_mell'!D13</f>
        <v>5281</v>
      </c>
      <c r="E9" s="428">
        <f>+'16_mell'!E10+'20_mell'!E11+'19_mell'!E11+'18_mell'!E11+'17_mell'!E13</f>
        <v>5281</v>
      </c>
      <c r="F9" s="428">
        <f>+'16_mell'!F10+'20_mell'!F11+'19_mell'!F11+'18_mell'!F11+'17_mell'!F13</f>
        <v>5281</v>
      </c>
      <c r="G9" s="428">
        <f>+'16_mell'!G10+'20_mell'!G11+'19_mell'!G11+'18_mell'!G11+'17_mell'!G13</f>
        <v>5281</v>
      </c>
      <c r="H9" s="428">
        <f>+'16_mell'!H10+'20_mell'!H11+'19_mell'!H11+'18_mell'!H11+'17_mell'!H13</f>
        <v>5281</v>
      </c>
      <c r="I9" s="428">
        <f>+'16_mell'!I10+'20_mell'!I11+'19_mell'!I11+'18_mell'!I11+'17_mell'!I13</f>
        <v>5281</v>
      </c>
      <c r="J9" s="428">
        <f>+'16_mell'!J10+'20_mell'!J11+'19_mell'!J11+'18_mell'!J11+'17_mell'!J13</f>
        <v>5281</v>
      </c>
      <c r="K9" s="428">
        <f>+'16_mell'!K10+'20_mell'!K11+'19_mell'!K11+'18_mell'!K11+'17_mell'!K13</f>
        <v>5281</v>
      </c>
      <c r="L9" s="428">
        <f>+'16_mell'!L10+'20_mell'!L11+'19_mell'!L11+'18_mell'!L11+'17_mell'!L13</f>
        <v>5281</v>
      </c>
      <c r="M9" s="428">
        <f>+'16_mell'!M10+'20_mell'!M11+'19_mell'!M11+'18_mell'!M11+'17_mell'!M13</f>
        <v>5281</v>
      </c>
      <c r="N9" s="428">
        <f>+'16_mell'!N10+'20_mell'!N11+'19_mell'!N11+'18_mell'!N11+'17_mell'!N13</f>
        <v>5281</v>
      </c>
      <c r="O9" s="428">
        <f>+'16_mell'!O10+'20_mell'!O11+'19_mell'!O11+'18_mell'!O11+'17_mell'!O13</f>
        <v>5288</v>
      </c>
      <c r="P9" s="429">
        <f aca="true" t="shared" si="0" ref="P9:P30">SUM(D9:O9)</f>
        <v>63379</v>
      </c>
    </row>
    <row r="10" spans="1:16" ht="13.5" customHeight="1">
      <c r="A10" s="185" t="s">
        <v>29</v>
      </c>
      <c r="B10" s="400" t="s">
        <v>27</v>
      </c>
      <c r="C10" s="401" t="s">
        <v>409</v>
      </c>
      <c r="D10" s="428">
        <f>+'16_mell'!D11</f>
        <v>0</v>
      </c>
      <c r="E10" s="428">
        <f>+'16_mell'!E11</f>
        <v>0</v>
      </c>
      <c r="F10" s="428">
        <f>+'16_mell'!F11</f>
        <v>4500</v>
      </c>
      <c r="G10" s="428">
        <f>+'16_mell'!G11</f>
        <v>0</v>
      </c>
      <c r="H10" s="428">
        <f>+'16_mell'!H11</f>
        <v>0</v>
      </c>
      <c r="I10" s="428">
        <f>+'16_mell'!I11</f>
        <v>0</v>
      </c>
      <c r="J10" s="428">
        <f>+'16_mell'!J11</f>
        <v>25000</v>
      </c>
      <c r="K10" s="428">
        <f>+'16_mell'!K11</f>
        <v>0</v>
      </c>
      <c r="L10" s="428">
        <f>+'16_mell'!L11</f>
        <v>0</v>
      </c>
      <c r="M10" s="428">
        <f>+'16_mell'!M11</f>
        <v>0</v>
      </c>
      <c r="N10" s="428">
        <f>+'16_mell'!N11</f>
        <v>9934</v>
      </c>
      <c r="O10" s="428">
        <f>+'16_mell'!O11</f>
        <v>7377</v>
      </c>
      <c r="P10" s="429">
        <f>SUM(D10:O10)</f>
        <v>46811</v>
      </c>
    </row>
    <row r="11" spans="1:16" ht="13.5" customHeight="1">
      <c r="A11" s="185" t="s">
        <v>30</v>
      </c>
      <c r="B11" s="400" t="s">
        <v>28</v>
      </c>
      <c r="C11" s="401" t="s">
        <v>410</v>
      </c>
      <c r="D11" s="428">
        <f>+'16_mell'!D12+'20_mell'!D13+'19_mell'!D13+'18_mell'!D13+'17_mell'!D15</f>
        <v>28241</v>
      </c>
      <c r="E11" s="428">
        <f>+'16_mell'!E12+'20_mell'!E13+'19_mell'!E13+'18_mell'!E13+'17_mell'!E15</f>
        <v>31517</v>
      </c>
      <c r="F11" s="428">
        <f>+'16_mell'!F12+'20_mell'!F13+'19_mell'!F13+'18_mell'!F13+'17_mell'!F15</f>
        <v>28016</v>
      </c>
      <c r="G11" s="428">
        <f>+'16_mell'!G12+'20_mell'!G13+'19_mell'!G13+'18_mell'!G13+'17_mell'!G15</f>
        <v>28016</v>
      </c>
      <c r="H11" s="428">
        <f>+'16_mell'!H12+'20_mell'!H13+'19_mell'!H13+'18_mell'!H13+'17_mell'!H15</f>
        <v>28016</v>
      </c>
      <c r="I11" s="428">
        <f>+'16_mell'!I12+'20_mell'!I13+'19_mell'!I13+'18_mell'!I13+'17_mell'!I15</f>
        <v>28016</v>
      </c>
      <c r="J11" s="428">
        <f>+'16_mell'!J12+'20_mell'!J13+'19_mell'!J13+'18_mell'!J13+'17_mell'!J15</f>
        <v>28016</v>
      </c>
      <c r="K11" s="428">
        <f>+'16_mell'!K12+'20_mell'!K13+'19_mell'!K13+'18_mell'!K13+'17_mell'!K15</f>
        <v>30053</v>
      </c>
      <c r="L11" s="428">
        <f>+'16_mell'!L12+'20_mell'!L13+'19_mell'!L13+'18_mell'!L13+'17_mell'!L15</f>
        <v>28016</v>
      </c>
      <c r="M11" s="428">
        <f>+'16_mell'!M12+'20_mell'!M13+'19_mell'!M13+'18_mell'!M13+'17_mell'!M15</f>
        <v>31516</v>
      </c>
      <c r="N11" s="428">
        <f>+'16_mell'!N12+'20_mell'!N13+'19_mell'!N13+'18_mell'!N13+'17_mell'!N15</f>
        <v>33016</v>
      </c>
      <c r="O11" s="428">
        <f>+'16_mell'!O12+'20_mell'!O13+'19_mell'!O13+'18_mell'!O13+'17_mell'!O15</f>
        <v>29106</v>
      </c>
      <c r="P11" s="429">
        <f t="shared" si="0"/>
        <v>351545</v>
      </c>
    </row>
    <row r="12" spans="1:16" ht="13.5" customHeight="1">
      <c r="A12" s="185" t="s">
        <v>31</v>
      </c>
      <c r="B12" s="400" t="s">
        <v>29</v>
      </c>
      <c r="C12" s="401" t="s">
        <v>411</v>
      </c>
      <c r="D12" s="428">
        <f>+'17_mell'!D16</f>
        <v>0</v>
      </c>
      <c r="E12" s="428">
        <f>+'17_mell'!E16</f>
        <v>0</v>
      </c>
      <c r="F12" s="428">
        <f>+'17_mell'!F16</f>
        <v>0</v>
      </c>
      <c r="G12" s="428">
        <f>+'17_mell'!G16</f>
        <v>144</v>
      </c>
      <c r="H12" s="428">
        <f>+'17_mell'!H16</f>
        <v>0</v>
      </c>
      <c r="I12" s="428">
        <f>+'17_mell'!I16</f>
        <v>0</v>
      </c>
      <c r="J12" s="428">
        <f>+'17_mell'!J16</f>
        <v>0</v>
      </c>
      <c r="K12" s="428">
        <f>+'17_mell'!K16</f>
        <v>0</v>
      </c>
      <c r="L12" s="428">
        <f>+'17_mell'!L16</f>
        <v>0</v>
      </c>
      <c r="M12" s="428">
        <f>+'17_mell'!M16</f>
        <v>0</v>
      </c>
      <c r="N12" s="428">
        <f>+'17_mell'!N16</f>
        <v>0</v>
      </c>
      <c r="O12" s="428">
        <f>+'17_mell'!O16</f>
        <v>0</v>
      </c>
      <c r="P12" s="429">
        <f>SUM(D12:O12)</f>
        <v>144</v>
      </c>
    </row>
    <row r="13" spans="1:16" ht="21" customHeight="1">
      <c r="A13" s="185" t="s">
        <v>32</v>
      </c>
      <c r="B13" s="400" t="s">
        <v>30</v>
      </c>
      <c r="C13" s="406" t="s">
        <v>412</v>
      </c>
      <c r="D13" s="428">
        <f>+'16_mell'!D14+'17_mell'!D17+'18_mell'!D15+'19_mell'!D15+'20_mell'!D15</f>
        <v>32469</v>
      </c>
      <c r="E13" s="428">
        <f>+'16_mell'!E14+'17_mell'!E17+'18_mell'!E15+'19_mell'!E15+'20_mell'!E15</f>
        <v>0</v>
      </c>
      <c r="F13" s="428">
        <f>+'16_mell'!F14+'17_mell'!F17+'18_mell'!F15+'19_mell'!F15+'20_mell'!F15</f>
        <v>0</v>
      </c>
      <c r="G13" s="428">
        <f>+'16_mell'!G14+'17_mell'!G17+'18_mell'!G15+'19_mell'!G15+'20_mell'!G15</f>
        <v>0</v>
      </c>
      <c r="H13" s="428">
        <f>+'16_mell'!H14+'17_mell'!H17+'18_mell'!H15+'19_mell'!H15+'20_mell'!H15</f>
        <v>0</v>
      </c>
      <c r="I13" s="428">
        <f>+'16_mell'!I14+'17_mell'!I17+'18_mell'!I15+'19_mell'!I15+'20_mell'!I15</f>
        <v>0</v>
      </c>
      <c r="J13" s="428">
        <f>+'16_mell'!J14+'17_mell'!J17+'18_mell'!J15+'19_mell'!J15+'20_mell'!J15</f>
        <v>0</v>
      </c>
      <c r="K13" s="428">
        <f>+'16_mell'!K14+'17_mell'!K17+'18_mell'!K15+'19_mell'!K15+'20_mell'!K15</f>
        <v>0</v>
      </c>
      <c r="L13" s="428">
        <f>+'16_mell'!L14+'17_mell'!L17+'18_mell'!L15+'19_mell'!L15+'20_mell'!L15</f>
        <v>0</v>
      </c>
      <c r="M13" s="428">
        <f>+'16_mell'!M14+'17_mell'!M17+'18_mell'!M15+'19_mell'!M15+'20_mell'!M15</f>
        <v>0</v>
      </c>
      <c r="N13" s="428">
        <f>+'16_mell'!N14+'17_mell'!N17+'18_mell'!N15+'19_mell'!N15+'20_mell'!N15</f>
        <v>0</v>
      </c>
      <c r="O13" s="428">
        <f>+'16_mell'!O14+'17_mell'!O17+'18_mell'!O15+'19_mell'!O15+'20_mell'!O15</f>
        <v>20313</v>
      </c>
      <c r="P13" s="429">
        <f>SUM(D13:O13)</f>
        <v>52782</v>
      </c>
    </row>
    <row r="14" spans="1:16" ht="21" customHeight="1">
      <c r="A14" s="185" t="s">
        <v>33</v>
      </c>
      <c r="B14" s="400" t="s">
        <v>31</v>
      </c>
      <c r="C14" s="401" t="s">
        <v>428</v>
      </c>
      <c r="D14" s="428">
        <f>+'17_mell'!D18+'18_mell'!D16+'19_mell'!D16+'20_mell'!D16</f>
        <v>41898</v>
      </c>
      <c r="E14" s="428">
        <f>+'17_mell'!E18+'18_mell'!E16+'19_mell'!E16+'20_mell'!E16</f>
        <v>42225</v>
      </c>
      <c r="F14" s="428">
        <f>+'17_mell'!F18+'18_mell'!F16+'19_mell'!F16+'20_mell'!F16</f>
        <v>46423</v>
      </c>
      <c r="G14" s="428">
        <f>+'17_mell'!G18+'18_mell'!G16+'19_mell'!G16+'20_mell'!G16</f>
        <v>45582</v>
      </c>
      <c r="H14" s="428">
        <f>+'17_mell'!H18+'18_mell'!H16+'19_mell'!H16+'20_mell'!H16</f>
        <v>45726</v>
      </c>
      <c r="I14" s="428">
        <f>+'17_mell'!I18+'18_mell'!I16+'19_mell'!I16+'20_mell'!I16</f>
        <v>45726</v>
      </c>
      <c r="J14" s="428">
        <f>+'17_mell'!J18+'18_mell'!J16+'19_mell'!J16+'20_mell'!J16</f>
        <v>45726</v>
      </c>
      <c r="K14" s="428">
        <f>+'17_mell'!K18+'18_mell'!K16+'19_mell'!K16+'20_mell'!K16</f>
        <v>44587</v>
      </c>
      <c r="L14" s="428">
        <f>+'17_mell'!L18+'18_mell'!L16+'19_mell'!L16+'20_mell'!L16</f>
        <v>46841</v>
      </c>
      <c r="M14" s="428">
        <f>+'17_mell'!M18+'18_mell'!M16+'19_mell'!M16+'20_mell'!M16</f>
        <v>51004</v>
      </c>
      <c r="N14" s="428">
        <f>+'17_mell'!N18+'18_mell'!N16+'19_mell'!N16+'20_mell'!N16</f>
        <v>43774</v>
      </c>
      <c r="O14" s="428">
        <f>+'17_mell'!O18+'18_mell'!O16+'19_mell'!O16+'20_mell'!O16</f>
        <v>50874</v>
      </c>
      <c r="P14" s="429">
        <f>SUM(D14:O14)</f>
        <v>550386</v>
      </c>
    </row>
    <row r="15" spans="1:16" ht="13.5" customHeight="1" thickBot="1">
      <c r="A15" s="185" t="s">
        <v>34</v>
      </c>
      <c r="B15" s="631"/>
      <c r="C15" s="632" t="s">
        <v>430</v>
      </c>
      <c r="D15" s="633"/>
      <c r="E15" s="633"/>
      <c r="F15" s="633"/>
      <c r="G15" s="633"/>
      <c r="H15" s="633"/>
      <c r="I15" s="633"/>
      <c r="J15" s="633"/>
      <c r="K15" s="633"/>
      <c r="L15" s="633"/>
      <c r="M15" s="633"/>
      <c r="N15" s="633"/>
      <c r="O15" s="633"/>
      <c r="P15" s="634">
        <f>SUM(D15:O15)</f>
        <v>0</v>
      </c>
    </row>
    <row r="16" spans="1:45" s="423" customFormat="1" ht="13.5" customHeight="1" thickBot="1">
      <c r="A16" s="423" t="s">
        <v>35</v>
      </c>
      <c r="B16" s="393" t="s">
        <v>32</v>
      </c>
      <c r="C16" s="408" t="s">
        <v>413</v>
      </c>
      <c r="D16" s="432">
        <f>SUM(D5:D14)</f>
        <v>168090</v>
      </c>
      <c r="E16" s="432">
        <f>SUM(E5:E14)</f>
        <v>138801</v>
      </c>
      <c r="F16" s="432">
        <f aca="true" t="shared" si="1" ref="F16:O16">SUM(F5:F14)</f>
        <v>143998</v>
      </c>
      <c r="G16" s="432">
        <f t="shared" si="1"/>
        <v>138801</v>
      </c>
      <c r="H16" s="432">
        <f t="shared" si="1"/>
        <v>138801</v>
      </c>
      <c r="I16" s="432">
        <f t="shared" si="1"/>
        <v>138801</v>
      </c>
      <c r="J16" s="432">
        <f t="shared" si="1"/>
        <v>163801</v>
      </c>
      <c r="K16" s="432">
        <f t="shared" si="1"/>
        <v>139699</v>
      </c>
      <c r="L16" s="432">
        <f t="shared" si="1"/>
        <v>189058</v>
      </c>
      <c r="M16" s="432">
        <f t="shared" si="1"/>
        <v>147579</v>
      </c>
      <c r="N16" s="432">
        <f t="shared" si="1"/>
        <v>151783</v>
      </c>
      <c r="O16" s="432">
        <f t="shared" si="1"/>
        <v>199238</v>
      </c>
      <c r="P16" s="432">
        <f>SUM(P5:P15)</f>
        <v>1858027</v>
      </c>
      <c r="Q16" s="433"/>
      <c r="R16" s="433"/>
      <c r="S16" s="433"/>
      <c r="T16" s="433"/>
      <c r="U16" s="433"/>
      <c r="V16" s="433"/>
      <c r="W16" s="433"/>
      <c r="X16" s="433"/>
      <c r="Y16" s="433"/>
      <c r="Z16" s="433"/>
      <c r="AA16" s="433"/>
      <c r="AB16" s="433"/>
      <c r="AC16" s="433"/>
      <c r="AD16" s="433"/>
      <c r="AE16" s="433"/>
      <c r="AF16" s="433"/>
      <c r="AG16" s="433"/>
      <c r="AH16" s="433"/>
      <c r="AI16" s="433"/>
      <c r="AJ16" s="433"/>
      <c r="AK16" s="433"/>
      <c r="AL16" s="433"/>
      <c r="AM16" s="433"/>
      <c r="AN16" s="433"/>
      <c r="AO16" s="433"/>
      <c r="AP16" s="433"/>
      <c r="AQ16" s="433"/>
      <c r="AR16" s="433"/>
      <c r="AS16" s="433"/>
    </row>
    <row r="17" spans="1:45" s="423" customFormat="1" ht="13.5" customHeight="1" thickBot="1">
      <c r="A17" s="423" t="s">
        <v>36</v>
      </c>
      <c r="B17" s="393" t="s">
        <v>33</v>
      </c>
      <c r="C17" s="394" t="s">
        <v>152</v>
      </c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440"/>
      <c r="Q17" s="433"/>
      <c r="R17" s="433"/>
      <c r="S17" s="433"/>
      <c r="T17" s="433"/>
      <c r="U17" s="433"/>
      <c r="V17" s="433"/>
      <c r="W17" s="433"/>
      <c r="X17" s="433"/>
      <c r="Y17" s="433"/>
      <c r="Z17" s="433"/>
      <c r="AA17" s="433"/>
      <c r="AB17" s="433"/>
      <c r="AC17" s="433"/>
      <c r="AD17" s="433"/>
      <c r="AE17" s="433"/>
      <c r="AF17" s="433"/>
      <c r="AG17" s="433"/>
      <c r="AH17" s="433"/>
      <c r="AI17" s="433"/>
      <c r="AJ17" s="433"/>
      <c r="AK17" s="433"/>
      <c r="AL17" s="433"/>
      <c r="AM17" s="433"/>
      <c r="AN17" s="433"/>
      <c r="AO17" s="433"/>
      <c r="AP17" s="433"/>
      <c r="AQ17" s="433"/>
      <c r="AR17" s="433"/>
      <c r="AS17" s="433"/>
    </row>
    <row r="18" spans="1:16" ht="13.5" customHeight="1">
      <c r="A18" s="185" t="s">
        <v>37</v>
      </c>
      <c r="B18" s="411" t="s">
        <v>34</v>
      </c>
      <c r="C18" s="412" t="s">
        <v>295</v>
      </c>
      <c r="D18" s="430">
        <f>+'16_mell'!D18+'20_mell'!D19+'19_mell'!D19+'18_mell'!D19+'17_mell'!D21</f>
        <v>43411</v>
      </c>
      <c r="E18" s="430">
        <f>+'16_mell'!E18+'20_mell'!E19+'19_mell'!E19+'18_mell'!E19+'17_mell'!E21</f>
        <v>37011</v>
      </c>
      <c r="F18" s="430">
        <f>+'16_mell'!F18+'20_mell'!F19+'19_mell'!F19+'18_mell'!F19+'17_mell'!F21</f>
        <v>37011</v>
      </c>
      <c r="G18" s="430">
        <f>+'16_mell'!G18+'20_mell'!G19+'19_mell'!G19+'18_mell'!G19+'17_mell'!G21</f>
        <v>37011</v>
      </c>
      <c r="H18" s="430">
        <f>+'16_mell'!H18+'20_mell'!H19+'19_mell'!H19+'18_mell'!H19+'17_mell'!H21</f>
        <v>37011</v>
      </c>
      <c r="I18" s="430">
        <f>+'16_mell'!I18+'20_mell'!I19+'19_mell'!I19+'18_mell'!I19+'17_mell'!I21</f>
        <v>37011</v>
      </c>
      <c r="J18" s="430">
        <f>+'16_mell'!J18+'20_mell'!J19+'19_mell'!J19+'18_mell'!J19+'17_mell'!J21</f>
        <v>37011</v>
      </c>
      <c r="K18" s="430">
        <f>+'16_mell'!K18+'20_mell'!K19+'19_mell'!K19+'18_mell'!K19+'17_mell'!K21</f>
        <v>37335</v>
      </c>
      <c r="L18" s="430">
        <f>+'16_mell'!L18+'20_mell'!L19+'19_mell'!L19+'18_mell'!L19+'17_mell'!L21</f>
        <v>37335</v>
      </c>
      <c r="M18" s="430">
        <f>+'16_mell'!M18+'20_mell'!M19+'19_mell'!M19+'18_mell'!M19+'17_mell'!M21</f>
        <v>37335</v>
      </c>
      <c r="N18" s="430">
        <f>+'16_mell'!N18+'20_mell'!N19+'19_mell'!N19+'18_mell'!N19+'17_mell'!N21</f>
        <v>37335</v>
      </c>
      <c r="O18" s="430">
        <f>+'16_mell'!O18+'20_mell'!O19+'19_mell'!O19+'18_mell'!O19+'17_mell'!O21</f>
        <v>38030</v>
      </c>
      <c r="P18" s="431">
        <f t="shared" si="0"/>
        <v>452847</v>
      </c>
    </row>
    <row r="19" spans="1:16" ht="23.25" customHeight="1">
      <c r="A19" s="185" t="s">
        <v>38</v>
      </c>
      <c r="B19" s="400" t="s">
        <v>35</v>
      </c>
      <c r="C19" s="406" t="s">
        <v>432</v>
      </c>
      <c r="D19" s="430">
        <f>+'16_mell'!D19+'20_mell'!D20+'19_mell'!D20+'18_mell'!D20+'17_mell'!D22</f>
        <v>9462</v>
      </c>
      <c r="E19" s="430">
        <f>+'16_mell'!E19+'20_mell'!E20+'19_mell'!E20+'18_mell'!E20+'17_mell'!E22</f>
        <v>7496</v>
      </c>
      <c r="F19" s="430">
        <f>+'16_mell'!F19+'20_mell'!F20+'19_mell'!F20+'18_mell'!F20+'17_mell'!F22</f>
        <v>7496</v>
      </c>
      <c r="G19" s="430">
        <f>+'16_mell'!G19+'20_mell'!G20+'19_mell'!G20+'18_mell'!G20+'17_mell'!G22</f>
        <v>7496</v>
      </c>
      <c r="H19" s="430">
        <f>+'16_mell'!H19+'20_mell'!H20+'19_mell'!H20+'18_mell'!H20+'17_mell'!H22</f>
        <v>7496</v>
      </c>
      <c r="I19" s="430">
        <f>+'16_mell'!I19+'20_mell'!I20+'19_mell'!I20+'18_mell'!I20+'17_mell'!I22</f>
        <v>7496</v>
      </c>
      <c r="J19" s="430">
        <f>+'16_mell'!J19+'20_mell'!J20+'19_mell'!J20+'18_mell'!J20+'17_mell'!J22</f>
        <v>7496</v>
      </c>
      <c r="K19" s="430">
        <f>+'16_mell'!K19+'20_mell'!K20+'19_mell'!K20+'18_mell'!K20+'17_mell'!K22</f>
        <v>7597</v>
      </c>
      <c r="L19" s="430">
        <f>+'16_mell'!L19+'20_mell'!L20+'19_mell'!L20+'18_mell'!L20+'17_mell'!L22</f>
        <v>7597</v>
      </c>
      <c r="M19" s="430">
        <f>+'16_mell'!M19+'20_mell'!M20+'19_mell'!M20+'18_mell'!M20+'17_mell'!M22</f>
        <v>7597</v>
      </c>
      <c r="N19" s="430">
        <f>+'16_mell'!N19+'20_mell'!N20+'19_mell'!N20+'18_mell'!N20+'17_mell'!N22</f>
        <v>7597</v>
      </c>
      <c r="O19" s="430">
        <f>+'16_mell'!O19+'20_mell'!O20+'19_mell'!O20+'18_mell'!O20+'17_mell'!O22</f>
        <v>7596</v>
      </c>
      <c r="P19" s="429">
        <f t="shared" si="0"/>
        <v>92422</v>
      </c>
    </row>
    <row r="20" spans="1:16" ht="13.5" customHeight="1">
      <c r="A20" s="185" t="s">
        <v>39</v>
      </c>
      <c r="B20" s="400" t="s">
        <v>36</v>
      </c>
      <c r="C20" s="401" t="s">
        <v>338</v>
      </c>
      <c r="D20" s="430">
        <f>+'16_mell'!D20+'20_mell'!D21+'19_mell'!D21+'18_mell'!D21+'17_mell'!D23</f>
        <v>36280</v>
      </c>
      <c r="E20" s="430">
        <f>+'16_mell'!E20+'20_mell'!E21+'19_mell'!E21+'18_mell'!E21+'17_mell'!E23</f>
        <v>36280</v>
      </c>
      <c r="F20" s="430">
        <f>+'16_mell'!F20+'20_mell'!F21+'19_mell'!F21+'18_mell'!F21+'17_mell'!F23</f>
        <v>36280</v>
      </c>
      <c r="G20" s="430">
        <f>+'16_mell'!G20+'20_mell'!G21+'19_mell'!G21+'18_mell'!G21+'17_mell'!G23</f>
        <v>36280</v>
      </c>
      <c r="H20" s="430">
        <f>+'16_mell'!H20+'20_mell'!H21+'19_mell'!H21+'18_mell'!H21+'17_mell'!H23</f>
        <v>36280</v>
      </c>
      <c r="I20" s="430">
        <f>+'16_mell'!I20+'20_mell'!I21+'19_mell'!I21+'18_mell'!I21+'17_mell'!I23</f>
        <v>36280</v>
      </c>
      <c r="J20" s="430">
        <f>+'16_mell'!J20+'20_mell'!J21+'19_mell'!J21+'18_mell'!J21+'17_mell'!J23</f>
        <v>36280</v>
      </c>
      <c r="K20" s="430">
        <f>+'16_mell'!K20+'20_mell'!K21+'19_mell'!K21+'18_mell'!K21+'17_mell'!K23</f>
        <v>36753</v>
      </c>
      <c r="L20" s="430">
        <f>+'16_mell'!L20+'20_mell'!L21+'19_mell'!L21+'18_mell'!L21+'17_mell'!L23</f>
        <v>36753</v>
      </c>
      <c r="M20" s="430">
        <f>+'16_mell'!M20+'20_mell'!M21+'19_mell'!M21+'18_mell'!M21+'17_mell'!M23</f>
        <v>41103</v>
      </c>
      <c r="N20" s="430">
        <f>+'16_mell'!N20+'20_mell'!N21+'19_mell'!N21+'18_mell'!N21+'17_mell'!N23</f>
        <v>38903</v>
      </c>
      <c r="O20" s="430">
        <f>+'16_mell'!O20+'20_mell'!O21+'19_mell'!O21+'18_mell'!O21+'17_mell'!O23</f>
        <v>37468</v>
      </c>
      <c r="P20" s="429">
        <f t="shared" si="0"/>
        <v>444940</v>
      </c>
    </row>
    <row r="21" spans="1:16" ht="13.5" customHeight="1">
      <c r="A21" s="185" t="s">
        <v>42</v>
      </c>
      <c r="B21" s="400" t="s">
        <v>37</v>
      </c>
      <c r="C21" s="401" t="s">
        <v>415</v>
      </c>
      <c r="D21" s="430"/>
      <c r="E21" s="430"/>
      <c r="F21" s="430"/>
      <c r="G21" s="430"/>
      <c r="H21" s="430"/>
      <c r="I21" s="430"/>
      <c r="J21" s="430"/>
      <c r="K21" s="430"/>
      <c r="L21" s="430"/>
      <c r="M21" s="430"/>
      <c r="N21" s="430"/>
      <c r="O21" s="430"/>
      <c r="P21" s="429">
        <f t="shared" si="0"/>
        <v>0</v>
      </c>
    </row>
    <row r="22" spans="1:16" ht="13.5" customHeight="1">
      <c r="A22" s="185" t="s">
        <v>45</v>
      </c>
      <c r="B22" s="400" t="s">
        <v>38</v>
      </c>
      <c r="C22" s="401" t="s">
        <v>416</v>
      </c>
      <c r="D22" s="430">
        <f>+'16_mell'!D22</f>
        <v>3726</v>
      </c>
      <c r="E22" s="430">
        <f>+'16_mell'!E22</f>
        <v>0</v>
      </c>
      <c r="F22" s="430">
        <f>+'16_mell'!F22</f>
        <v>0</v>
      </c>
      <c r="G22" s="430">
        <f>+'16_mell'!G22</f>
        <v>0</v>
      </c>
      <c r="H22" s="430">
        <f>+'16_mell'!H22</f>
        <v>0</v>
      </c>
      <c r="I22" s="430">
        <f>+'16_mell'!I22</f>
        <v>0</v>
      </c>
      <c r="J22" s="430">
        <f>+'16_mell'!J22</f>
        <v>0</v>
      </c>
      <c r="K22" s="430">
        <f>+'16_mell'!K22</f>
        <v>0</v>
      </c>
      <c r="L22" s="430">
        <f>+'16_mell'!L22</f>
        <v>0</v>
      </c>
      <c r="M22" s="430">
        <f>+'16_mell'!M22</f>
        <v>0</v>
      </c>
      <c r="N22" s="430">
        <f>+'16_mell'!N22</f>
        <v>0</v>
      </c>
      <c r="O22" s="430">
        <f>+'16_mell'!O22</f>
        <v>0</v>
      </c>
      <c r="P22" s="429">
        <f t="shared" si="0"/>
        <v>3726</v>
      </c>
    </row>
    <row r="23" spans="1:16" ht="13.5" customHeight="1">
      <c r="A23" s="185" t="s">
        <v>46</v>
      </c>
      <c r="B23" s="400" t="s">
        <v>39</v>
      </c>
      <c r="C23" s="401" t="s">
        <v>417</v>
      </c>
      <c r="D23" s="430">
        <f>+'16_mell'!D23+'17_mell'!D26+'18_mell'!D24+'19_mell'!D24+'20_mell'!D24</f>
        <v>3720</v>
      </c>
      <c r="E23" s="430">
        <f>+'16_mell'!E23+'17_mell'!E26+'18_mell'!E24+'19_mell'!E24+'20_mell'!E24</f>
        <v>3720</v>
      </c>
      <c r="F23" s="430">
        <f>+'16_mell'!F23+'17_mell'!F26+'18_mell'!F24+'19_mell'!F24+'20_mell'!F24</f>
        <v>4417</v>
      </c>
      <c r="G23" s="430">
        <f>+'16_mell'!G23+'17_mell'!G26+'18_mell'!G24+'19_mell'!G24+'20_mell'!G24</f>
        <v>3720</v>
      </c>
      <c r="H23" s="430">
        <f>+'16_mell'!H23+'17_mell'!H26+'18_mell'!H24+'19_mell'!H24+'20_mell'!H24</f>
        <v>3720</v>
      </c>
      <c r="I23" s="430">
        <f>+'16_mell'!I23+'17_mell'!I26+'18_mell'!I24+'19_mell'!I24+'20_mell'!I24</f>
        <v>3720</v>
      </c>
      <c r="J23" s="430">
        <f>+'16_mell'!J23+'17_mell'!J26+'18_mell'!J24+'19_mell'!J24+'20_mell'!J24</f>
        <v>3720</v>
      </c>
      <c r="K23" s="430">
        <f>+'16_mell'!K23+'17_mell'!K26+'18_mell'!K24+'19_mell'!K24+'20_mell'!K24</f>
        <v>3720</v>
      </c>
      <c r="L23" s="430">
        <f>+'16_mell'!L23+'17_mell'!L26+'18_mell'!L24+'19_mell'!L24+'20_mell'!L24</f>
        <v>3720</v>
      </c>
      <c r="M23" s="430">
        <f>+'16_mell'!M23+'17_mell'!M26+'18_mell'!M24+'19_mell'!M24+'20_mell'!M24</f>
        <v>3720</v>
      </c>
      <c r="N23" s="430">
        <f>+'16_mell'!N23+'17_mell'!N26+'18_mell'!N24+'19_mell'!N24+'20_mell'!N24</f>
        <v>3720</v>
      </c>
      <c r="O23" s="430">
        <f>+'16_mell'!O23+'17_mell'!O26+'18_mell'!O24+'19_mell'!O24+'20_mell'!O24</f>
        <v>3725</v>
      </c>
      <c r="P23" s="429">
        <f t="shared" si="0"/>
        <v>45342</v>
      </c>
    </row>
    <row r="24" spans="1:16" ht="21" customHeight="1">
      <c r="A24" s="185" t="s">
        <v>47</v>
      </c>
      <c r="B24" s="400" t="s">
        <v>42</v>
      </c>
      <c r="C24" s="406" t="s">
        <v>418</v>
      </c>
      <c r="D24" s="430">
        <f>+'16_mell'!D24+'17_mell'!D27</f>
        <v>14663</v>
      </c>
      <c r="E24" s="430">
        <f>+'16_mell'!E24+'17_mell'!E27</f>
        <v>14663</v>
      </c>
      <c r="F24" s="430">
        <f>+'16_mell'!F24+'17_mell'!F27</f>
        <v>14663</v>
      </c>
      <c r="G24" s="430">
        <f>+'16_mell'!G24+'17_mell'!G27</f>
        <v>14663</v>
      </c>
      <c r="H24" s="430">
        <f>+'16_mell'!H24+'17_mell'!H27</f>
        <v>14663</v>
      </c>
      <c r="I24" s="430">
        <f>+'16_mell'!I24+'17_mell'!I27</f>
        <v>14663</v>
      </c>
      <c r="J24" s="430">
        <f>+'16_mell'!J24+'17_mell'!J27</f>
        <v>14663</v>
      </c>
      <c r="K24" s="430">
        <f>+'16_mell'!K24+'17_mell'!K27</f>
        <v>14663</v>
      </c>
      <c r="L24" s="430">
        <f>+'16_mell'!L24+'17_mell'!L27</f>
        <v>14663</v>
      </c>
      <c r="M24" s="430">
        <f>+'16_mell'!M24+'17_mell'!M27</f>
        <v>14663</v>
      </c>
      <c r="N24" s="430">
        <f>+'16_mell'!N24+'17_mell'!N27</f>
        <v>14663</v>
      </c>
      <c r="O24" s="430">
        <f>+'16_mell'!O24+'17_mell'!O27</f>
        <v>14669</v>
      </c>
      <c r="P24" s="429">
        <f t="shared" si="0"/>
        <v>175962</v>
      </c>
    </row>
    <row r="25" spans="1:16" ht="13.5" customHeight="1">
      <c r="A25" s="185" t="s">
        <v>48</v>
      </c>
      <c r="B25" s="400" t="s">
        <v>45</v>
      </c>
      <c r="C25" s="401" t="s">
        <v>419</v>
      </c>
      <c r="D25" s="430">
        <f>+'[4]önkei.felh.'!C25+'[4]cigány fin'!C27+'[4]román fin'!C27+'[4]szerb fin.'!C27+'[4]phfinansz'!C27+'[4]intfinanszírozási terv'!C27</f>
        <v>0</v>
      </c>
      <c r="E25" s="430">
        <f>+'[4]önkei.felh.'!D25+'[4]cigány fin'!D27+'[4]román fin'!D27+'[4]szerb fin.'!D27+'[4]phfinansz'!D27+'[4]intfinanszírozási terv'!D27</f>
        <v>0</v>
      </c>
      <c r="F25" s="430">
        <f>+'[4]önkei.felh.'!E25+'[4]cigány fin'!E27+'[4]román fin'!E27+'[4]szerb fin.'!E27+'[4]phfinansz'!E27+'[4]intfinanszírozási terv'!E27</f>
        <v>0</v>
      </c>
      <c r="G25" s="430">
        <f>+'[4]önkei.felh.'!F25+'[4]cigány fin'!F27+'[4]román fin'!F27+'[4]szerb fin.'!F27+'[4]phfinansz'!F27+'[4]intfinanszírozási terv'!F27</f>
        <v>0</v>
      </c>
      <c r="H25" s="430">
        <f>+'[4]önkei.felh.'!G25+'[4]cigány fin'!G27+'[4]román fin'!G27+'[4]szerb fin.'!G27+'[4]phfinansz'!G27+'[4]intfinanszírozási terv'!G27</f>
        <v>0</v>
      </c>
      <c r="I25" s="430">
        <f>+'[4]önkei.felh.'!H25+'[4]cigány fin'!H27+'[4]román fin'!H27+'[4]szerb fin.'!H27+'[4]phfinansz'!H27+'[4]intfinanszírozási terv'!H27</f>
        <v>0</v>
      </c>
      <c r="J25" s="430">
        <f>+'[4]önkei.felh.'!I25+'[4]cigány fin'!I27+'[4]román fin'!I27+'[4]szerb fin.'!I27+'[4]phfinansz'!I27+'[4]intfinanszírozási terv'!I27</f>
        <v>0</v>
      </c>
      <c r="K25" s="430">
        <f>+'[4]önkei.felh.'!J25+'[4]cigány fin'!J27+'[4]román fin'!J27+'[4]szerb fin.'!J27+'[4]phfinansz'!J27+'[4]intfinanszírozási terv'!J27</f>
        <v>0</v>
      </c>
      <c r="L25" s="430">
        <f>+'[4]önkei.felh.'!K25+'[4]cigány fin'!K27+'[4]román fin'!K27+'[4]szerb fin.'!K27+'[4]phfinansz'!K27+'[4]intfinanszírozási terv'!K27</f>
        <v>0</v>
      </c>
      <c r="M25" s="430">
        <f>+'[4]önkei.felh.'!L25+'[4]cigány fin'!L27+'[4]román fin'!L27+'[4]szerb fin.'!L27+'[4]phfinansz'!L27+'[4]intfinanszírozási terv'!L27</f>
        <v>0</v>
      </c>
      <c r="N25" s="430">
        <f>+'[4]önkei.felh.'!M25+'[4]cigány fin'!M27+'[4]román fin'!M27+'[4]szerb fin.'!M27+'[4]phfinansz'!M27+'[4]intfinanszírozási terv'!M27</f>
        <v>0</v>
      </c>
      <c r="O25" s="430">
        <f>+'[4]önkei.felh.'!N25+'[4]cigány fin'!N27+'[4]román fin'!N27+'[4]szerb fin.'!N27+'[4]phfinansz'!N27+'[4]intfinanszírozási terv'!N27</f>
        <v>0</v>
      </c>
      <c r="P25" s="429">
        <f t="shared" si="0"/>
        <v>0</v>
      </c>
    </row>
    <row r="26" spans="1:16" ht="13.5" customHeight="1">
      <c r="A26" s="185" t="s">
        <v>49</v>
      </c>
      <c r="B26" s="400" t="s">
        <v>46</v>
      </c>
      <c r="C26" s="401" t="s">
        <v>420</v>
      </c>
      <c r="D26" s="430">
        <f>+'16_mell'!D29</f>
        <v>0</v>
      </c>
      <c r="E26" s="430">
        <f>+'16_mell'!E29</f>
        <v>0</v>
      </c>
      <c r="F26" s="430">
        <f>+'16_mell'!F29</f>
        <v>0</v>
      </c>
      <c r="G26" s="430">
        <f>+'16_mell'!G29</f>
        <v>0</v>
      </c>
      <c r="H26" s="430">
        <f>+'16_mell'!H29</f>
        <v>0</v>
      </c>
      <c r="I26" s="430"/>
      <c r="J26" s="430"/>
      <c r="K26" s="430"/>
      <c r="L26" s="430"/>
      <c r="M26" s="430"/>
      <c r="N26" s="430"/>
      <c r="O26" s="430"/>
      <c r="P26" s="429">
        <f t="shared" si="0"/>
        <v>0</v>
      </c>
    </row>
    <row r="27" spans="1:16" ht="13.5" customHeight="1">
      <c r="A27" s="185" t="s">
        <v>50</v>
      </c>
      <c r="B27" s="400" t="s">
        <v>47</v>
      </c>
      <c r="C27" s="401" t="s">
        <v>421</v>
      </c>
      <c r="D27" s="430">
        <f>+'16_mell'!D27+'17_mell'!D30+'18_mell'!D28+'19_mell'!D28+'20_mell'!D28</f>
        <v>0</v>
      </c>
      <c r="E27" s="430">
        <f>+'16_mell'!E27+'17_mell'!E30+'18_mell'!E28+'19_mell'!E28+'20_mell'!E28</f>
        <v>1200</v>
      </c>
      <c r="F27" s="430">
        <f>+'16_mell'!F27+'17_mell'!F30+'18_mell'!F28+'19_mell'!F28+'20_mell'!F28</f>
        <v>15600</v>
      </c>
      <c r="G27" s="430">
        <f>+'16_mell'!G27+'17_mell'!G30+'18_mell'!G28+'19_mell'!G28+'20_mell'!G28</f>
        <v>0</v>
      </c>
      <c r="H27" s="430">
        <f>+'16_mell'!H27+'17_mell'!H30+'18_mell'!H28+'19_mell'!H28+'20_mell'!H28</f>
        <v>4500</v>
      </c>
      <c r="I27" s="430">
        <f>+'16_mell'!I27+'17_mell'!I30+'18_mell'!I28+'19_mell'!I28+'20_mell'!I28</f>
        <v>0</v>
      </c>
      <c r="J27" s="430">
        <f>+'16_mell'!J27+'17_mell'!J30+'18_mell'!J28+'19_mell'!J28+'20_mell'!J28</f>
        <v>500</v>
      </c>
      <c r="K27" s="430">
        <f>+'16_mell'!K27+'17_mell'!K30+'18_mell'!K28+'19_mell'!K28+'20_mell'!K28</f>
        <v>1500</v>
      </c>
      <c r="L27" s="430">
        <f>+'16_mell'!L27+'17_mell'!L30+'18_mell'!L28+'19_mell'!L28+'20_mell'!L28</f>
        <v>25902</v>
      </c>
      <c r="M27" s="430">
        <f>+'16_mell'!M27+'17_mell'!M30+'18_mell'!M28+'19_mell'!M28+'20_mell'!M28</f>
        <v>4380</v>
      </c>
      <c r="N27" s="430">
        <f>+'16_mell'!N27+'17_mell'!N30+'18_mell'!N28+'19_mell'!N28+'20_mell'!N28</f>
        <v>325</v>
      </c>
      <c r="O27" s="430">
        <f>+'16_mell'!O27+'17_mell'!O30+'18_mell'!O28+'19_mell'!O28+'20_mell'!O28</f>
        <v>12637</v>
      </c>
      <c r="P27" s="429">
        <f t="shared" si="0"/>
        <v>66544</v>
      </c>
    </row>
    <row r="28" spans="1:45" s="423" customFormat="1" ht="13.5" customHeight="1">
      <c r="A28" s="423" t="s">
        <v>51</v>
      </c>
      <c r="B28" s="400" t="s">
        <v>48</v>
      </c>
      <c r="C28" s="401" t="s">
        <v>422</v>
      </c>
      <c r="D28" s="430">
        <f>+'16_mell'!D28</f>
        <v>41898</v>
      </c>
      <c r="E28" s="430">
        <f>+'16_mell'!E28</f>
        <v>42225</v>
      </c>
      <c r="F28" s="430">
        <f>+'16_mell'!F28</f>
        <v>46423</v>
      </c>
      <c r="G28" s="430">
        <f>+'16_mell'!G28</f>
        <v>45582</v>
      </c>
      <c r="H28" s="430">
        <f>+'16_mell'!H28</f>
        <v>45726</v>
      </c>
      <c r="I28" s="430">
        <f>+'16_mell'!I28</f>
        <v>45726</v>
      </c>
      <c r="J28" s="430">
        <f>+'16_mell'!J28</f>
        <v>45726</v>
      </c>
      <c r="K28" s="430">
        <f>+'16_mell'!K28</f>
        <v>44587</v>
      </c>
      <c r="L28" s="430">
        <f>+'16_mell'!L28</f>
        <v>46841</v>
      </c>
      <c r="M28" s="430">
        <f>+'16_mell'!M28</f>
        <v>51004</v>
      </c>
      <c r="N28" s="430">
        <f>+'16_mell'!N28</f>
        <v>43774</v>
      </c>
      <c r="O28" s="430">
        <f>+'16_mell'!O28</f>
        <v>50874</v>
      </c>
      <c r="P28" s="429">
        <f t="shared" si="0"/>
        <v>550386</v>
      </c>
      <c r="Q28" s="433"/>
      <c r="R28" s="433"/>
      <c r="S28" s="433"/>
      <c r="T28" s="433"/>
      <c r="U28" s="433"/>
      <c r="V28" s="433"/>
      <c r="W28" s="433"/>
      <c r="X28" s="433"/>
      <c r="Y28" s="433"/>
      <c r="Z28" s="433"/>
      <c r="AA28" s="433"/>
      <c r="AB28" s="433"/>
      <c r="AC28" s="433"/>
      <c r="AD28" s="433"/>
      <c r="AE28" s="433"/>
      <c r="AF28" s="433"/>
      <c r="AG28" s="433"/>
      <c r="AH28" s="433"/>
      <c r="AI28" s="433"/>
      <c r="AJ28" s="433"/>
      <c r="AK28" s="433"/>
      <c r="AL28" s="433"/>
      <c r="AM28" s="433"/>
      <c r="AN28" s="433"/>
      <c r="AO28" s="433"/>
      <c r="AP28" s="433"/>
      <c r="AQ28" s="433"/>
      <c r="AR28" s="433"/>
      <c r="AS28" s="433"/>
    </row>
    <row r="29" spans="1:45" s="423" customFormat="1" ht="13.5" customHeight="1">
      <c r="A29" s="423" t="s">
        <v>52</v>
      </c>
      <c r="B29" s="396" t="s">
        <v>49</v>
      </c>
      <c r="C29" s="401" t="s">
        <v>467</v>
      </c>
      <c r="D29" s="428">
        <f>+'16_mell'!D29</f>
        <v>0</v>
      </c>
      <c r="E29" s="428">
        <f>+'16_mell'!E29</f>
        <v>0</v>
      </c>
      <c r="F29" s="428">
        <f>+'16_mell'!F29</f>
        <v>0</v>
      </c>
      <c r="G29" s="428">
        <f>+'16_mell'!G29</f>
        <v>0</v>
      </c>
      <c r="H29" s="428">
        <f>+'16_mell'!H29</f>
        <v>0</v>
      </c>
      <c r="I29" s="428">
        <f>+'16_mell'!I29</f>
        <v>16272</v>
      </c>
      <c r="J29" s="428">
        <f>+'16_mell'!J29</f>
        <v>0</v>
      </c>
      <c r="K29" s="428">
        <f>+'16_mell'!K29</f>
        <v>0</v>
      </c>
      <c r="L29" s="428">
        <f>+'16_mell'!L29</f>
        <v>0</v>
      </c>
      <c r="M29" s="428">
        <f>+'16_mell'!M29</f>
        <v>0</v>
      </c>
      <c r="N29" s="428">
        <f>+'16_mell'!N29</f>
        <v>0</v>
      </c>
      <c r="O29" s="428">
        <f>+'16_mell'!O29</f>
        <v>9186</v>
      </c>
      <c r="P29" s="429">
        <f t="shared" si="0"/>
        <v>25458</v>
      </c>
      <c r="Q29" s="433"/>
      <c r="R29" s="433"/>
      <c r="S29" s="433"/>
      <c r="T29" s="433"/>
      <c r="U29" s="433"/>
      <c r="V29" s="433"/>
      <c r="W29" s="433"/>
      <c r="X29" s="433"/>
      <c r="Y29" s="433"/>
      <c r="Z29" s="433"/>
      <c r="AA29" s="433"/>
      <c r="AB29" s="433"/>
      <c r="AC29" s="433"/>
      <c r="AD29" s="433"/>
      <c r="AE29" s="433"/>
      <c r="AF29" s="433"/>
      <c r="AG29" s="433"/>
      <c r="AH29" s="433"/>
      <c r="AI29" s="433"/>
      <c r="AJ29" s="433"/>
      <c r="AK29" s="433"/>
      <c r="AL29" s="433"/>
      <c r="AM29" s="433"/>
      <c r="AN29" s="433"/>
      <c r="AO29" s="433"/>
      <c r="AP29" s="433"/>
      <c r="AQ29" s="433"/>
      <c r="AR29" s="433"/>
      <c r="AS29" s="433"/>
    </row>
    <row r="30" spans="1:45" s="423" customFormat="1" ht="13.5" customHeight="1" thickBot="1">
      <c r="A30" s="423" t="s">
        <v>53</v>
      </c>
      <c r="B30" s="396" t="s">
        <v>50</v>
      </c>
      <c r="C30" s="401" t="s">
        <v>635</v>
      </c>
      <c r="D30" s="428">
        <f>+'16_mell'!D30</f>
        <v>0</v>
      </c>
      <c r="E30" s="428">
        <f>+'16_mell'!E30</f>
        <v>0</v>
      </c>
      <c r="F30" s="428">
        <f>+'16_mell'!F30</f>
        <v>0</v>
      </c>
      <c r="G30" s="428">
        <f>+'16_mell'!G30</f>
        <v>0</v>
      </c>
      <c r="H30" s="428">
        <f>+'16_mell'!H30</f>
        <v>0</v>
      </c>
      <c r="I30" s="428">
        <f>+'16_mell'!I30</f>
        <v>0</v>
      </c>
      <c r="J30" s="428">
        <f>+'16_mell'!J30</f>
        <v>400</v>
      </c>
      <c r="K30" s="428">
        <f>+'16_mell'!K30</f>
        <v>0</v>
      </c>
      <c r="L30" s="428">
        <f>+'16_mell'!L30</f>
        <v>0</v>
      </c>
      <c r="M30" s="428">
        <f>+'16_mell'!M30</f>
        <v>0</v>
      </c>
      <c r="N30" s="428">
        <f>+'16_mell'!N30</f>
        <v>0</v>
      </c>
      <c r="O30" s="428">
        <f>+'16_mell'!O30</f>
        <v>0</v>
      </c>
      <c r="P30" s="429">
        <f t="shared" si="0"/>
        <v>400</v>
      </c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3"/>
      <c r="AL30" s="433"/>
      <c r="AM30" s="433"/>
      <c r="AN30" s="433"/>
      <c r="AO30" s="433"/>
      <c r="AP30" s="433"/>
      <c r="AQ30" s="433"/>
      <c r="AR30" s="433"/>
      <c r="AS30" s="433"/>
    </row>
    <row r="31" spans="1:45" s="423" customFormat="1" ht="13.5" customHeight="1" thickBot="1">
      <c r="A31" s="423" t="s">
        <v>54</v>
      </c>
      <c r="B31" s="414" t="s">
        <v>51</v>
      </c>
      <c r="C31" s="408" t="s">
        <v>423</v>
      </c>
      <c r="D31" s="606">
        <f>SUM(D18:D30)</f>
        <v>153160</v>
      </c>
      <c r="E31" s="606">
        <f aca="true" t="shared" si="2" ref="E31:O31">SUM(E18:E30)</f>
        <v>142595</v>
      </c>
      <c r="F31" s="606">
        <f t="shared" si="2"/>
        <v>161890</v>
      </c>
      <c r="G31" s="606">
        <f t="shared" si="2"/>
        <v>144752</v>
      </c>
      <c r="H31" s="606">
        <f t="shared" si="2"/>
        <v>149396</v>
      </c>
      <c r="I31" s="606">
        <f t="shared" si="2"/>
        <v>161168</v>
      </c>
      <c r="J31" s="606">
        <f t="shared" si="2"/>
        <v>145796</v>
      </c>
      <c r="K31" s="606">
        <f t="shared" si="2"/>
        <v>146155</v>
      </c>
      <c r="L31" s="606">
        <f t="shared" si="2"/>
        <v>172811</v>
      </c>
      <c r="M31" s="606">
        <f t="shared" si="2"/>
        <v>159802</v>
      </c>
      <c r="N31" s="606">
        <f t="shared" si="2"/>
        <v>146317</v>
      </c>
      <c r="O31" s="606">
        <f t="shared" si="2"/>
        <v>174185</v>
      </c>
      <c r="P31" s="434">
        <f>SUM(D31:O31)</f>
        <v>1858027</v>
      </c>
      <c r="Q31" s="433"/>
      <c r="R31" s="433"/>
      <c r="S31" s="433"/>
      <c r="T31" s="433"/>
      <c r="U31" s="433"/>
      <c r="V31" s="433"/>
      <c r="W31" s="433"/>
      <c r="X31" s="433"/>
      <c r="Y31" s="433"/>
      <c r="Z31" s="433"/>
      <c r="AA31" s="433"/>
      <c r="AB31" s="433"/>
      <c r="AC31" s="433"/>
      <c r="AD31" s="433"/>
      <c r="AE31" s="433"/>
      <c r="AF31" s="433"/>
      <c r="AG31" s="433"/>
      <c r="AH31" s="433"/>
      <c r="AI31" s="433"/>
      <c r="AJ31" s="433"/>
      <c r="AK31" s="433"/>
      <c r="AL31" s="433"/>
      <c r="AM31" s="433"/>
      <c r="AN31" s="433"/>
      <c r="AO31" s="433"/>
      <c r="AP31" s="433"/>
      <c r="AQ31" s="433"/>
      <c r="AR31" s="433"/>
      <c r="AS31" s="433"/>
    </row>
    <row r="32" spans="1:45" s="438" customFormat="1" ht="28.5" customHeight="1" thickBot="1">
      <c r="A32" s="438" t="s">
        <v>55</v>
      </c>
      <c r="B32" s="414" t="s">
        <v>52</v>
      </c>
      <c r="C32" s="416" t="s">
        <v>431</v>
      </c>
      <c r="D32" s="435">
        <f>+D16-D31</f>
        <v>14930</v>
      </c>
      <c r="E32" s="435">
        <f>+E16-E31</f>
        <v>-3794</v>
      </c>
      <c r="F32" s="435">
        <f aca="true" t="shared" si="3" ref="F32:O32">+F16-F31</f>
        <v>-17892</v>
      </c>
      <c r="G32" s="435">
        <f t="shared" si="3"/>
        <v>-5951</v>
      </c>
      <c r="H32" s="435">
        <f t="shared" si="3"/>
        <v>-10595</v>
      </c>
      <c r="I32" s="435">
        <f t="shared" si="3"/>
        <v>-22367</v>
      </c>
      <c r="J32" s="435">
        <f t="shared" si="3"/>
        <v>18005</v>
      </c>
      <c r="K32" s="435">
        <f t="shared" si="3"/>
        <v>-6456</v>
      </c>
      <c r="L32" s="435">
        <f t="shared" si="3"/>
        <v>16247</v>
      </c>
      <c r="M32" s="435">
        <f t="shared" si="3"/>
        <v>-12223</v>
      </c>
      <c r="N32" s="435">
        <f t="shared" si="3"/>
        <v>5466</v>
      </c>
      <c r="O32" s="435">
        <f t="shared" si="3"/>
        <v>25053</v>
      </c>
      <c r="P32" s="436" t="s">
        <v>426</v>
      </c>
      <c r="Q32" s="437"/>
      <c r="R32" s="437"/>
      <c r="S32" s="437"/>
      <c r="T32" s="437"/>
      <c r="U32" s="437"/>
      <c r="V32" s="437"/>
      <c r="W32" s="437"/>
      <c r="X32" s="437"/>
      <c r="Y32" s="437"/>
      <c r="Z32" s="437"/>
      <c r="AA32" s="437"/>
      <c r="AB32" s="437"/>
      <c r="AC32" s="437"/>
      <c r="AD32" s="437"/>
      <c r="AE32" s="437"/>
      <c r="AF32" s="437"/>
      <c r="AG32" s="437"/>
      <c r="AH32" s="437"/>
      <c r="AI32" s="437"/>
      <c r="AJ32" s="437"/>
      <c r="AK32" s="437"/>
      <c r="AL32" s="437"/>
      <c r="AM32" s="437"/>
      <c r="AN32" s="437"/>
      <c r="AO32" s="437"/>
      <c r="AP32" s="437"/>
      <c r="AQ32" s="437"/>
      <c r="AR32" s="437"/>
      <c r="AS32" s="437"/>
    </row>
    <row r="33" spans="2:16" ht="13.5" customHeight="1">
      <c r="B33" s="422"/>
      <c r="C33" s="422"/>
      <c r="D33" s="422"/>
      <c r="E33" s="422"/>
      <c r="F33" s="422"/>
      <c r="G33" s="422"/>
      <c r="H33" s="422"/>
      <c r="I33" s="422"/>
      <c r="J33" s="422"/>
      <c r="K33" s="422"/>
      <c r="L33" s="422"/>
      <c r="M33" s="422"/>
      <c r="N33" s="422"/>
      <c r="O33" s="422"/>
      <c r="P33" s="433">
        <f>+P16-P31</f>
        <v>0</v>
      </c>
    </row>
    <row r="34" spans="2:16" ht="13.5" customHeight="1">
      <c r="B34" s="422"/>
      <c r="C34" s="422"/>
      <c r="D34" s="422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33"/>
    </row>
    <row r="35" spans="2:16" ht="13.5" customHeight="1">
      <c r="B35" s="422"/>
      <c r="C35" s="422"/>
      <c r="D35" s="422"/>
      <c r="E35" s="422"/>
      <c r="F35" s="422"/>
      <c r="G35" s="422"/>
      <c r="H35" s="422"/>
      <c r="I35" s="422"/>
      <c r="J35" s="422"/>
      <c r="K35" s="422"/>
      <c r="L35" s="422"/>
      <c r="M35" s="422"/>
      <c r="N35" s="422"/>
      <c r="O35" s="422"/>
      <c r="P35" s="433"/>
    </row>
    <row r="36" spans="2:16" ht="13.5" customHeight="1">
      <c r="B36" s="422"/>
      <c r="C36" s="422"/>
      <c r="D36" s="422"/>
      <c r="E36" s="422"/>
      <c r="F36" s="422"/>
      <c r="G36" s="422"/>
      <c r="H36" s="422"/>
      <c r="I36" s="422"/>
      <c r="J36" s="422"/>
      <c r="K36" s="422"/>
      <c r="L36" s="422"/>
      <c r="M36" s="422"/>
      <c r="N36" s="422"/>
      <c r="O36" s="422"/>
      <c r="P36" s="433"/>
    </row>
    <row r="37" spans="2:16" ht="13.5" customHeight="1">
      <c r="B37" s="422"/>
      <c r="C37" s="422"/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33"/>
    </row>
    <row r="38" spans="2:16" ht="13.5" customHeight="1">
      <c r="B38" s="422"/>
      <c r="C38" s="422"/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33"/>
    </row>
    <row r="39" spans="2:16" ht="13.5" customHeight="1"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33"/>
    </row>
    <row r="40" spans="2:16" ht="13.5" customHeight="1"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33"/>
    </row>
    <row r="41" spans="2:16" ht="13.5" customHeight="1">
      <c r="B41" s="422"/>
      <c r="C41" s="422"/>
      <c r="D41" s="422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33"/>
    </row>
    <row r="42" spans="2:16" ht="13.5" customHeight="1">
      <c r="B42" s="422"/>
      <c r="C42" s="422"/>
      <c r="D42" s="422"/>
      <c r="E42" s="422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33"/>
    </row>
    <row r="43" spans="2:16" ht="13.5" customHeight="1">
      <c r="B43" s="422"/>
      <c r="C43" s="422"/>
      <c r="D43" s="422"/>
      <c r="E43" s="422"/>
      <c r="F43" s="422"/>
      <c r="G43" s="422"/>
      <c r="H43" s="422"/>
      <c r="I43" s="422"/>
      <c r="J43" s="422"/>
      <c r="K43" s="422"/>
      <c r="L43" s="422"/>
      <c r="M43" s="422"/>
      <c r="N43" s="422"/>
      <c r="O43" s="422"/>
      <c r="P43" s="433"/>
    </row>
    <row r="44" spans="2:16" ht="13.5" customHeight="1">
      <c r="B44" s="422"/>
      <c r="C44" s="422"/>
      <c r="D44" s="422"/>
      <c r="E44" s="422"/>
      <c r="F44" s="422"/>
      <c r="G44" s="422"/>
      <c r="H44" s="422"/>
      <c r="I44" s="422"/>
      <c r="J44" s="422"/>
      <c r="K44" s="422"/>
      <c r="L44" s="422"/>
      <c r="M44" s="422"/>
      <c r="N44" s="422"/>
      <c r="O44" s="422"/>
      <c r="P44" s="433"/>
    </row>
    <row r="45" spans="2:16" ht="13.5" customHeight="1">
      <c r="B45" s="422"/>
      <c r="C45" s="422"/>
      <c r="D45" s="422"/>
      <c r="E45" s="422"/>
      <c r="F45" s="422"/>
      <c r="G45" s="422"/>
      <c r="H45" s="422"/>
      <c r="I45" s="422"/>
      <c r="J45" s="422"/>
      <c r="K45" s="422"/>
      <c r="L45" s="422"/>
      <c r="M45" s="422"/>
      <c r="N45" s="422"/>
      <c r="O45" s="422"/>
      <c r="P45" s="433"/>
    </row>
    <row r="46" spans="2:16" ht="13.5" customHeight="1">
      <c r="B46" s="422"/>
      <c r="C46" s="422"/>
      <c r="D46" s="422"/>
      <c r="E46" s="422"/>
      <c r="F46" s="422"/>
      <c r="G46" s="422"/>
      <c r="H46" s="422"/>
      <c r="I46" s="422"/>
      <c r="J46" s="422"/>
      <c r="K46" s="422"/>
      <c r="L46" s="422"/>
      <c r="M46" s="422"/>
      <c r="N46" s="422"/>
      <c r="O46" s="422"/>
      <c r="P46" s="433"/>
    </row>
    <row r="47" spans="2:16" ht="13.5" customHeight="1">
      <c r="B47" s="422"/>
      <c r="C47" s="422"/>
      <c r="D47" s="422"/>
      <c r="E47" s="422"/>
      <c r="F47" s="422"/>
      <c r="G47" s="422"/>
      <c r="H47" s="422"/>
      <c r="I47" s="422"/>
      <c r="J47" s="422"/>
      <c r="K47" s="422"/>
      <c r="L47" s="422"/>
      <c r="M47" s="422"/>
      <c r="N47" s="422"/>
      <c r="O47" s="422"/>
      <c r="P47" s="433"/>
    </row>
    <row r="48" spans="2:16" ht="13.5" customHeight="1">
      <c r="B48" s="422"/>
      <c r="C48" s="422"/>
      <c r="D48" s="422"/>
      <c r="E48" s="422"/>
      <c r="F48" s="422"/>
      <c r="G48" s="422"/>
      <c r="H48" s="422"/>
      <c r="I48" s="422"/>
      <c r="J48" s="422"/>
      <c r="K48" s="422"/>
      <c r="L48" s="422"/>
      <c r="M48" s="422"/>
      <c r="N48" s="422"/>
      <c r="O48" s="422"/>
      <c r="P48" s="433"/>
    </row>
    <row r="49" spans="2:16" ht="13.5" customHeight="1">
      <c r="B49" s="422"/>
      <c r="C49" s="422"/>
      <c r="D49" s="422"/>
      <c r="E49" s="422"/>
      <c r="F49" s="422"/>
      <c r="G49" s="422"/>
      <c r="H49" s="422"/>
      <c r="I49" s="422"/>
      <c r="J49" s="422"/>
      <c r="K49" s="422"/>
      <c r="L49" s="422"/>
      <c r="M49" s="422"/>
      <c r="N49" s="422"/>
      <c r="O49" s="422"/>
      <c r="P49" s="433"/>
    </row>
    <row r="50" spans="2:16" ht="13.5" customHeight="1">
      <c r="B50" s="422"/>
      <c r="C50" s="422"/>
      <c r="D50" s="422"/>
      <c r="E50" s="422"/>
      <c r="F50" s="422"/>
      <c r="G50" s="422"/>
      <c r="H50" s="422"/>
      <c r="I50" s="422"/>
      <c r="J50" s="422"/>
      <c r="K50" s="422"/>
      <c r="L50" s="422"/>
      <c r="M50" s="422"/>
      <c r="N50" s="422"/>
      <c r="O50" s="422"/>
      <c r="P50" s="433"/>
    </row>
    <row r="51" spans="2:16" ht="13.5" customHeight="1">
      <c r="B51" s="422"/>
      <c r="C51" s="422"/>
      <c r="D51" s="422"/>
      <c r="E51" s="422"/>
      <c r="F51" s="422"/>
      <c r="G51" s="422"/>
      <c r="H51" s="422"/>
      <c r="I51" s="422"/>
      <c r="J51" s="422"/>
      <c r="K51" s="422"/>
      <c r="L51" s="422"/>
      <c r="M51" s="422"/>
      <c r="N51" s="422"/>
      <c r="O51" s="422"/>
      <c r="P51" s="433"/>
    </row>
    <row r="52" spans="2:16" ht="13.5" customHeight="1">
      <c r="B52" s="422"/>
      <c r="C52" s="422"/>
      <c r="D52" s="422"/>
      <c r="E52" s="422"/>
      <c r="F52" s="422"/>
      <c r="G52" s="422"/>
      <c r="H52" s="422"/>
      <c r="I52" s="422"/>
      <c r="J52" s="422"/>
      <c r="K52" s="422"/>
      <c r="L52" s="422"/>
      <c r="M52" s="422"/>
      <c r="N52" s="422"/>
      <c r="O52" s="422"/>
      <c r="P52" s="433"/>
    </row>
    <row r="53" spans="2:16" ht="13.5" customHeight="1">
      <c r="B53" s="422"/>
      <c r="C53" s="422"/>
      <c r="D53" s="422"/>
      <c r="E53" s="422"/>
      <c r="F53" s="422"/>
      <c r="G53" s="422"/>
      <c r="H53" s="422"/>
      <c r="I53" s="422"/>
      <c r="J53" s="422"/>
      <c r="K53" s="422"/>
      <c r="L53" s="422"/>
      <c r="M53" s="422"/>
      <c r="N53" s="422"/>
      <c r="O53" s="422"/>
      <c r="P53" s="433"/>
    </row>
    <row r="54" spans="2:16" ht="13.5" customHeight="1">
      <c r="B54" s="422"/>
      <c r="C54" s="422"/>
      <c r="D54" s="422"/>
      <c r="E54" s="422"/>
      <c r="F54" s="422"/>
      <c r="G54" s="422"/>
      <c r="H54" s="422"/>
      <c r="I54" s="422"/>
      <c r="J54" s="422"/>
      <c r="K54" s="422"/>
      <c r="L54" s="422"/>
      <c r="M54" s="422"/>
      <c r="N54" s="422"/>
      <c r="O54" s="422"/>
      <c r="P54" s="433"/>
    </row>
    <row r="55" spans="2:16" ht="13.5" customHeight="1">
      <c r="B55" s="422"/>
      <c r="C55" s="422"/>
      <c r="D55" s="422"/>
      <c r="E55" s="422"/>
      <c r="F55" s="422"/>
      <c r="G55" s="422"/>
      <c r="H55" s="422"/>
      <c r="I55" s="422"/>
      <c r="J55" s="422"/>
      <c r="K55" s="422"/>
      <c r="L55" s="422"/>
      <c r="M55" s="422"/>
      <c r="N55" s="422"/>
      <c r="O55" s="422"/>
      <c r="P55" s="433"/>
    </row>
    <row r="56" spans="2:16" ht="13.5" customHeight="1"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  <c r="O56" s="422"/>
      <c r="P56" s="433"/>
    </row>
    <row r="57" spans="2:16" ht="13.5" customHeight="1"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  <c r="O57" s="422"/>
      <c r="P57" s="433"/>
    </row>
    <row r="58" spans="2:16" ht="13.5" customHeight="1"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  <c r="O58" s="422"/>
      <c r="P58" s="433"/>
    </row>
    <row r="59" spans="2:16" ht="13.5" customHeight="1">
      <c r="B59" s="422"/>
      <c r="C59" s="422"/>
      <c r="D59" s="422"/>
      <c r="E59" s="422"/>
      <c r="F59" s="422"/>
      <c r="G59" s="422"/>
      <c r="H59" s="422"/>
      <c r="I59" s="422"/>
      <c r="J59" s="422"/>
      <c r="K59" s="422"/>
      <c r="L59" s="422"/>
      <c r="M59" s="422"/>
      <c r="N59" s="422"/>
      <c r="O59" s="422"/>
      <c r="P59" s="433"/>
    </row>
    <row r="60" spans="2:16" ht="13.5" customHeight="1">
      <c r="B60" s="422"/>
      <c r="C60" s="422"/>
      <c r="D60" s="422"/>
      <c r="E60" s="422"/>
      <c r="F60" s="422"/>
      <c r="G60" s="422"/>
      <c r="H60" s="422"/>
      <c r="I60" s="422"/>
      <c r="J60" s="422"/>
      <c r="K60" s="422"/>
      <c r="L60" s="422"/>
      <c r="M60" s="422"/>
      <c r="N60" s="422"/>
      <c r="O60" s="422"/>
      <c r="P60" s="433"/>
    </row>
    <row r="61" spans="2:16" ht="13.5" customHeight="1">
      <c r="B61" s="422"/>
      <c r="C61" s="422"/>
      <c r="D61" s="422"/>
      <c r="E61" s="422"/>
      <c r="F61" s="422"/>
      <c r="G61" s="422"/>
      <c r="H61" s="422"/>
      <c r="I61" s="422"/>
      <c r="J61" s="422"/>
      <c r="K61" s="422"/>
      <c r="L61" s="422"/>
      <c r="M61" s="422"/>
      <c r="N61" s="422"/>
      <c r="O61" s="422"/>
      <c r="P61" s="433"/>
    </row>
    <row r="62" spans="2:16" ht="13.5" customHeight="1">
      <c r="B62" s="422"/>
      <c r="C62" s="422"/>
      <c r="D62" s="422"/>
      <c r="E62" s="422"/>
      <c r="F62" s="422"/>
      <c r="G62" s="422"/>
      <c r="H62" s="422"/>
      <c r="I62" s="422"/>
      <c r="J62" s="422"/>
      <c r="K62" s="422"/>
      <c r="L62" s="422"/>
      <c r="M62" s="422"/>
      <c r="N62" s="422"/>
      <c r="O62" s="422"/>
      <c r="P62" s="433"/>
    </row>
    <row r="63" spans="2:16" ht="13.5" customHeight="1">
      <c r="B63" s="422"/>
      <c r="C63" s="422"/>
      <c r="D63" s="422"/>
      <c r="E63" s="422"/>
      <c r="F63" s="422"/>
      <c r="G63" s="422"/>
      <c r="H63" s="422"/>
      <c r="I63" s="422"/>
      <c r="J63" s="422"/>
      <c r="K63" s="422"/>
      <c r="L63" s="422"/>
      <c r="M63" s="422"/>
      <c r="N63" s="422"/>
      <c r="O63" s="422"/>
      <c r="P63" s="433"/>
    </row>
    <row r="64" spans="2:16" ht="13.5" customHeight="1">
      <c r="B64" s="422"/>
      <c r="C64" s="422"/>
      <c r="D64" s="422"/>
      <c r="E64" s="422"/>
      <c r="F64" s="422"/>
      <c r="G64" s="422"/>
      <c r="H64" s="422"/>
      <c r="I64" s="422"/>
      <c r="J64" s="422"/>
      <c r="K64" s="422"/>
      <c r="L64" s="422"/>
      <c r="M64" s="422"/>
      <c r="N64" s="422"/>
      <c r="O64" s="422"/>
      <c r="P64" s="433"/>
    </row>
    <row r="65" spans="2:16" ht="13.5" customHeight="1">
      <c r="B65" s="422"/>
      <c r="C65" s="422"/>
      <c r="D65" s="422"/>
      <c r="E65" s="422"/>
      <c r="F65" s="422"/>
      <c r="G65" s="422"/>
      <c r="H65" s="422"/>
      <c r="I65" s="422"/>
      <c r="J65" s="422"/>
      <c r="K65" s="422"/>
      <c r="L65" s="422"/>
      <c r="M65" s="422"/>
      <c r="N65" s="422"/>
      <c r="O65" s="422"/>
      <c r="P65" s="433"/>
    </row>
    <row r="66" spans="2:16" ht="13.5" customHeight="1">
      <c r="B66" s="422"/>
      <c r="C66" s="422"/>
      <c r="D66" s="422"/>
      <c r="E66" s="422"/>
      <c r="F66" s="422"/>
      <c r="G66" s="422"/>
      <c r="H66" s="422"/>
      <c r="I66" s="422"/>
      <c r="J66" s="422"/>
      <c r="K66" s="422"/>
      <c r="L66" s="422"/>
      <c r="M66" s="422"/>
      <c r="N66" s="422"/>
      <c r="O66" s="422"/>
      <c r="P66" s="433"/>
    </row>
    <row r="67" spans="2:16" ht="13.5" customHeight="1">
      <c r="B67" s="422"/>
      <c r="C67" s="422"/>
      <c r="D67" s="422"/>
      <c r="E67" s="422"/>
      <c r="F67" s="422"/>
      <c r="G67" s="422"/>
      <c r="H67" s="422"/>
      <c r="I67" s="422"/>
      <c r="J67" s="422"/>
      <c r="K67" s="422"/>
      <c r="L67" s="422"/>
      <c r="M67" s="422"/>
      <c r="N67" s="422"/>
      <c r="O67" s="422"/>
      <c r="P67" s="433"/>
    </row>
    <row r="68" spans="2:16" ht="13.5" customHeight="1">
      <c r="B68" s="422"/>
      <c r="C68" s="422"/>
      <c r="D68" s="422"/>
      <c r="E68" s="422"/>
      <c r="F68" s="422"/>
      <c r="G68" s="422"/>
      <c r="H68" s="422"/>
      <c r="I68" s="422"/>
      <c r="J68" s="422"/>
      <c r="K68" s="422"/>
      <c r="L68" s="422"/>
      <c r="M68" s="422"/>
      <c r="N68" s="422"/>
      <c r="O68" s="422"/>
      <c r="P68" s="433"/>
    </row>
    <row r="69" spans="2:16" ht="13.5" customHeight="1">
      <c r="B69" s="422"/>
      <c r="C69" s="422"/>
      <c r="D69" s="422"/>
      <c r="E69" s="422"/>
      <c r="F69" s="422"/>
      <c r="G69" s="422"/>
      <c r="H69" s="422"/>
      <c r="I69" s="422"/>
      <c r="J69" s="422"/>
      <c r="K69" s="422"/>
      <c r="L69" s="422"/>
      <c r="M69" s="422"/>
      <c r="N69" s="422"/>
      <c r="O69" s="422"/>
      <c r="P69" s="433"/>
    </row>
    <row r="70" spans="2:16" ht="13.5" customHeight="1">
      <c r="B70" s="422"/>
      <c r="C70" s="422"/>
      <c r="D70" s="422"/>
      <c r="E70" s="422"/>
      <c r="F70" s="422"/>
      <c r="G70" s="422"/>
      <c r="H70" s="422"/>
      <c r="I70" s="422"/>
      <c r="J70" s="422"/>
      <c r="K70" s="422"/>
      <c r="L70" s="422"/>
      <c r="M70" s="422"/>
      <c r="N70" s="422"/>
      <c r="O70" s="422"/>
      <c r="P70" s="433"/>
    </row>
    <row r="71" spans="2:16" ht="13.5" customHeight="1">
      <c r="B71" s="422"/>
      <c r="C71" s="422"/>
      <c r="D71" s="422"/>
      <c r="E71" s="422"/>
      <c r="F71" s="422"/>
      <c r="G71" s="422"/>
      <c r="H71" s="422"/>
      <c r="I71" s="422"/>
      <c r="J71" s="422"/>
      <c r="K71" s="422"/>
      <c r="L71" s="422"/>
      <c r="M71" s="422"/>
      <c r="N71" s="422"/>
      <c r="O71" s="422"/>
      <c r="P71" s="433"/>
    </row>
    <row r="72" spans="2:16" ht="13.5" customHeight="1">
      <c r="B72" s="422"/>
      <c r="C72" s="422"/>
      <c r="D72" s="422"/>
      <c r="E72" s="422"/>
      <c r="F72" s="422"/>
      <c r="G72" s="422"/>
      <c r="H72" s="422"/>
      <c r="I72" s="422"/>
      <c r="J72" s="422"/>
      <c r="K72" s="422"/>
      <c r="L72" s="422"/>
      <c r="M72" s="422"/>
      <c r="N72" s="422"/>
      <c r="O72" s="422"/>
      <c r="P72" s="433"/>
    </row>
    <row r="73" spans="2:16" ht="13.5" customHeight="1">
      <c r="B73" s="422"/>
      <c r="C73" s="422"/>
      <c r="D73" s="422"/>
      <c r="E73" s="422"/>
      <c r="F73" s="422"/>
      <c r="G73" s="422"/>
      <c r="H73" s="422"/>
      <c r="I73" s="422"/>
      <c r="J73" s="422"/>
      <c r="K73" s="422"/>
      <c r="L73" s="422"/>
      <c r="M73" s="422"/>
      <c r="N73" s="422"/>
      <c r="O73" s="422"/>
      <c r="P73" s="433"/>
    </row>
    <row r="74" spans="2:16" ht="13.5" customHeight="1">
      <c r="B74" s="422"/>
      <c r="C74" s="422"/>
      <c r="D74" s="422"/>
      <c r="E74" s="422"/>
      <c r="F74" s="422"/>
      <c r="G74" s="422"/>
      <c r="H74" s="422"/>
      <c r="I74" s="422"/>
      <c r="J74" s="422"/>
      <c r="K74" s="422"/>
      <c r="L74" s="422"/>
      <c r="M74" s="422"/>
      <c r="N74" s="422"/>
      <c r="O74" s="422"/>
      <c r="P74" s="433"/>
    </row>
    <row r="75" spans="2:16" ht="13.5" customHeight="1">
      <c r="B75" s="422"/>
      <c r="C75" s="422"/>
      <c r="D75" s="422"/>
      <c r="E75" s="422"/>
      <c r="F75" s="422"/>
      <c r="G75" s="422"/>
      <c r="H75" s="422"/>
      <c r="I75" s="422"/>
      <c r="J75" s="422"/>
      <c r="K75" s="422"/>
      <c r="L75" s="422"/>
      <c r="M75" s="422"/>
      <c r="N75" s="422"/>
      <c r="O75" s="422"/>
      <c r="P75" s="433"/>
    </row>
    <row r="76" spans="2:16" ht="13.5" customHeight="1">
      <c r="B76" s="422"/>
      <c r="C76" s="422"/>
      <c r="D76" s="422"/>
      <c r="E76" s="422"/>
      <c r="F76" s="422"/>
      <c r="G76" s="422"/>
      <c r="H76" s="422"/>
      <c r="I76" s="422"/>
      <c r="J76" s="422"/>
      <c r="K76" s="422"/>
      <c r="L76" s="422"/>
      <c r="M76" s="422"/>
      <c r="N76" s="422"/>
      <c r="O76" s="422"/>
      <c r="P76" s="433"/>
    </row>
    <row r="77" spans="2:16" ht="13.5" customHeight="1">
      <c r="B77" s="422"/>
      <c r="C77" s="422"/>
      <c r="D77" s="422"/>
      <c r="E77" s="422"/>
      <c r="F77" s="422"/>
      <c r="G77" s="422"/>
      <c r="H77" s="422"/>
      <c r="I77" s="422"/>
      <c r="J77" s="422"/>
      <c r="K77" s="422"/>
      <c r="L77" s="422"/>
      <c r="M77" s="422"/>
      <c r="N77" s="422"/>
      <c r="O77" s="422"/>
      <c r="P77" s="433"/>
    </row>
    <row r="78" spans="2:16" ht="13.5" customHeight="1">
      <c r="B78" s="422"/>
      <c r="C78" s="422"/>
      <c r="D78" s="422"/>
      <c r="E78" s="422"/>
      <c r="F78" s="422"/>
      <c r="G78" s="422"/>
      <c r="H78" s="422"/>
      <c r="I78" s="422"/>
      <c r="J78" s="422"/>
      <c r="K78" s="422"/>
      <c r="L78" s="422"/>
      <c r="M78" s="422"/>
      <c r="N78" s="422"/>
      <c r="O78" s="422"/>
      <c r="P78" s="433"/>
    </row>
    <row r="79" spans="2:16" ht="13.5" customHeight="1">
      <c r="B79" s="422"/>
      <c r="C79" s="422"/>
      <c r="D79" s="422"/>
      <c r="E79" s="422"/>
      <c r="F79" s="422"/>
      <c r="G79" s="422"/>
      <c r="H79" s="422"/>
      <c r="I79" s="422"/>
      <c r="J79" s="422"/>
      <c r="K79" s="422"/>
      <c r="L79" s="422"/>
      <c r="M79" s="422"/>
      <c r="N79" s="422"/>
      <c r="O79" s="422"/>
      <c r="P79" s="433"/>
    </row>
    <row r="80" spans="2:16" ht="13.5" customHeight="1">
      <c r="B80" s="422"/>
      <c r="C80" s="422"/>
      <c r="D80" s="422"/>
      <c r="E80" s="422"/>
      <c r="F80" s="422"/>
      <c r="G80" s="422"/>
      <c r="H80" s="422"/>
      <c r="I80" s="422"/>
      <c r="J80" s="422"/>
      <c r="K80" s="422"/>
      <c r="L80" s="422"/>
      <c r="M80" s="422"/>
      <c r="N80" s="422"/>
      <c r="O80" s="422"/>
      <c r="P80" s="433"/>
    </row>
    <row r="81" spans="2:16" ht="13.5" customHeight="1">
      <c r="B81" s="422"/>
      <c r="C81" s="422"/>
      <c r="D81" s="422"/>
      <c r="E81" s="422"/>
      <c r="F81" s="422"/>
      <c r="G81" s="422"/>
      <c r="H81" s="422"/>
      <c r="I81" s="422"/>
      <c r="J81" s="422"/>
      <c r="K81" s="422"/>
      <c r="L81" s="422"/>
      <c r="M81" s="422"/>
      <c r="N81" s="422"/>
      <c r="O81" s="422"/>
      <c r="P81" s="433"/>
    </row>
    <row r="82" spans="2:16" ht="13.5" customHeight="1">
      <c r="B82" s="422"/>
      <c r="C82" s="422"/>
      <c r="D82" s="422"/>
      <c r="E82" s="422"/>
      <c r="F82" s="422"/>
      <c r="G82" s="422"/>
      <c r="H82" s="422"/>
      <c r="I82" s="422"/>
      <c r="J82" s="422"/>
      <c r="K82" s="422"/>
      <c r="L82" s="422"/>
      <c r="M82" s="422"/>
      <c r="N82" s="422"/>
      <c r="O82" s="422"/>
      <c r="P82" s="433"/>
    </row>
    <row r="83" spans="2:16" ht="13.5" customHeight="1">
      <c r="B83" s="422"/>
      <c r="C83" s="422"/>
      <c r="D83" s="422"/>
      <c r="E83" s="422"/>
      <c r="F83" s="422"/>
      <c r="G83" s="422"/>
      <c r="H83" s="422"/>
      <c r="I83" s="422"/>
      <c r="J83" s="422"/>
      <c r="K83" s="422"/>
      <c r="L83" s="422"/>
      <c r="M83" s="422"/>
      <c r="N83" s="422"/>
      <c r="O83" s="422"/>
      <c r="P83" s="433"/>
    </row>
    <row r="84" spans="2:16" ht="13.5" customHeight="1">
      <c r="B84" s="422"/>
      <c r="C84" s="422"/>
      <c r="D84" s="422"/>
      <c r="E84" s="422"/>
      <c r="F84" s="422"/>
      <c r="G84" s="422"/>
      <c r="H84" s="422"/>
      <c r="I84" s="422"/>
      <c r="J84" s="422"/>
      <c r="K84" s="422"/>
      <c r="L84" s="422"/>
      <c r="M84" s="422"/>
      <c r="N84" s="422"/>
      <c r="O84" s="422"/>
      <c r="P84" s="433"/>
    </row>
    <row r="85" spans="2:16" ht="13.5" customHeight="1">
      <c r="B85" s="422"/>
      <c r="C85" s="422"/>
      <c r="D85" s="422"/>
      <c r="E85" s="422"/>
      <c r="F85" s="422"/>
      <c r="G85" s="422"/>
      <c r="H85" s="422"/>
      <c r="I85" s="422"/>
      <c r="J85" s="422"/>
      <c r="K85" s="422"/>
      <c r="L85" s="422"/>
      <c r="M85" s="422"/>
      <c r="N85" s="422"/>
      <c r="O85" s="422"/>
      <c r="P85" s="433"/>
    </row>
    <row r="86" spans="2:16" ht="13.5" customHeight="1">
      <c r="B86" s="422"/>
      <c r="C86" s="422"/>
      <c r="D86" s="422"/>
      <c r="E86" s="422"/>
      <c r="F86" s="422"/>
      <c r="G86" s="422"/>
      <c r="H86" s="422"/>
      <c r="I86" s="422"/>
      <c r="J86" s="422"/>
      <c r="K86" s="422"/>
      <c r="L86" s="422"/>
      <c r="M86" s="422"/>
      <c r="N86" s="422"/>
      <c r="O86" s="422"/>
      <c r="P86" s="433"/>
    </row>
    <row r="87" spans="2:16" ht="13.5" customHeight="1">
      <c r="B87" s="422"/>
      <c r="C87" s="422"/>
      <c r="D87" s="422"/>
      <c r="E87" s="422"/>
      <c r="F87" s="422"/>
      <c r="G87" s="422"/>
      <c r="H87" s="422"/>
      <c r="I87" s="422"/>
      <c r="J87" s="422"/>
      <c r="K87" s="422"/>
      <c r="L87" s="422"/>
      <c r="M87" s="422"/>
      <c r="N87" s="422"/>
      <c r="O87" s="422"/>
      <c r="P87" s="433"/>
    </row>
    <row r="88" spans="2:16" ht="13.5" customHeight="1">
      <c r="B88" s="422"/>
      <c r="C88" s="422"/>
      <c r="D88" s="422"/>
      <c r="E88" s="422"/>
      <c r="F88" s="422"/>
      <c r="G88" s="422"/>
      <c r="H88" s="422"/>
      <c r="I88" s="422"/>
      <c r="J88" s="422"/>
      <c r="K88" s="422"/>
      <c r="L88" s="422"/>
      <c r="M88" s="422"/>
      <c r="N88" s="422"/>
      <c r="O88" s="422"/>
      <c r="P88" s="433"/>
    </row>
    <row r="89" spans="2:16" ht="13.5" customHeight="1">
      <c r="B89" s="422"/>
      <c r="C89" s="422"/>
      <c r="D89" s="422"/>
      <c r="E89" s="422"/>
      <c r="F89" s="422"/>
      <c r="G89" s="422"/>
      <c r="H89" s="422"/>
      <c r="I89" s="422"/>
      <c r="J89" s="422"/>
      <c r="K89" s="422"/>
      <c r="L89" s="422"/>
      <c r="M89" s="422"/>
      <c r="N89" s="422"/>
      <c r="O89" s="422"/>
      <c r="P89" s="433"/>
    </row>
    <row r="90" spans="2:16" ht="13.5" customHeight="1">
      <c r="B90" s="422"/>
      <c r="C90" s="422"/>
      <c r="D90" s="422"/>
      <c r="E90" s="422"/>
      <c r="F90" s="422"/>
      <c r="G90" s="422"/>
      <c r="H90" s="422"/>
      <c r="I90" s="422"/>
      <c r="J90" s="422"/>
      <c r="K90" s="422"/>
      <c r="L90" s="422"/>
      <c r="M90" s="422"/>
      <c r="N90" s="422"/>
      <c r="O90" s="422"/>
      <c r="P90" s="433"/>
    </row>
    <row r="91" spans="2:16" ht="13.5" customHeight="1">
      <c r="B91" s="422"/>
      <c r="C91" s="422"/>
      <c r="D91" s="422"/>
      <c r="E91" s="422"/>
      <c r="F91" s="422"/>
      <c r="G91" s="422"/>
      <c r="H91" s="422"/>
      <c r="I91" s="422"/>
      <c r="J91" s="422"/>
      <c r="K91" s="422"/>
      <c r="L91" s="422"/>
      <c r="M91" s="422"/>
      <c r="N91" s="422"/>
      <c r="O91" s="422"/>
      <c r="P91" s="433"/>
    </row>
    <row r="92" spans="2:16" ht="13.5" customHeight="1">
      <c r="B92" s="422"/>
      <c r="C92" s="422"/>
      <c r="D92" s="422"/>
      <c r="E92" s="422"/>
      <c r="F92" s="422"/>
      <c r="G92" s="422"/>
      <c r="H92" s="422"/>
      <c r="I92" s="422"/>
      <c r="J92" s="422"/>
      <c r="K92" s="422"/>
      <c r="L92" s="422"/>
      <c r="M92" s="422"/>
      <c r="N92" s="422"/>
      <c r="O92" s="422"/>
      <c r="P92" s="433"/>
    </row>
    <row r="93" spans="2:16" ht="13.5" customHeight="1">
      <c r="B93" s="422"/>
      <c r="C93" s="422"/>
      <c r="D93" s="422"/>
      <c r="E93" s="422"/>
      <c r="F93" s="422"/>
      <c r="G93" s="422"/>
      <c r="H93" s="422"/>
      <c r="I93" s="422"/>
      <c r="J93" s="422"/>
      <c r="K93" s="422"/>
      <c r="L93" s="422"/>
      <c r="M93" s="422"/>
      <c r="N93" s="422"/>
      <c r="O93" s="422"/>
      <c r="P93" s="433"/>
    </row>
    <row r="94" spans="2:16" ht="13.5" customHeight="1">
      <c r="B94" s="422"/>
      <c r="C94" s="422"/>
      <c r="D94" s="422"/>
      <c r="E94" s="422"/>
      <c r="F94" s="422"/>
      <c r="G94" s="422"/>
      <c r="H94" s="422"/>
      <c r="I94" s="422"/>
      <c r="J94" s="422"/>
      <c r="K94" s="422"/>
      <c r="L94" s="422"/>
      <c r="M94" s="422"/>
      <c r="N94" s="422"/>
      <c r="O94" s="422"/>
      <c r="P94" s="433"/>
    </row>
    <row r="95" spans="2:16" ht="13.5" customHeight="1">
      <c r="B95" s="422"/>
      <c r="C95" s="422"/>
      <c r="D95" s="422"/>
      <c r="E95" s="422"/>
      <c r="F95" s="422"/>
      <c r="G95" s="422"/>
      <c r="H95" s="422"/>
      <c r="I95" s="422"/>
      <c r="J95" s="422"/>
      <c r="K95" s="422"/>
      <c r="L95" s="422"/>
      <c r="M95" s="422"/>
      <c r="N95" s="422"/>
      <c r="O95" s="422"/>
      <c r="P95" s="433"/>
    </row>
    <row r="96" spans="2:16" ht="13.5" customHeight="1">
      <c r="B96" s="422"/>
      <c r="C96" s="422"/>
      <c r="D96" s="422"/>
      <c r="E96" s="422"/>
      <c r="F96" s="422"/>
      <c r="G96" s="422"/>
      <c r="H96" s="422"/>
      <c r="I96" s="422"/>
      <c r="J96" s="422"/>
      <c r="K96" s="422"/>
      <c r="L96" s="422"/>
      <c r="M96" s="422"/>
      <c r="N96" s="422"/>
      <c r="O96" s="422"/>
      <c r="P96" s="433"/>
    </row>
    <row r="97" spans="2:16" ht="13.5" customHeight="1">
      <c r="B97" s="422"/>
      <c r="C97" s="422"/>
      <c r="D97" s="422"/>
      <c r="E97" s="422"/>
      <c r="F97" s="422"/>
      <c r="G97" s="422"/>
      <c r="H97" s="422"/>
      <c r="I97" s="422"/>
      <c r="J97" s="422"/>
      <c r="K97" s="422"/>
      <c r="L97" s="422"/>
      <c r="M97" s="422"/>
      <c r="N97" s="422"/>
      <c r="O97" s="422"/>
      <c r="P97" s="433"/>
    </row>
    <row r="98" spans="2:16" ht="13.5" customHeight="1">
      <c r="B98" s="422"/>
      <c r="C98" s="422"/>
      <c r="D98" s="422"/>
      <c r="E98" s="422"/>
      <c r="F98" s="422"/>
      <c r="G98" s="422"/>
      <c r="H98" s="422"/>
      <c r="I98" s="422"/>
      <c r="J98" s="422"/>
      <c r="K98" s="422"/>
      <c r="L98" s="422"/>
      <c r="M98" s="422"/>
      <c r="N98" s="422"/>
      <c r="O98" s="422"/>
      <c r="P98" s="433"/>
    </row>
    <row r="99" spans="2:16" ht="13.5" customHeight="1">
      <c r="B99" s="422"/>
      <c r="C99" s="422"/>
      <c r="D99" s="422"/>
      <c r="E99" s="422"/>
      <c r="F99" s="422"/>
      <c r="G99" s="422"/>
      <c r="H99" s="422"/>
      <c r="I99" s="422"/>
      <c r="J99" s="422"/>
      <c r="K99" s="422"/>
      <c r="L99" s="422"/>
      <c r="M99" s="422"/>
      <c r="N99" s="422"/>
      <c r="O99" s="422"/>
      <c r="P99" s="433"/>
    </row>
    <row r="100" spans="2:16" ht="13.5" customHeight="1">
      <c r="B100" s="422"/>
      <c r="C100" s="422"/>
      <c r="D100" s="422"/>
      <c r="E100" s="422"/>
      <c r="F100" s="422"/>
      <c r="G100" s="422"/>
      <c r="H100" s="422"/>
      <c r="I100" s="422"/>
      <c r="J100" s="422"/>
      <c r="K100" s="422"/>
      <c r="L100" s="422"/>
      <c r="M100" s="422"/>
      <c r="N100" s="422"/>
      <c r="O100" s="422"/>
      <c r="P100" s="433"/>
    </row>
    <row r="101" spans="2:16" ht="13.5" customHeight="1">
      <c r="B101" s="422"/>
      <c r="C101" s="422"/>
      <c r="D101" s="422"/>
      <c r="E101" s="422"/>
      <c r="F101" s="422"/>
      <c r="G101" s="422"/>
      <c r="H101" s="422"/>
      <c r="I101" s="422"/>
      <c r="J101" s="422"/>
      <c r="K101" s="422"/>
      <c r="L101" s="422"/>
      <c r="M101" s="422"/>
      <c r="N101" s="422"/>
      <c r="O101" s="422"/>
      <c r="P101" s="433"/>
    </row>
    <row r="102" spans="2:16" ht="13.5" customHeight="1">
      <c r="B102" s="422"/>
      <c r="C102" s="422"/>
      <c r="D102" s="422"/>
      <c r="E102" s="422"/>
      <c r="F102" s="422"/>
      <c r="G102" s="422"/>
      <c r="H102" s="422"/>
      <c r="I102" s="422"/>
      <c r="J102" s="422"/>
      <c r="K102" s="422"/>
      <c r="L102" s="422"/>
      <c r="M102" s="422"/>
      <c r="N102" s="422"/>
      <c r="O102" s="422"/>
      <c r="P102" s="433"/>
    </row>
    <row r="103" spans="2:16" ht="13.5" customHeight="1">
      <c r="B103" s="422"/>
      <c r="C103" s="422"/>
      <c r="D103" s="422"/>
      <c r="E103" s="422"/>
      <c r="F103" s="422"/>
      <c r="G103" s="422"/>
      <c r="H103" s="422"/>
      <c r="I103" s="422"/>
      <c r="J103" s="422"/>
      <c r="K103" s="422"/>
      <c r="L103" s="422"/>
      <c r="M103" s="422"/>
      <c r="N103" s="422"/>
      <c r="O103" s="422"/>
      <c r="P103" s="433"/>
    </row>
    <row r="104" spans="2:16" ht="13.5" customHeight="1">
      <c r="B104" s="422"/>
      <c r="C104" s="422"/>
      <c r="D104" s="422"/>
      <c r="E104" s="422"/>
      <c r="F104" s="422"/>
      <c r="G104" s="422"/>
      <c r="H104" s="422"/>
      <c r="I104" s="422"/>
      <c r="J104" s="422"/>
      <c r="K104" s="422"/>
      <c r="L104" s="422"/>
      <c r="M104" s="422"/>
      <c r="N104" s="422"/>
      <c r="O104" s="422"/>
      <c r="P104" s="433"/>
    </row>
    <row r="105" spans="2:16" ht="13.5" customHeight="1">
      <c r="B105" s="422"/>
      <c r="C105" s="422"/>
      <c r="D105" s="422"/>
      <c r="E105" s="422"/>
      <c r="F105" s="422"/>
      <c r="G105" s="422"/>
      <c r="H105" s="422"/>
      <c r="I105" s="422"/>
      <c r="J105" s="422"/>
      <c r="K105" s="422"/>
      <c r="L105" s="422"/>
      <c r="M105" s="422"/>
      <c r="N105" s="422"/>
      <c r="O105" s="422"/>
      <c r="P105" s="433"/>
    </row>
    <row r="106" spans="2:16" ht="13.5" customHeight="1">
      <c r="B106" s="422"/>
      <c r="C106" s="422"/>
      <c r="D106" s="422"/>
      <c r="E106" s="422"/>
      <c r="F106" s="422"/>
      <c r="G106" s="422"/>
      <c r="H106" s="422"/>
      <c r="I106" s="422"/>
      <c r="J106" s="422"/>
      <c r="K106" s="422"/>
      <c r="L106" s="422"/>
      <c r="M106" s="422"/>
      <c r="N106" s="422"/>
      <c r="O106" s="422"/>
      <c r="P106" s="433"/>
    </row>
    <row r="107" spans="2:16" ht="13.5" customHeight="1">
      <c r="B107" s="422"/>
      <c r="C107" s="422"/>
      <c r="D107" s="422"/>
      <c r="E107" s="422"/>
      <c r="F107" s="422"/>
      <c r="G107" s="422"/>
      <c r="H107" s="422"/>
      <c r="I107" s="422"/>
      <c r="J107" s="422"/>
      <c r="K107" s="422"/>
      <c r="L107" s="422"/>
      <c r="M107" s="422"/>
      <c r="N107" s="422"/>
      <c r="O107" s="422"/>
      <c r="P107" s="433"/>
    </row>
    <row r="108" spans="2:16" ht="13.5" customHeight="1">
      <c r="B108" s="422"/>
      <c r="C108" s="422"/>
      <c r="D108" s="422"/>
      <c r="E108" s="422"/>
      <c r="F108" s="422"/>
      <c r="G108" s="422"/>
      <c r="H108" s="422"/>
      <c r="I108" s="422"/>
      <c r="J108" s="422"/>
      <c r="K108" s="422"/>
      <c r="L108" s="422"/>
      <c r="M108" s="422"/>
      <c r="N108" s="422"/>
      <c r="O108" s="422"/>
      <c r="P108" s="433"/>
    </row>
    <row r="109" spans="2:16" ht="13.5" customHeight="1">
      <c r="B109" s="422"/>
      <c r="C109" s="422"/>
      <c r="D109" s="422"/>
      <c r="E109" s="422"/>
      <c r="F109" s="422"/>
      <c r="G109" s="422"/>
      <c r="H109" s="422"/>
      <c r="I109" s="422"/>
      <c r="J109" s="422"/>
      <c r="K109" s="422"/>
      <c r="L109" s="422"/>
      <c r="M109" s="422"/>
      <c r="N109" s="422"/>
      <c r="O109" s="422"/>
      <c r="P109" s="433"/>
    </row>
    <row r="110" spans="2:16" ht="13.5" customHeight="1">
      <c r="B110" s="422"/>
      <c r="C110" s="422"/>
      <c r="D110" s="422"/>
      <c r="E110" s="422"/>
      <c r="F110" s="422"/>
      <c r="G110" s="422"/>
      <c r="H110" s="422"/>
      <c r="I110" s="422"/>
      <c r="J110" s="422"/>
      <c r="K110" s="422"/>
      <c r="L110" s="422"/>
      <c r="M110" s="422"/>
      <c r="N110" s="422"/>
      <c r="O110" s="422"/>
      <c r="P110" s="433"/>
    </row>
    <row r="111" spans="2:16" ht="13.5" customHeight="1">
      <c r="B111" s="422"/>
      <c r="C111" s="422"/>
      <c r="D111" s="422"/>
      <c r="E111" s="422"/>
      <c r="F111" s="422"/>
      <c r="G111" s="422"/>
      <c r="H111" s="422"/>
      <c r="I111" s="422"/>
      <c r="J111" s="422"/>
      <c r="K111" s="422"/>
      <c r="L111" s="422"/>
      <c r="M111" s="422"/>
      <c r="N111" s="422"/>
      <c r="O111" s="422"/>
      <c r="P111" s="433"/>
    </row>
    <row r="112" spans="2:16" ht="13.5" customHeight="1">
      <c r="B112" s="422"/>
      <c r="C112" s="422"/>
      <c r="D112" s="422"/>
      <c r="E112" s="422"/>
      <c r="F112" s="422"/>
      <c r="G112" s="422"/>
      <c r="H112" s="422"/>
      <c r="I112" s="422"/>
      <c r="J112" s="422"/>
      <c r="K112" s="422"/>
      <c r="L112" s="422"/>
      <c r="M112" s="422"/>
      <c r="N112" s="422"/>
      <c r="O112" s="422"/>
      <c r="P112" s="433"/>
    </row>
    <row r="113" spans="2:16" ht="13.5" customHeight="1">
      <c r="B113" s="422"/>
      <c r="C113" s="422"/>
      <c r="D113" s="422"/>
      <c r="E113" s="422"/>
      <c r="F113" s="422"/>
      <c r="G113" s="422"/>
      <c r="H113" s="422"/>
      <c r="I113" s="422"/>
      <c r="J113" s="422"/>
      <c r="K113" s="422"/>
      <c r="L113" s="422"/>
      <c r="M113" s="422"/>
      <c r="N113" s="422"/>
      <c r="O113" s="422"/>
      <c r="P113" s="433"/>
    </row>
    <row r="114" spans="2:16" ht="13.5" customHeight="1">
      <c r="B114" s="422"/>
      <c r="C114" s="422"/>
      <c r="D114" s="422"/>
      <c r="E114" s="422"/>
      <c r="F114" s="422"/>
      <c r="G114" s="422"/>
      <c r="H114" s="422"/>
      <c r="I114" s="422"/>
      <c r="J114" s="422"/>
      <c r="K114" s="422"/>
      <c r="L114" s="422"/>
      <c r="M114" s="422"/>
      <c r="N114" s="422"/>
      <c r="O114" s="422"/>
      <c r="P114" s="433"/>
    </row>
    <row r="115" spans="2:16" ht="13.5" customHeight="1">
      <c r="B115" s="422"/>
      <c r="C115" s="422"/>
      <c r="D115" s="422"/>
      <c r="E115" s="422"/>
      <c r="F115" s="422"/>
      <c r="G115" s="422"/>
      <c r="H115" s="422"/>
      <c r="I115" s="422"/>
      <c r="J115" s="422"/>
      <c r="K115" s="422"/>
      <c r="L115" s="422"/>
      <c r="M115" s="422"/>
      <c r="N115" s="422"/>
      <c r="O115" s="422"/>
      <c r="P115" s="433"/>
    </row>
    <row r="116" spans="2:16" ht="13.5" customHeight="1">
      <c r="B116" s="422"/>
      <c r="C116" s="422"/>
      <c r="D116" s="422"/>
      <c r="E116" s="422"/>
      <c r="F116" s="422"/>
      <c r="G116" s="422"/>
      <c r="H116" s="422"/>
      <c r="I116" s="422"/>
      <c r="J116" s="422"/>
      <c r="K116" s="422"/>
      <c r="L116" s="422"/>
      <c r="M116" s="422"/>
      <c r="N116" s="422"/>
      <c r="O116" s="422"/>
      <c r="P116" s="433"/>
    </row>
    <row r="117" spans="2:16" ht="13.5" customHeight="1">
      <c r="B117" s="422"/>
      <c r="C117" s="422"/>
      <c r="D117" s="422"/>
      <c r="E117" s="422"/>
      <c r="F117" s="422"/>
      <c r="G117" s="422"/>
      <c r="H117" s="422"/>
      <c r="I117" s="422"/>
      <c r="J117" s="422"/>
      <c r="K117" s="422"/>
      <c r="L117" s="422"/>
      <c r="M117" s="422"/>
      <c r="N117" s="422"/>
      <c r="O117" s="422"/>
      <c r="P117" s="433"/>
    </row>
    <row r="118" spans="2:16" ht="13.5" customHeight="1">
      <c r="B118" s="422"/>
      <c r="C118" s="422"/>
      <c r="D118" s="422"/>
      <c r="E118" s="422"/>
      <c r="F118" s="422"/>
      <c r="G118" s="422"/>
      <c r="H118" s="422"/>
      <c r="I118" s="422"/>
      <c r="J118" s="422"/>
      <c r="K118" s="422"/>
      <c r="L118" s="422"/>
      <c r="M118" s="422"/>
      <c r="N118" s="422"/>
      <c r="O118" s="422"/>
      <c r="P118" s="433"/>
    </row>
    <row r="119" spans="2:16" ht="13.5" customHeight="1">
      <c r="B119" s="422"/>
      <c r="C119" s="422"/>
      <c r="D119" s="422"/>
      <c r="E119" s="422"/>
      <c r="F119" s="422"/>
      <c r="G119" s="422"/>
      <c r="H119" s="422"/>
      <c r="I119" s="422"/>
      <c r="J119" s="422"/>
      <c r="K119" s="422"/>
      <c r="L119" s="422"/>
      <c r="M119" s="422"/>
      <c r="N119" s="422"/>
      <c r="O119" s="422"/>
      <c r="P119" s="433"/>
    </row>
    <row r="120" spans="2:16" ht="13.5" customHeight="1">
      <c r="B120" s="422"/>
      <c r="C120" s="422"/>
      <c r="D120" s="422"/>
      <c r="E120" s="422"/>
      <c r="F120" s="422"/>
      <c r="G120" s="422"/>
      <c r="H120" s="422"/>
      <c r="I120" s="422"/>
      <c r="J120" s="422"/>
      <c r="K120" s="422"/>
      <c r="L120" s="422"/>
      <c r="M120" s="422"/>
      <c r="N120" s="422"/>
      <c r="O120" s="422"/>
      <c r="P120" s="433"/>
    </row>
    <row r="121" spans="2:16" ht="13.5" customHeight="1">
      <c r="B121" s="422"/>
      <c r="C121" s="422"/>
      <c r="D121" s="422"/>
      <c r="E121" s="422"/>
      <c r="F121" s="422"/>
      <c r="G121" s="422"/>
      <c r="H121" s="422"/>
      <c r="I121" s="422"/>
      <c r="J121" s="422"/>
      <c r="K121" s="422"/>
      <c r="L121" s="422"/>
      <c r="M121" s="422"/>
      <c r="N121" s="422"/>
      <c r="O121" s="422"/>
      <c r="P121" s="433"/>
    </row>
    <row r="122" spans="2:16" ht="13.5" customHeight="1">
      <c r="B122" s="422"/>
      <c r="C122" s="422"/>
      <c r="D122" s="422"/>
      <c r="E122" s="422"/>
      <c r="F122" s="422"/>
      <c r="G122" s="422"/>
      <c r="H122" s="422"/>
      <c r="I122" s="422"/>
      <c r="J122" s="422"/>
      <c r="K122" s="422"/>
      <c r="L122" s="422"/>
      <c r="M122" s="422"/>
      <c r="N122" s="422"/>
      <c r="O122" s="422"/>
      <c r="P122" s="433"/>
    </row>
    <row r="123" spans="2:16" ht="13.5" customHeight="1">
      <c r="B123" s="422"/>
      <c r="C123" s="422"/>
      <c r="D123" s="422"/>
      <c r="E123" s="422"/>
      <c r="F123" s="422"/>
      <c r="G123" s="422"/>
      <c r="H123" s="422"/>
      <c r="I123" s="422"/>
      <c r="J123" s="422"/>
      <c r="K123" s="422"/>
      <c r="L123" s="422"/>
      <c r="M123" s="422"/>
      <c r="N123" s="422"/>
      <c r="O123" s="422"/>
      <c r="P123" s="433"/>
    </row>
    <row r="124" spans="2:16" ht="13.5" customHeight="1">
      <c r="B124" s="422"/>
      <c r="C124" s="422"/>
      <c r="D124" s="422"/>
      <c r="E124" s="422"/>
      <c r="F124" s="422"/>
      <c r="G124" s="422"/>
      <c r="H124" s="422"/>
      <c r="I124" s="422"/>
      <c r="J124" s="422"/>
      <c r="K124" s="422"/>
      <c r="L124" s="422"/>
      <c r="M124" s="422"/>
      <c r="N124" s="422"/>
      <c r="O124" s="422"/>
      <c r="P124" s="433"/>
    </row>
    <row r="125" spans="2:16" ht="13.5" customHeight="1">
      <c r="B125" s="422"/>
      <c r="C125" s="422"/>
      <c r="D125" s="422"/>
      <c r="E125" s="422"/>
      <c r="F125" s="422"/>
      <c r="G125" s="422"/>
      <c r="H125" s="422"/>
      <c r="I125" s="422"/>
      <c r="J125" s="422"/>
      <c r="K125" s="422"/>
      <c r="L125" s="422"/>
      <c r="M125" s="422"/>
      <c r="N125" s="422"/>
      <c r="O125" s="422"/>
      <c r="P125" s="433"/>
    </row>
    <row r="126" spans="2:16" ht="13.5" customHeight="1">
      <c r="B126" s="422"/>
      <c r="C126" s="422"/>
      <c r="D126" s="422"/>
      <c r="E126" s="422"/>
      <c r="F126" s="422"/>
      <c r="G126" s="422"/>
      <c r="H126" s="422"/>
      <c r="I126" s="422"/>
      <c r="J126" s="422"/>
      <c r="K126" s="422"/>
      <c r="L126" s="422"/>
      <c r="M126" s="422"/>
      <c r="N126" s="422"/>
      <c r="O126" s="422"/>
      <c r="P126" s="433"/>
    </row>
    <row r="127" spans="2:16" ht="13.5" customHeight="1">
      <c r="B127" s="422"/>
      <c r="C127" s="422"/>
      <c r="D127" s="422"/>
      <c r="E127" s="422"/>
      <c r="F127" s="422"/>
      <c r="G127" s="422"/>
      <c r="H127" s="422"/>
      <c r="I127" s="422"/>
      <c r="J127" s="422"/>
      <c r="K127" s="422"/>
      <c r="L127" s="422"/>
      <c r="M127" s="422"/>
      <c r="N127" s="422"/>
      <c r="O127" s="422"/>
      <c r="P127" s="433"/>
    </row>
    <row r="128" spans="2:16" ht="13.5" customHeight="1">
      <c r="B128" s="422"/>
      <c r="C128" s="422"/>
      <c r="D128" s="422"/>
      <c r="E128" s="422"/>
      <c r="F128" s="422"/>
      <c r="G128" s="422"/>
      <c r="H128" s="422"/>
      <c r="I128" s="422"/>
      <c r="J128" s="422"/>
      <c r="K128" s="422"/>
      <c r="L128" s="422"/>
      <c r="M128" s="422"/>
      <c r="N128" s="422"/>
      <c r="O128" s="422"/>
      <c r="P128" s="433"/>
    </row>
    <row r="129" spans="2:16" ht="13.5" customHeight="1">
      <c r="B129" s="422"/>
      <c r="C129" s="422"/>
      <c r="D129" s="422"/>
      <c r="E129" s="422"/>
      <c r="F129" s="422"/>
      <c r="G129" s="422"/>
      <c r="H129" s="422"/>
      <c r="I129" s="422"/>
      <c r="J129" s="422"/>
      <c r="K129" s="422"/>
      <c r="L129" s="422"/>
      <c r="M129" s="422"/>
      <c r="N129" s="422"/>
      <c r="O129" s="422"/>
      <c r="P129" s="433"/>
    </row>
    <row r="130" spans="2:16" ht="13.5" customHeight="1">
      <c r="B130" s="422"/>
      <c r="C130" s="422"/>
      <c r="D130" s="422"/>
      <c r="E130" s="422"/>
      <c r="F130" s="422"/>
      <c r="G130" s="422"/>
      <c r="H130" s="422"/>
      <c r="I130" s="422"/>
      <c r="J130" s="422"/>
      <c r="K130" s="422"/>
      <c r="L130" s="422"/>
      <c r="M130" s="422"/>
      <c r="N130" s="422"/>
      <c r="O130" s="422"/>
      <c r="P130" s="433"/>
    </row>
    <row r="131" spans="2:16" ht="13.5" customHeight="1">
      <c r="B131" s="422"/>
      <c r="C131" s="422"/>
      <c r="D131" s="422"/>
      <c r="E131" s="422"/>
      <c r="F131" s="422"/>
      <c r="G131" s="422"/>
      <c r="H131" s="422"/>
      <c r="I131" s="422"/>
      <c r="J131" s="422"/>
      <c r="K131" s="422"/>
      <c r="L131" s="422"/>
      <c r="M131" s="422"/>
      <c r="N131" s="422"/>
      <c r="O131" s="422"/>
      <c r="P131" s="433"/>
    </row>
    <row r="132" spans="2:16" ht="13.5" customHeight="1">
      <c r="B132" s="422"/>
      <c r="C132" s="422"/>
      <c r="D132" s="422"/>
      <c r="E132" s="422"/>
      <c r="F132" s="422"/>
      <c r="G132" s="422"/>
      <c r="H132" s="422"/>
      <c r="I132" s="422"/>
      <c r="J132" s="422"/>
      <c r="K132" s="422"/>
      <c r="L132" s="422"/>
      <c r="M132" s="422"/>
      <c r="N132" s="422"/>
      <c r="O132" s="422"/>
      <c r="P132" s="433"/>
    </row>
    <row r="133" spans="2:16" ht="13.5" customHeight="1">
      <c r="B133" s="422"/>
      <c r="C133" s="422"/>
      <c r="D133" s="422"/>
      <c r="E133" s="422"/>
      <c r="F133" s="422"/>
      <c r="G133" s="422"/>
      <c r="H133" s="422"/>
      <c r="I133" s="422"/>
      <c r="J133" s="422"/>
      <c r="K133" s="422"/>
      <c r="L133" s="422"/>
      <c r="M133" s="422"/>
      <c r="N133" s="422"/>
      <c r="O133" s="422"/>
      <c r="P133" s="433"/>
    </row>
    <row r="134" spans="2:16" ht="13.5" customHeight="1">
      <c r="B134" s="422"/>
      <c r="C134" s="422"/>
      <c r="D134" s="422"/>
      <c r="E134" s="422"/>
      <c r="F134" s="422"/>
      <c r="G134" s="422"/>
      <c r="H134" s="422"/>
      <c r="I134" s="422"/>
      <c r="J134" s="422"/>
      <c r="K134" s="422"/>
      <c r="L134" s="422"/>
      <c r="M134" s="422"/>
      <c r="N134" s="422"/>
      <c r="O134" s="422"/>
      <c r="P134" s="433"/>
    </row>
    <row r="135" spans="2:16" ht="13.5" customHeight="1">
      <c r="B135" s="422"/>
      <c r="C135" s="422"/>
      <c r="D135" s="422"/>
      <c r="E135" s="422"/>
      <c r="F135" s="422"/>
      <c r="G135" s="422"/>
      <c r="H135" s="422"/>
      <c r="I135" s="422"/>
      <c r="J135" s="422"/>
      <c r="K135" s="422"/>
      <c r="L135" s="422"/>
      <c r="M135" s="422"/>
      <c r="N135" s="422"/>
      <c r="O135" s="422"/>
      <c r="P135" s="433"/>
    </row>
    <row r="136" spans="2:16" ht="13.5" customHeight="1">
      <c r="B136" s="422"/>
      <c r="C136" s="422"/>
      <c r="D136" s="422"/>
      <c r="E136" s="422"/>
      <c r="F136" s="422"/>
      <c r="G136" s="422"/>
      <c r="H136" s="422"/>
      <c r="I136" s="422"/>
      <c r="J136" s="422"/>
      <c r="K136" s="422"/>
      <c r="L136" s="422"/>
      <c r="M136" s="422"/>
      <c r="N136" s="422"/>
      <c r="O136" s="422"/>
      <c r="P136" s="433"/>
    </row>
    <row r="137" spans="2:16" ht="13.5" customHeight="1">
      <c r="B137" s="422"/>
      <c r="C137" s="422"/>
      <c r="D137" s="422"/>
      <c r="E137" s="422"/>
      <c r="F137" s="422"/>
      <c r="G137" s="422"/>
      <c r="H137" s="422"/>
      <c r="I137" s="422"/>
      <c r="J137" s="422"/>
      <c r="K137" s="422"/>
      <c r="L137" s="422"/>
      <c r="M137" s="422"/>
      <c r="N137" s="422"/>
      <c r="O137" s="422"/>
      <c r="P137" s="433"/>
    </row>
    <row r="138" spans="2:16" ht="13.5" customHeight="1">
      <c r="B138" s="422"/>
      <c r="C138" s="422"/>
      <c r="D138" s="422"/>
      <c r="E138" s="422"/>
      <c r="F138" s="422"/>
      <c r="G138" s="422"/>
      <c r="H138" s="422"/>
      <c r="I138" s="422"/>
      <c r="J138" s="422"/>
      <c r="K138" s="422"/>
      <c r="L138" s="422"/>
      <c r="M138" s="422"/>
      <c r="N138" s="422"/>
      <c r="O138" s="422"/>
      <c r="P138" s="433"/>
    </row>
    <row r="139" spans="2:16" ht="13.5" customHeight="1">
      <c r="B139" s="422"/>
      <c r="C139" s="422"/>
      <c r="D139" s="422"/>
      <c r="E139" s="422"/>
      <c r="F139" s="422"/>
      <c r="G139" s="422"/>
      <c r="H139" s="422"/>
      <c r="I139" s="422"/>
      <c r="J139" s="422"/>
      <c r="K139" s="422"/>
      <c r="L139" s="422"/>
      <c r="M139" s="422"/>
      <c r="N139" s="422"/>
      <c r="O139" s="422"/>
      <c r="P139" s="433"/>
    </row>
    <row r="140" spans="2:16" ht="13.5" customHeight="1">
      <c r="B140" s="422"/>
      <c r="C140" s="422"/>
      <c r="D140" s="422"/>
      <c r="E140" s="422"/>
      <c r="F140" s="422"/>
      <c r="G140" s="422"/>
      <c r="H140" s="422"/>
      <c r="I140" s="422"/>
      <c r="J140" s="422"/>
      <c r="K140" s="422"/>
      <c r="L140" s="422"/>
      <c r="M140" s="422"/>
      <c r="N140" s="422"/>
      <c r="O140" s="422"/>
      <c r="P140" s="433"/>
    </row>
    <row r="141" spans="2:16" ht="13.5" customHeight="1">
      <c r="B141" s="422"/>
      <c r="C141" s="422"/>
      <c r="D141" s="422"/>
      <c r="E141" s="422"/>
      <c r="F141" s="422"/>
      <c r="G141" s="422"/>
      <c r="H141" s="422"/>
      <c r="I141" s="422"/>
      <c r="J141" s="422"/>
      <c r="K141" s="422"/>
      <c r="L141" s="422"/>
      <c r="M141" s="422"/>
      <c r="N141" s="422"/>
      <c r="O141" s="422"/>
      <c r="P141" s="433"/>
    </row>
    <row r="142" spans="2:16" ht="13.5" customHeight="1">
      <c r="B142" s="422"/>
      <c r="C142" s="422"/>
      <c r="D142" s="422"/>
      <c r="E142" s="422"/>
      <c r="F142" s="422"/>
      <c r="G142" s="422"/>
      <c r="H142" s="422"/>
      <c r="I142" s="422"/>
      <c r="J142" s="422"/>
      <c r="K142" s="422"/>
      <c r="L142" s="422"/>
      <c r="M142" s="422"/>
      <c r="N142" s="422"/>
      <c r="O142" s="422"/>
      <c r="P142" s="433"/>
    </row>
    <row r="143" spans="2:16" ht="13.5" customHeight="1">
      <c r="B143" s="422"/>
      <c r="C143" s="422"/>
      <c r="D143" s="422"/>
      <c r="E143" s="422"/>
      <c r="F143" s="422"/>
      <c r="G143" s="422"/>
      <c r="H143" s="422"/>
      <c r="I143" s="422"/>
      <c r="J143" s="422"/>
      <c r="K143" s="422"/>
      <c r="L143" s="422"/>
      <c r="M143" s="422"/>
      <c r="N143" s="422"/>
      <c r="O143" s="422"/>
      <c r="P143" s="433"/>
    </row>
    <row r="144" spans="2:16" ht="13.5" customHeight="1">
      <c r="B144" s="422"/>
      <c r="C144" s="422"/>
      <c r="D144" s="422"/>
      <c r="E144" s="422"/>
      <c r="F144" s="422"/>
      <c r="G144" s="422"/>
      <c r="H144" s="422"/>
      <c r="I144" s="422"/>
      <c r="J144" s="422"/>
      <c r="K144" s="422"/>
      <c r="L144" s="422"/>
      <c r="M144" s="422"/>
      <c r="N144" s="422"/>
      <c r="O144" s="422"/>
      <c r="P144" s="433"/>
    </row>
    <row r="145" spans="2:16" ht="13.5" customHeight="1">
      <c r="B145" s="422"/>
      <c r="C145" s="422"/>
      <c r="D145" s="422"/>
      <c r="E145" s="422"/>
      <c r="F145" s="422"/>
      <c r="G145" s="422"/>
      <c r="H145" s="422"/>
      <c r="I145" s="422"/>
      <c r="J145" s="422"/>
      <c r="K145" s="422"/>
      <c r="L145" s="422"/>
      <c r="M145" s="422"/>
      <c r="N145" s="422"/>
      <c r="O145" s="422"/>
      <c r="P145" s="433"/>
    </row>
    <row r="146" spans="2:16" ht="13.5" customHeight="1">
      <c r="B146" s="422"/>
      <c r="C146" s="422"/>
      <c r="D146" s="422"/>
      <c r="E146" s="422"/>
      <c r="F146" s="422"/>
      <c r="G146" s="422"/>
      <c r="H146" s="422"/>
      <c r="I146" s="422"/>
      <c r="J146" s="422"/>
      <c r="K146" s="422"/>
      <c r="L146" s="422"/>
      <c r="M146" s="422"/>
      <c r="N146" s="422"/>
      <c r="O146" s="422"/>
      <c r="P146" s="433"/>
    </row>
    <row r="147" spans="2:16" ht="13.5" customHeight="1">
      <c r="B147" s="422"/>
      <c r="C147" s="422"/>
      <c r="D147" s="422"/>
      <c r="E147" s="422"/>
      <c r="F147" s="422"/>
      <c r="G147" s="422"/>
      <c r="H147" s="422"/>
      <c r="I147" s="422"/>
      <c r="J147" s="422"/>
      <c r="K147" s="422"/>
      <c r="L147" s="422"/>
      <c r="M147" s="422"/>
      <c r="N147" s="422"/>
      <c r="O147" s="422"/>
      <c r="P147" s="433"/>
    </row>
    <row r="148" spans="2:16" ht="13.5" customHeight="1">
      <c r="B148" s="422"/>
      <c r="C148" s="422"/>
      <c r="D148" s="422"/>
      <c r="E148" s="422"/>
      <c r="F148" s="422"/>
      <c r="G148" s="422"/>
      <c r="H148" s="422"/>
      <c r="I148" s="422"/>
      <c r="J148" s="422"/>
      <c r="K148" s="422"/>
      <c r="L148" s="422"/>
      <c r="M148" s="422"/>
      <c r="N148" s="422"/>
      <c r="O148" s="422"/>
      <c r="P148" s="433"/>
    </row>
    <row r="149" spans="2:16" ht="13.5" customHeight="1">
      <c r="B149" s="422"/>
      <c r="C149" s="422"/>
      <c r="D149" s="422"/>
      <c r="E149" s="422"/>
      <c r="F149" s="422"/>
      <c r="G149" s="422"/>
      <c r="H149" s="422"/>
      <c r="I149" s="422"/>
      <c r="J149" s="422"/>
      <c r="K149" s="422"/>
      <c r="L149" s="422"/>
      <c r="M149" s="422"/>
      <c r="N149" s="422"/>
      <c r="O149" s="422"/>
      <c r="P149" s="433"/>
    </row>
    <row r="150" spans="2:16" ht="13.5" customHeight="1">
      <c r="B150" s="422"/>
      <c r="C150" s="422"/>
      <c r="D150" s="422"/>
      <c r="E150" s="422"/>
      <c r="F150" s="422"/>
      <c r="G150" s="422"/>
      <c r="H150" s="422"/>
      <c r="I150" s="422"/>
      <c r="J150" s="422"/>
      <c r="K150" s="422"/>
      <c r="L150" s="422"/>
      <c r="M150" s="422"/>
      <c r="N150" s="422"/>
      <c r="O150" s="422"/>
      <c r="P150" s="433"/>
    </row>
    <row r="151" spans="2:16" ht="13.5" customHeight="1">
      <c r="B151" s="422"/>
      <c r="C151" s="422"/>
      <c r="D151" s="422"/>
      <c r="E151" s="422"/>
      <c r="F151" s="422"/>
      <c r="G151" s="422"/>
      <c r="H151" s="422"/>
      <c r="I151" s="422"/>
      <c r="J151" s="422"/>
      <c r="K151" s="422"/>
      <c r="L151" s="422"/>
      <c r="M151" s="422"/>
      <c r="N151" s="422"/>
      <c r="O151" s="422"/>
      <c r="P151" s="433"/>
    </row>
    <row r="152" spans="2:16" ht="13.5" customHeight="1">
      <c r="B152" s="422"/>
      <c r="C152" s="422"/>
      <c r="D152" s="422"/>
      <c r="E152" s="422"/>
      <c r="F152" s="422"/>
      <c r="G152" s="422"/>
      <c r="H152" s="422"/>
      <c r="I152" s="422"/>
      <c r="J152" s="422"/>
      <c r="K152" s="422"/>
      <c r="L152" s="422"/>
      <c r="M152" s="422"/>
      <c r="N152" s="422"/>
      <c r="O152" s="422"/>
      <c r="P152" s="433"/>
    </row>
    <row r="153" spans="2:16" ht="13.5" customHeight="1">
      <c r="B153" s="422"/>
      <c r="C153" s="422"/>
      <c r="D153" s="422"/>
      <c r="E153" s="422"/>
      <c r="F153" s="422"/>
      <c r="G153" s="422"/>
      <c r="H153" s="422"/>
      <c r="I153" s="422"/>
      <c r="J153" s="422"/>
      <c r="K153" s="422"/>
      <c r="L153" s="422"/>
      <c r="M153" s="422"/>
      <c r="N153" s="422"/>
      <c r="O153" s="422"/>
      <c r="P153" s="433"/>
    </row>
    <row r="154" spans="2:16" ht="13.5" customHeight="1">
      <c r="B154" s="422"/>
      <c r="C154" s="422"/>
      <c r="D154" s="422"/>
      <c r="E154" s="422"/>
      <c r="F154" s="422"/>
      <c r="G154" s="422"/>
      <c r="H154" s="422"/>
      <c r="I154" s="422"/>
      <c r="J154" s="422"/>
      <c r="K154" s="422"/>
      <c r="L154" s="422"/>
      <c r="M154" s="422"/>
      <c r="N154" s="422"/>
      <c r="O154" s="422"/>
      <c r="P154" s="433"/>
    </row>
    <row r="155" spans="2:16" ht="13.5" customHeight="1">
      <c r="B155" s="422"/>
      <c r="C155" s="422"/>
      <c r="D155" s="422"/>
      <c r="E155" s="422"/>
      <c r="F155" s="422"/>
      <c r="G155" s="422"/>
      <c r="H155" s="422"/>
      <c r="I155" s="422"/>
      <c r="J155" s="422"/>
      <c r="K155" s="422"/>
      <c r="L155" s="422"/>
      <c r="M155" s="422"/>
      <c r="N155" s="422"/>
      <c r="O155" s="422"/>
      <c r="P155" s="433"/>
    </row>
    <row r="156" spans="2:16" ht="13.5" customHeight="1">
      <c r="B156" s="422"/>
      <c r="C156" s="422"/>
      <c r="D156" s="422"/>
      <c r="E156" s="422"/>
      <c r="F156" s="422"/>
      <c r="G156" s="422"/>
      <c r="H156" s="422"/>
      <c r="I156" s="422"/>
      <c r="J156" s="422"/>
      <c r="K156" s="422"/>
      <c r="L156" s="422"/>
      <c r="M156" s="422"/>
      <c r="N156" s="422"/>
      <c r="O156" s="422"/>
      <c r="P156" s="433"/>
    </row>
    <row r="157" spans="2:16" ht="13.5" customHeight="1">
      <c r="B157" s="422"/>
      <c r="C157" s="422"/>
      <c r="D157" s="422"/>
      <c r="E157" s="422"/>
      <c r="F157" s="422"/>
      <c r="G157" s="422"/>
      <c r="H157" s="422"/>
      <c r="I157" s="422"/>
      <c r="J157" s="422"/>
      <c r="K157" s="422"/>
      <c r="L157" s="422"/>
      <c r="M157" s="422"/>
      <c r="N157" s="422"/>
      <c r="O157" s="422"/>
      <c r="P157" s="433"/>
    </row>
    <row r="158" spans="2:16" ht="13.5" customHeight="1">
      <c r="B158" s="422"/>
      <c r="C158" s="422"/>
      <c r="D158" s="422"/>
      <c r="E158" s="422"/>
      <c r="F158" s="422"/>
      <c r="G158" s="422"/>
      <c r="H158" s="422"/>
      <c r="I158" s="422"/>
      <c r="J158" s="422"/>
      <c r="K158" s="422"/>
      <c r="L158" s="422"/>
      <c r="M158" s="422"/>
      <c r="N158" s="422"/>
      <c r="O158" s="422"/>
      <c r="P158" s="433"/>
    </row>
    <row r="159" spans="2:16" ht="13.5" customHeight="1">
      <c r="B159" s="422"/>
      <c r="C159" s="422"/>
      <c r="D159" s="422"/>
      <c r="E159" s="422"/>
      <c r="F159" s="422"/>
      <c r="G159" s="422"/>
      <c r="H159" s="422"/>
      <c r="I159" s="422"/>
      <c r="J159" s="422"/>
      <c r="K159" s="422"/>
      <c r="L159" s="422"/>
      <c r="M159" s="422"/>
      <c r="N159" s="422"/>
      <c r="O159" s="422"/>
      <c r="P159" s="433"/>
    </row>
    <row r="160" spans="2:16" ht="13.5" customHeight="1">
      <c r="B160" s="422"/>
      <c r="C160" s="422"/>
      <c r="D160" s="422"/>
      <c r="E160" s="422"/>
      <c r="F160" s="422"/>
      <c r="G160" s="422"/>
      <c r="H160" s="422"/>
      <c r="I160" s="422"/>
      <c r="J160" s="422"/>
      <c r="K160" s="422"/>
      <c r="L160" s="422"/>
      <c r="M160" s="422"/>
      <c r="N160" s="422"/>
      <c r="O160" s="422"/>
      <c r="P160" s="433"/>
    </row>
    <row r="161" spans="2:16" ht="13.5" customHeight="1">
      <c r="B161" s="422"/>
      <c r="C161" s="422"/>
      <c r="D161" s="422"/>
      <c r="E161" s="422"/>
      <c r="F161" s="422"/>
      <c r="G161" s="422"/>
      <c r="H161" s="422"/>
      <c r="I161" s="422"/>
      <c r="J161" s="422"/>
      <c r="K161" s="422"/>
      <c r="L161" s="422"/>
      <c r="M161" s="422"/>
      <c r="N161" s="422"/>
      <c r="O161" s="422"/>
      <c r="P161" s="433"/>
    </row>
    <row r="162" spans="2:16" ht="13.5" customHeight="1">
      <c r="B162" s="422"/>
      <c r="C162" s="422"/>
      <c r="D162" s="422"/>
      <c r="E162" s="422"/>
      <c r="F162" s="422"/>
      <c r="G162" s="422"/>
      <c r="H162" s="422"/>
      <c r="I162" s="422"/>
      <c r="J162" s="422"/>
      <c r="K162" s="422"/>
      <c r="L162" s="422"/>
      <c r="M162" s="422"/>
      <c r="N162" s="422"/>
      <c r="O162" s="422"/>
      <c r="P162" s="433"/>
    </row>
    <row r="163" spans="2:16" ht="13.5" customHeight="1">
      <c r="B163" s="422"/>
      <c r="C163" s="422"/>
      <c r="D163" s="422"/>
      <c r="E163" s="422"/>
      <c r="F163" s="422"/>
      <c r="G163" s="422"/>
      <c r="H163" s="422"/>
      <c r="I163" s="422"/>
      <c r="J163" s="422"/>
      <c r="K163" s="422"/>
      <c r="L163" s="422"/>
      <c r="M163" s="422"/>
      <c r="N163" s="422"/>
      <c r="O163" s="422"/>
      <c r="P163" s="433"/>
    </row>
    <row r="164" spans="2:16" ht="13.5" customHeight="1">
      <c r="B164" s="422"/>
      <c r="C164" s="422"/>
      <c r="D164" s="422"/>
      <c r="E164" s="422"/>
      <c r="F164" s="422"/>
      <c r="G164" s="422"/>
      <c r="H164" s="422"/>
      <c r="I164" s="422"/>
      <c r="J164" s="422"/>
      <c r="K164" s="422"/>
      <c r="L164" s="422"/>
      <c r="M164" s="422"/>
      <c r="N164" s="422"/>
      <c r="O164" s="422"/>
      <c r="P164" s="433"/>
    </row>
    <row r="165" spans="2:16" ht="13.5" customHeight="1">
      <c r="B165" s="422"/>
      <c r="C165" s="422"/>
      <c r="D165" s="422"/>
      <c r="E165" s="422"/>
      <c r="F165" s="422"/>
      <c r="G165" s="422"/>
      <c r="H165" s="422"/>
      <c r="I165" s="422"/>
      <c r="J165" s="422"/>
      <c r="K165" s="422"/>
      <c r="L165" s="422"/>
      <c r="M165" s="422"/>
      <c r="N165" s="422"/>
      <c r="O165" s="422"/>
      <c r="P165" s="433"/>
    </row>
    <row r="166" spans="2:16" ht="13.5" customHeight="1">
      <c r="B166" s="422"/>
      <c r="C166" s="422"/>
      <c r="D166" s="422"/>
      <c r="E166" s="422"/>
      <c r="F166" s="422"/>
      <c r="G166" s="422"/>
      <c r="H166" s="422"/>
      <c r="I166" s="422"/>
      <c r="J166" s="422"/>
      <c r="K166" s="422"/>
      <c r="L166" s="422"/>
      <c r="M166" s="422"/>
      <c r="N166" s="422"/>
      <c r="O166" s="422"/>
      <c r="P166" s="433"/>
    </row>
    <row r="167" spans="2:16" ht="13.5" customHeight="1">
      <c r="B167" s="422"/>
      <c r="C167" s="422"/>
      <c r="D167" s="422"/>
      <c r="E167" s="422"/>
      <c r="F167" s="422"/>
      <c r="G167" s="422"/>
      <c r="H167" s="422"/>
      <c r="I167" s="422"/>
      <c r="J167" s="422"/>
      <c r="K167" s="422"/>
      <c r="L167" s="422"/>
      <c r="M167" s="422"/>
      <c r="N167" s="422"/>
      <c r="O167" s="422"/>
      <c r="P167" s="433"/>
    </row>
    <row r="168" spans="2:16" ht="13.5" customHeight="1">
      <c r="B168" s="422"/>
      <c r="C168" s="422"/>
      <c r="D168" s="422"/>
      <c r="E168" s="422"/>
      <c r="F168" s="422"/>
      <c r="G168" s="422"/>
      <c r="H168" s="422"/>
      <c r="I168" s="422"/>
      <c r="J168" s="422"/>
      <c r="K168" s="422"/>
      <c r="L168" s="422"/>
      <c r="M168" s="422"/>
      <c r="N168" s="422"/>
      <c r="O168" s="422"/>
      <c r="P168" s="433"/>
    </row>
    <row r="169" spans="2:16" ht="13.5" customHeight="1">
      <c r="B169" s="422"/>
      <c r="C169" s="422"/>
      <c r="D169" s="422"/>
      <c r="E169" s="422"/>
      <c r="F169" s="422"/>
      <c r="G169" s="422"/>
      <c r="H169" s="422"/>
      <c r="I169" s="422"/>
      <c r="J169" s="422"/>
      <c r="K169" s="422"/>
      <c r="L169" s="422"/>
      <c r="M169" s="422"/>
      <c r="N169" s="422"/>
      <c r="O169" s="422"/>
      <c r="P169" s="433"/>
    </row>
    <row r="170" spans="2:16" ht="13.5" customHeight="1">
      <c r="B170" s="422"/>
      <c r="C170" s="422"/>
      <c r="D170" s="422"/>
      <c r="E170" s="422"/>
      <c r="F170" s="422"/>
      <c r="G170" s="422"/>
      <c r="H170" s="422"/>
      <c r="I170" s="422"/>
      <c r="J170" s="422"/>
      <c r="K170" s="422"/>
      <c r="L170" s="422"/>
      <c r="M170" s="422"/>
      <c r="N170" s="422"/>
      <c r="O170" s="422"/>
      <c r="P170" s="433"/>
    </row>
    <row r="171" spans="2:16" ht="13.5" customHeight="1">
      <c r="B171" s="422"/>
      <c r="C171" s="422"/>
      <c r="D171" s="422"/>
      <c r="E171" s="422"/>
      <c r="F171" s="422"/>
      <c r="G171" s="422"/>
      <c r="H171" s="422"/>
      <c r="I171" s="422"/>
      <c r="J171" s="422"/>
      <c r="K171" s="422"/>
      <c r="L171" s="422"/>
      <c r="M171" s="422"/>
      <c r="N171" s="422"/>
      <c r="O171" s="422"/>
      <c r="P171" s="433"/>
    </row>
    <row r="172" spans="2:16" ht="13.5" customHeight="1">
      <c r="B172" s="422"/>
      <c r="C172" s="422"/>
      <c r="D172" s="422"/>
      <c r="E172" s="422"/>
      <c r="F172" s="422"/>
      <c r="G172" s="422"/>
      <c r="H172" s="422"/>
      <c r="I172" s="422"/>
      <c r="J172" s="422"/>
      <c r="K172" s="422"/>
      <c r="L172" s="422"/>
      <c r="M172" s="422"/>
      <c r="N172" s="422"/>
      <c r="O172" s="422"/>
      <c r="P172" s="433"/>
    </row>
    <row r="173" spans="2:16" ht="13.5" customHeight="1">
      <c r="B173" s="422"/>
      <c r="C173" s="422"/>
      <c r="D173" s="422"/>
      <c r="E173" s="422"/>
      <c r="F173" s="422"/>
      <c r="G173" s="422"/>
      <c r="H173" s="422"/>
      <c r="I173" s="422"/>
      <c r="J173" s="422"/>
      <c r="K173" s="422"/>
      <c r="L173" s="422"/>
      <c r="M173" s="422"/>
      <c r="N173" s="422"/>
      <c r="O173" s="422"/>
      <c r="P173" s="433"/>
    </row>
    <row r="174" spans="2:16" ht="13.5" customHeight="1">
      <c r="B174" s="422"/>
      <c r="C174" s="422"/>
      <c r="D174" s="422"/>
      <c r="E174" s="422"/>
      <c r="F174" s="422"/>
      <c r="G174" s="422"/>
      <c r="H174" s="422"/>
      <c r="I174" s="422"/>
      <c r="J174" s="422"/>
      <c r="K174" s="422"/>
      <c r="L174" s="422"/>
      <c r="M174" s="422"/>
      <c r="N174" s="422"/>
      <c r="O174" s="422"/>
      <c r="P174" s="433"/>
    </row>
    <row r="175" spans="2:16" ht="13.5" customHeight="1">
      <c r="B175" s="422"/>
      <c r="C175" s="422"/>
      <c r="D175" s="422"/>
      <c r="E175" s="422"/>
      <c r="F175" s="422"/>
      <c r="G175" s="422"/>
      <c r="H175" s="422"/>
      <c r="I175" s="422"/>
      <c r="J175" s="422"/>
      <c r="K175" s="422"/>
      <c r="L175" s="422"/>
      <c r="M175" s="422"/>
      <c r="N175" s="422"/>
      <c r="O175" s="422"/>
      <c r="P175" s="433"/>
    </row>
    <row r="176" spans="2:16" ht="13.5" customHeight="1">
      <c r="B176" s="422"/>
      <c r="C176" s="422"/>
      <c r="D176" s="422"/>
      <c r="E176" s="422"/>
      <c r="F176" s="422"/>
      <c r="G176" s="422"/>
      <c r="H176" s="422"/>
      <c r="I176" s="422"/>
      <c r="J176" s="422"/>
      <c r="K176" s="422"/>
      <c r="L176" s="422"/>
      <c r="M176" s="422"/>
      <c r="N176" s="422"/>
      <c r="O176" s="422"/>
      <c r="P176" s="433"/>
    </row>
    <row r="177" spans="2:16" ht="13.5" customHeight="1">
      <c r="B177" s="422"/>
      <c r="C177" s="422"/>
      <c r="D177" s="422"/>
      <c r="E177" s="422"/>
      <c r="F177" s="422"/>
      <c r="G177" s="422"/>
      <c r="H177" s="422"/>
      <c r="I177" s="422"/>
      <c r="J177" s="422"/>
      <c r="K177" s="422"/>
      <c r="L177" s="422"/>
      <c r="M177" s="422"/>
      <c r="N177" s="422"/>
      <c r="O177" s="422"/>
      <c r="P177" s="433"/>
    </row>
    <row r="178" spans="2:16" ht="13.5" customHeight="1">
      <c r="B178" s="422"/>
      <c r="C178" s="422"/>
      <c r="D178" s="422"/>
      <c r="E178" s="422"/>
      <c r="F178" s="422"/>
      <c r="G178" s="422"/>
      <c r="H178" s="422"/>
      <c r="I178" s="422"/>
      <c r="J178" s="422"/>
      <c r="K178" s="422"/>
      <c r="L178" s="422"/>
      <c r="M178" s="422"/>
      <c r="N178" s="422"/>
      <c r="O178" s="422"/>
      <c r="P178" s="433"/>
    </row>
    <row r="179" spans="2:16" ht="13.5" customHeight="1">
      <c r="B179" s="422"/>
      <c r="C179" s="422"/>
      <c r="D179" s="422"/>
      <c r="E179" s="422"/>
      <c r="F179" s="422"/>
      <c r="G179" s="422"/>
      <c r="H179" s="422"/>
      <c r="I179" s="422"/>
      <c r="J179" s="422"/>
      <c r="K179" s="422"/>
      <c r="L179" s="422"/>
      <c r="M179" s="422"/>
      <c r="N179" s="422"/>
      <c r="O179" s="422"/>
      <c r="P179" s="433"/>
    </row>
    <row r="180" spans="2:16" ht="13.5" customHeight="1">
      <c r="B180" s="422"/>
      <c r="C180" s="422"/>
      <c r="D180" s="422"/>
      <c r="E180" s="422"/>
      <c r="F180" s="422"/>
      <c r="G180" s="422"/>
      <c r="H180" s="422"/>
      <c r="I180" s="422"/>
      <c r="J180" s="422"/>
      <c r="K180" s="422"/>
      <c r="L180" s="422"/>
      <c r="M180" s="422"/>
      <c r="N180" s="422"/>
      <c r="O180" s="422"/>
      <c r="P180" s="433"/>
    </row>
    <row r="181" spans="2:16" ht="13.5" customHeight="1">
      <c r="B181" s="422"/>
      <c r="C181" s="422"/>
      <c r="D181" s="422"/>
      <c r="E181" s="422"/>
      <c r="F181" s="422"/>
      <c r="G181" s="422"/>
      <c r="H181" s="422"/>
      <c r="I181" s="422"/>
      <c r="J181" s="422"/>
      <c r="K181" s="422"/>
      <c r="L181" s="422"/>
      <c r="M181" s="422"/>
      <c r="N181" s="422"/>
      <c r="O181" s="422"/>
      <c r="P181" s="433"/>
    </row>
    <row r="182" spans="2:16" ht="13.5" customHeight="1">
      <c r="B182" s="422"/>
      <c r="C182" s="422"/>
      <c r="D182" s="422"/>
      <c r="E182" s="422"/>
      <c r="F182" s="422"/>
      <c r="G182" s="422"/>
      <c r="H182" s="422"/>
      <c r="I182" s="422"/>
      <c r="J182" s="422"/>
      <c r="K182" s="422"/>
      <c r="L182" s="422"/>
      <c r="M182" s="422"/>
      <c r="N182" s="422"/>
      <c r="O182" s="422"/>
      <c r="P182" s="433"/>
    </row>
    <row r="183" spans="2:16" ht="13.5" customHeight="1">
      <c r="B183" s="422"/>
      <c r="C183" s="422"/>
      <c r="D183" s="422"/>
      <c r="E183" s="422"/>
      <c r="F183" s="422"/>
      <c r="G183" s="422"/>
      <c r="H183" s="422"/>
      <c r="I183" s="422"/>
      <c r="J183" s="422"/>
      <c r="K183" s="422"/>
      <c r="L183" s="422"/>
      <c r="M183" s="422"/>
      <c r="N183" s="422"/>
      <c r="O183" s="422"/>
      <c r="P183" s="433"/>
    </row>
    <row r="184" spans="2:16" ht="13.5" customHeight="1">
      <c r="B184" s="422"/>
      <c r="C184" s="422"/>
      <c r="D184" s="422"/>
      <c r="E184" s="422"/>
      <c r="F184" s="422"/>
      <c r="G184" s="422"/>
      <c r="H184" s="422"/>
      <c r="I184" s="422"/>
      <c r="J184" s="422"/>
      <c r="K184" s="422"/>
      <c r="L184" s="422"/>
      <c r="M184" s="422"/>
      <c r="N184" s="422"/>
      <c r="O184" s="422"/>
      <c r="P184" s="433"/>
    </row>
    <row r="185" spans="2:16" ht="13.5" customHeight="1">
      <c r="B185" s="422"/>
      <c r="C185" s="422"/>
      <c r="D185" s="422"/>
      <c r="E185" s="422"/>
      <c r="F185" s="422"/>
      <c r="G185" s="422"/>
      <c r="H185" s="422"/>
      <c r="I185" s="422"/>
      <c r="J185" s="422"/>
      <c r="K185" s="422"/>
      <c r="L185" s="422"/>
      <c r="M185" s="422"/>
      <c r="N185" s="422"/>
      <c r="O185" s="422"/>
      <c r="P185" s="433"/>
    </row>
    <row r="186" spans="2:16" ht="13.5" customHeight="1">
      <c r="B186" s="422"/>
      <c r="C186" s="422"/>
      <c r="D186" s="422"/>
      <c r="E186" s="422"/>
      <c r="F186" s="422"/>
      <c r="G186" s="422"/>
      <c r="H186" s="422"/>
      <c r="I186" s="422"/>
      <c r="J186" s="422"/>
      <c r="K186" s="422"/>
      <c r="L186" s="422"/>
      <c r="M186" s="422"/>
      <c r="N186" s="422"/>
      <c r="O186" s="422"/>
      <c r="P186" s="433"/>
    </row>
    <row r="187" spans="2:16" ht="13.5" customHeight="1">
      <c r="B187" s="422"/>
      <c r="C187" s="422"/>
      <c r="D187" s="422"/>
      <c r="E187" s="422"/>
      <c r="F187" s="422"/>
      <c r="G187" s="422"/>
      <c r="H187" s="422"/>
      <c r="I187" s="422"/>
      <c r="J187" s="422"/>
      <c r="K187" s="422"/>
      <c r="L187" s="422"/>
      <c r="M187" s="422"/>
      <c r="N187" s="422"/>
      <c r="O187" s="422"/>
      <c r="P187" s="433"/>
    </row>
    <row r="188" spans="2:16" ht="13.5" customHeight="1">
      <c r="B188" s="422"/>
      <c r="C188" s="422"/>
      <c r="D188" s="422"/>
      <c r="E188" s="422"/>
      <c r="F188" s="422"/>
      <c r="G188" s="422"/>
      <c r="H188" s="422"/>
      <c r="I188" s="422"/>
      <c r="J188" s="422"/>
      <c r="K188" s="422"/>
      <c r="L188" s="422"/>
      <c r="M188" s="422"/>
      <c r="N188" s="422"/>
      <c r="O188" s="422"/>
      <c r="P188" s="433"/>
    </row>
    <row r="189" spans="2:16" ht="13.5" customHeight="1">
      <c r="B189" s="422"/>
      <c r="C189" s="422"/>
      <c r="D189" s="422"/>
      <c r="E189" s="422"/>
      <c r="F189" s="422"/>
      <c r="G189" s="422"/>
      <c r="H189" s="422"/>
      <c r="I189" s="422"/>
      <c r="J189" s="422"/>
      <c r="K189" s="422"/>
      <c r="L189" s="422"/>
      <c r="M189" s="422"/>
      <c r="N189" s="422"/>
      <c r="O189" s="422"/>
      <c r="P189" s="433"/>
    </row>
    <row r="190" spans="2:16" ht="13.5" customHeight="1">
      <c r="B190" s="422"/>
      <c r="C190" s="422"/>
      <c r="D190" s="422"/>
      <c r="E190" s="422"/>
      <c r="F190" s="422"/>
      <c r="G190" s="422"/>
      <c r="H190" s="422"/>
      <c r="I190" s="422"/>
      <c r="J190" s="422"/>
      <c r="K190" s="422"/>
      <c r="L190" s="422"/>
      <c r="M190" s="422"/>
      <c r="N190" s="422"/>
      <c r="O190" s="422"/>
      <c r="P190" s="433"/>
    </row>
    <row r="191" spans="2:16" ht="13.5" customHeight="1">
      <c r="B191" s="422"/>
      <c r="C191" s="422"/>
      <c r="D191" s="422"/>
      <c r="E191" s="422"/>
      <c r="F191" s="422"/>
      <c r="G191" s="422"/>
      <c r="H191" s="422"/>
      <c r="I191" s="422"/>
      <c r="J191" s="422"/>
      <c r="K191" s="422"/>
      <c r="L191" s="422"/>
      <c r="M191" s="422"/>
      <c r="N191" s="422"/>
      <c r="O191" s="422"/>
      <c r="P191" s="433"/>
    </row>
    <row r="192" spans="2:16" ht="13.5" customHeight="1">
      <c r="B192" s="422"/>
      <c r="C192" s="422"/>
      <c r="D192" s="422"/>
      <c r="E192" s="422"/>
      <c r="F192" s="422"/>
      <c r="G192" s="422"/>
      <c r="H192" s="422"/>
      <c r="I192" s="422"/>
      <c r="J192" s="422"/>
      <c r="K192" s="422"/>
      <c r="L192" s="422"/>
      <c r="M192" s="422"/>
      <c r="N192" s="422"/>
      <c r="O192" s="422"/>
      <c r="P192" s="433"/>
    </row>
    <row r="193" spans="2:16" ht="13.5" customHeight="1">
      <c r="B193" s="422"/>
      <c r="C193" s="422"/>
      <c r="D193" s="422"/>
      <c r="E193" s="422"/>
      <c r="F193" s="422"/>
      <c r="G193" s="422"/>
      <c r="H193" s="422"/>
      <c r="I193" s="422"/>
      <c r="J193" s="422"/>
      <c r="K193" s="422"/>
      <c r="L193" s="422"/>
      <c r="M193" s="422"/>
      <c r="N193" s="422"/>
      <c r="O193" s="422"/>
      <c r="P193" s="433"/>
    </row>
    <row r="194" spans="2:16" ht="13.5" customHeight="1">
      <c r="B194" s="422"/>
      <c r="C194" s="422"/>
      <c r="D194" s="422"/>
      <c r="E194" s="422"/>
      <c r="F194" s="422"/>
      <c r="G194" s="422"/>
      <c r="H194" s="422"/>
      <c r="I194" s="422"/>
      <c r="J194" s="422"/>
      <c r="K194" s="422"/>
      <c r="L194" s="422"/>
      <c r="M194" s="422"/>
      <c r="N194" s="422"/>
      <c r="O194" s="422"/>
      <c r="P194" s="433"/>
    </row>
    <row r="195" spans="2:16" ht="13.5" customHeight="1">
      <c r="B195" s="422"/>
      <c r="C195" s="422"/>
      <c r="D195" s="422"/>
      <c r="E195" s="422"/>
      <c r="F195" s="422"/>
      <c r="G195" s="422"/>
      <c r="H195" s="422"/>
      <c r="I195" s="422"/>
      <c r="J195" s="422"/>
      <c r="K195" s="422"/>
      <c r="L195" s="422"/>
      <c r="M195" s="422"/>
      <c r="N195" s="422"/>
      <c r="O195" s="422"/>
      <c r="P195" s="433"/>
    </row>
    <row r="196" spans="2:16" ht="13.5" customHeight="1">
      <c r="B196" s="422"/>
      <c r="C196" s="422"/>
      <c r="D196" s="422"/>
      <c r="E196" s="422"/>
      <c r="F196" s="422"/>
      <c r="G196" s="422"/>
      <c r="H196" s="422"/>
      <c r="I196" s="422"/>
      <c r="J196" s="422"/>
      <c r="K196" s="422"/>
      <c r="L196" s="422"/>
      <c r="M196" s="422"/>
      <c r="N196" s="422"/>
      <c r="O196" s="422"/>
      <c r="P196" s="433"/>
    </row>
    <row r="197" spans="2:16" ht="13.5" customHeight="1">
      <c r="B197" s="422"/>
      <c r="C197" s="422"/>
      <c r="D197" s="422"/>
      <c r="E197" s="422"/>
      <c r="F197" s="422"/>
      <c r="G197" s="422"/>
      <c r="H197" s="422"/>
      <c r="I197" s="422"/>
      <c r="J197" s="422"/>
      <c r="K197" s="422"/>
      <c r="L197" s="422"/>
      <c r="M197" s="422"/>
      <c r="N197" s="422"/>
      <c r="O197" s="422"/>
      <c r="P197" s="433"/>
    </row>
    <row r="198" spans="2:16" ht="13.5" customHeight="1">
      <c r="B198" s="422"/>
      <c r="C198" s="422"/>
      <c r="D198" s="422"/>
      <c r="E198" s="422"/>
      <c r="F198" s="422"/>
      <c r="G198" s="422"/>
      <c r="H198" s="422"/>
      <c r="I198" s="422"/>
      <c r="J198" s="422"/>
      <c r="K198" s="422"/>
      <c r="L198" s="422"/>
      <c r="M198" s="422"/>
      <c r="N198" s="422"/>
      <c r="O198" s="422"/>
      <c r="P198" s="433"/>
    </row>
    <row r="199" spans="2:16" ht="13.5" customHeight="1">
      <c r="B199" s="422"/>
      <c r="C199" s="422"/>
      <c r="D199" s="422"/>
      <c r="E199" s="422"/>
      <c r="F199" s="422"/>
      <c r="G199" s="422"/>
      <c r="H199" s="422"/>
      <c r="I199" s="422"/>
      <c r="J199" s="422"/>
      <c r="K199" s="422"/>
      <c r="L199" s="422"/>
      <c r="M199" s="422"/>
      <c r="N199" s="422"/>
      <c r="O199" s="422"/>
      <c r="P199" s="433"/>
    </row>
    <row r="200" spans="2:16" ht="13.5" customHeight="1">
      <c r="B200" s="422"/>
      <c r="C200" s="422"/>
      <c r="D200" s="422"/>
      <c r="E200" s="422"/>
      <c r="F200" s="422"/>
      <c r="G200" s="422"/>
      <c r="H200" s="422"/>
      <c r="I200" s="422"/>
      <c r="J200" s="422"/>
      <c r="K200" s="422"/>
      <c r="L200" s="422"/>
      <c r="M200" s="422"/>
      <c r="N200" s="422"/>
      <c r="O200" s="422"/>
      <c r="P200" s="433"/>
    </row>
    <row r="201" spans="2:16" ht="13.5" customHeight="1">
      <c r="B201" s="422"/>
      <c r="C201" s="422"/>
      <c r="D201" s="422"/>
      <c r="E201" s="422"/>
      <c r="F201" s="422"/>
      <c r="G201" s="422"/>
      <c r="H201" s="422"/>
      <c r="I201" s="422"/>
      <c r="J201" s="422"/>
      <c r="K201" s="422"/>
      <c r="L201" s="422"/>
      <c r="M201" s="422"/>
      <c r="N201" s="422"/>
      <c r="O201" s="422"/>
      <c r="P201" s="433"/>
    </row>
    <row r="202" spans="2:16" ht="13.5" customHeight="1">
      <c r="B202" s="422"/>
      <c r="C202" s="422"/>
      <c r="D202" s="422"/>
      <c r="E202" s="422"/>
      <c r="F202" s="422"/>
      <c r="G202" s="422"/>
      <c r="H202" s="422"/>
      <c r="I202" s="422"/>
      <c r="J202" s="422"/>
      <c r="K202" s="422"/>
      <c r="L202" s="422"/>
      <c r="M202" s="422"/>
      <c r="N202" s="422"/>
      <c r="O202" s="422"/>
      <c r="P202" s="433"/>
    </row>
    <row r="203" spans="2:16" ht="13.5" customHeight="1">
      <c r="B203" s="422"/>
      <c r="C203" s="422"/>
      <c r="D203" s="422"/>
      <c r="E203" s="422"/>
      <c r="F203" s="422"/>
      <c r="G203" s="422"/>
      <c r="H203" s="422"/>
      <c r="I203" s="422"/>
      <c r="J203" s="422"/>
      <c r="K203" s="422"/>
      <c r="L203" s="422"/>
      <c r="M203" s="422"/>
      <c r="N203" s="422"/>
      <c r="O203" s="422"/>
      <c r="P203" s="433"/>
    </row>
    <row r="204" spans="2:16" ht="13.5" customHeight="1">
      <c r="B204" s="422"/>
      <c r="C204" s="422"/>
      <c r="D204" s="422"/>
      <c r="E204" s="422"/>
      <c r="F204" s="422"/>
      <c r="G204" s="422"/>
      <c r="H204" s="422"/>
      <c r="I204" s="422"/>
      <c r="J204" s="422"/>
      <c r="K204" s="422"/>
      <c r="L204" s="422"/>
      <c r="M204" s="422"/>
      <c r="N204" s="422"/>
      <c r="O204" s="422"/>
      <c r="P204" s="433"/>
    </row>
    <row r="205" spans="2:16" ht="13.5" customHeight="1">
      <c r="B205" s="422"/>
      <c r="C205" s="422"/>
      <c r="D205" s="422"/>
      <c r="E205" s="422"/>
      <c r="F205" s="422"/>
      <c r="G205" s="422"/>
      <c r="H205" s="422"/>
      <c r="I205" s="422"/>
      <c r="J205" s="422"/>
      <c r="K205" s="422"/>
      <c r="L205" s="422"/>
      <c r="M205" s="422"/>
      <c r="N205" s="422"/>
      <c r="O205" s="422"/>
      <c r="P205" s="433"/>
    </row>
    <row r="206" spans="2:16" ht="13.5" customHeight="1">
      <c r="B206" s="422"/>
      <c r="C206" s="422"/>
      <c r="D206" s="422"/>
      <c r="E206" s="422"/>
      <c r="F206" s="422"/>
      <c r="G206" s="422"/>
      <c r="H206" s="422"/>
      <c r="I206" s="422"/>
      <c r="J206" s="422"/>
      <c r="K206" s="422"/>
      <c r="L206" s="422"/>
      <c r="M206" s="422"/>
      <c r="N206" s="422"/>
      <c r="O206" s="422"/>
      <c r="P206" s="433"/>
    </row>
    <row r="207" spans="2:16" ht="13.5" customHeight="1">
      <c r="B207" s="422"/>
      <c r="C207" s="422"/>
      <c r="D207" s="422"/>
      <c r="E207" s="422"/>
      <c r="F207" s="422"/>
      <c r="G207" s="422"/>
      <c r="H207" s="422"/>
      <c r="I207" s="422"/>
      <c r="J207" s="422"/>
      <c r="K207" s="422"/>
      <c r="L207" s="422"/>
      <c r="M207" s="422"/>
      <c r="N207" s="422"/>
      <c r="O207" s="422"/>
      <c r="P207" s="433"/>
    </row>
    <row r="208" spans="2:16" ht="13.5" customHeight="1">
      <c r="B208" s="422"/>
      <c r="C208" s="422"/>
      <c r="D208" s="422"/>
      <c r="E208" s="422"/>
      <c r="F208" s="422"/>
      <c r="G208" s="422"/>
      <c r="H208" s="422"/>
      <c r="I208" s="422"/>
      <c r="J208" s="422"/>
      <c r="K208" s="422"/>
      <c r="L208" s="422"/>
      <c r="M208" s="422"/>
      <c r="N208" s="422"/>
      <c r="O208" s="422"/>
      <c r="P208" s="433"/>
    </row>
    <row r="209" spans="2:16" ht="13.5" customHeight="1">
      <c r="B209" s="422"/>
      <c r="C209" s="422"/>
      <c r="D209" s="422"/>
      <c r="E209" s="422"/>
      <c r="F209" s="422"/>
      <c r="G209" s="422"/>
      <c r="H209" s="422"/>
      <c r="I209" s="422"/>
      <c r="J209" s="422"/>
      <c r="K209" s="422"/>
      <c r="L209" s="422"/>
      <c r="M209" s="422"/>
      <c r="N209" s="422"/>
      <c r="O209" s="422"/>
      <c r="P209" s="433"/>
    </row>
    <row r="210" spans="2:16" ht="13.5" customHeight="1">
      <c r="B210" s="422"/>
      <c r="C210" s="422"/>
      <c r="D210" s="422"/>
      <c r="E210" s="422"/>
      <c r="F210" s="422"/>
      <c r="G210" s="422"/>
      <c r="H210" s="422"/>
      <c r="I210" s="422"/>
      <c r="J210" s="422"/>
      <c r="K210" s="422"/>
      <c r="L210" s="422"/>
      <c r="M210" s="422"/>
      <c r="N210" s="422"/>
      <c r="O210" s="422"/>
      <c r="P210" s="433"/>
    </row>
    <row r="211" spans="2:16" ht="13.5" customHeight="1">
      <c r="B211" s="422"/>
      <c r="C211" s="422"/>
      <c r="D211" s="422"/>
      <c r="E211" s="422"/>
      <c r="F211" s="422"/>
      <c r="G211" s="422"/>
      <c r="H211" s="422"/>
      <c r="I211" s="422"/>
      <c r="J211" s="422"/>
      <c r="K211" s="422"/>
      <c r="L211" s="422"/>
      <c r="M211" s="422"/>
      <c r="N211" s="422"/>
      <c r="O211" s="422"/>
      <c r="P211" s="433"/>
    </row>
    <row r="212" spans="2:16" ht="13.5" customHeight="1">
      <c r="B212" s="422"/>
      <c r="C212" s="422"/>
      <c r="D212" s="422"/>
      <c r="E212" s="422"/>
      <c r="F212" s="422"/>
      <c r="G212" s="422"/>
      <c r="H212" s="422"/>
      <c r="I212" s="422"/>
      <c r="J212" s="422"/>
      <c r="K212" s="422"/>
      <c r="L212" s="422"/>
      <c r="M212" s="422"/>
      <c r="N212" s="422"/>
      <c r="O212" s="422"/>
      <c r="P212" s="433"/>
    </row>
    <row r="213" spans="2:16" ht="13.5" customHeight="1">
      <c r="B213" s="422"/>
      <c r="C213" s="422"/>
      <c r="D213" s="422"/>
      <c r="E213" s="422"/>
      <c r="F213" s="422"/>
      <c r="G213" s="422"/>
      <c r="H213" s="422"/>
      <c r="I213" s="422"/>
      <c r="J213" s="422"/>
      <c r="K213" s="422"/>
      <c r="L213" s="422"/>
      <c r="M213" s="422"/>
      <c r="N213" s="422"/>
      <c r="O213" s="422"/>
      <c r="P213" s="433"/>
    </row>
    <row r="214" spans="2:16" ht="13.5" customHeight="1">
      <c r="B214" s="422"/>
      <c r="C214" s="422"/>
      <c r="D214" s="422"/>
      <c r="E214" s="422"/>
      <c r="F214" s="422"/>
      <c r="G214" s="422"/>
      <c r="H214" s="422"/>
      <c r="I214" s="422"/>
      <c r="J214" s="422"/>
      <c r="K214" s="422"/>
      <c r="L214" s="422"/>
      <c r="M214" s="422"/>
      <c r="N214" s="422"/>
      <c r="O214" s="422"/>
      <c r="P214" s="433"/>
    </row>
    <row r="215" spans="2:16" ht="13.5" customHeight="1">
      <c r="B215" s="422"/>
      <c r="C215" s="422"/>
      <c r="D215" s="422"/>
      <c r="E215" s="422"/>
      <c r="F215" s="422"/>
      <c r="G215" s="422"/>
      <c r="H215" s="422"/>
      <c r="I215" s="422"/>
      <c r="J215" s="422"/>
      <c r="K215" s="422"/>
      <c r="L215" s="422"/>
      <c r="M215" s="422"/>
      <c r="N215" s="422"/>
      <c r="O215" s="422"/>
      <c r="P215" s="433"/>
    </row>
    <row r="216" spans="2:16" ht="13.5" customHeight="1">
      <c r="B216" s="422"/>
      <c r="C216" s="422"/>
      <c r="D216" s="422"/>
      <c r="E216" s="422"/>
      <c r="F216" s="422"/>
      <c r="G216" s="422"/>
      <c r="H216" s="422"/>
      <c r="I216" s="422"/>
      <c r="J216" s="422"/>
      <c r="K216" s="422"/>
      <c r="L216" s="422"/>
      <c r="M216" s="422"/>
      <c r="N216" s="422"/>
      <c r="O216" s="422"/>
      <c r="P216" s="433"/>
    </row>
    <row r="217" spans="2:16" ht="13.5" customHeight="1">
      <c r="B217" s="422"/>
      <c r="C217" s="422"/>
      <c r="D217" s="422"/>
      <c r="E217" s="422"/>
      <c r="F217" s="422"/>
      <c r="G217" s="422"/>
      <c r="H217" s="422"/>
      <c r="I217" s="422"/>
      <c r="J217" s="422"/>
      <c r="K217" s="422"/>
      <c r="L217" s="422"/>
      <c r="M217" s="422"/>
      <c r="N217" s="422"/>
      <c r="O217" s="422"/>
      <c r="P217" s="433"/>
    </row>
    <row r="218" spans="2:16" ht="13.5" customHeight="1">
      <c r="B218" s="422"/>
      <c r="C218" s="422"/>
      <c r="D218" s="422"/>
      <c r="E218" s="422"/>
      <c r="F218" s="422"/>
      <c r="G218" s="422"/>
      <c r="H218" s="422"/>
      <c r="I218" s="422"/>
      <c r="J218" s="422"/>
      <c r="K218" s="422"/>
      <c r="L218" s="422"/>
      <c r="M218" s="422"/>
      <c r="N218" s="422"/>
      <c r="O218" s="422"/>
      <c r="P218" s="433"/>
    </row>
    <row r="219" spans="2:16" ht="13.5" customHeight="1">
      <c r="B219" s="422"/>
      <c r="C219" s="422"/>
      <c r="D219" s="422"/>
      <c r="E219" s="422"/>
      <c r="F219" s="422"/>
      <c r="G219" s="422"/>
      <c r="H219" s="422"/>
      <c r="I219" s="422"/>
      <c r="J219" s="422"/>
      <c r="K219" s="422"/>
      <c r="L219" s="422"/>
      <c r="M219" s="422"/>
      <c r="N219" s="422"/>
      <c r="O219" s="422"/>
      <c r="P219" s="433"/>
    </row>
    <row r="220" spans="2:16" ht="13.5" customHeight="1">
      <c r="B220" s="422"/>
      <c r="C220" s="422"/>
      <c r="D220" s="422"/>
      <c r="E220" s="422"/>
      <c r="F220" s="422"/>
      <c r="G220" s="422"/>
      <c r="H220" s="422"/>
      <c r="I220" s="422"/>
      <c r="J220" s="422"/>
      <c r="K220" s="422"/>
      <c r="L220" s="422"/>
      <c r="M220" s="422"/>
      <c r="N220" s="422"/>
      <c r="O220" s="422"/>
      <c r="P220" s="433"/>
    </row>
    <row r="221" spans="2:16" ht="13.5" customHeight="1">
      <c r="B221" s="422"/>
      <c r="C221" s="422"/>
      <c r="D221" s="422"/>
      <c r="E221" s="422"/>
      <c r="F221" s="422"/>
      <c r="G221" s="422"/>
      <c r="H221" s="422"/>
      <c r="I221" s="422"/>
      <c r="J221" s="422"/>
      <c r="K221" s="422"/>
      <c r="L221" s="422"/>
      <c r="M221" s="422"/>
      <c r="N221" s="422"/>
      <c r="O221" s="422"/>
      <c r="P221" s="433"/>
    </row>
    <row r="222" spans="2:16" ht="13.5" customHeight="1">
      <c r="B222" s="422"/>
      <c r="C222" s="422"/>
      <c r="D222" s="422"/>
      <c r="E222" s="422"/>
      <c r="F222" s="422"/>
      <c r="G222" s="422"/>
      <c r="H222" s="422"/>
      <c r="I222" s="422"/>
      <c r="J222" s="422"/>
      <c r="K222" s="422"/>
      <c r="L222" s="422"/>
      <c r="M222" s="422"/>
      <c r="N222" s="422"/>
      <c r="O222" s="422"/>
      <c r="P222" s="433"/>
    </row>
    <row r="223" spans="2:16" ht="13.5" customHeight="1">
      <c r="B223" s="422"/>
      <c r="C223" s="422"/>
      <c r="D223" s="422"/>
      <c r="E223" s="422"/>
      <c r="F223" s="422"/>
      <c r="G223" s="422"/>
      <c r="H223" s="422"/>
      <c r="I223" s="422"/>
      <c r="J223" s="422"/>
      <c r="K223" s="422"/>
      <c r="L223" s="422"/>
      <c r="M223" s="422"/>
      <c r="N223" s="422"/>
      <c r="O223" s="422"/>
      <c r="P223" s="433"/>
    </row>
    <row r="224" spans="2:16" ht="13.5" customHeight="1">
      <c r="B224" s="422"/>
      <c r="C224" s="422"/>
      <c r="D224" s="422"/>
      <c r="E224" s="422"/>
      <c r="F224" s="422"/>
      <c r="G224" s="422"/>
      <c r="H224" s="422"/>
      <c r="I224" s="422"/>
      <c r="J224" s="422"/>
      <c r="K224" s="422"/>
      <c r="L224" s="422"/>
      <c r="M224" s="422"/>
      <c r="N224" s="422"/>
      <c r="O224" s="422"/>
      <c r="P224" s="433"/>
    </row>
    <row r="225" spans="2:16" ht="13.5" customHeight="1">
      <c r="B225" s="422"/>
      <c r="C225" s="422"/>
      <c r="D225" s="422"/>
      <c r="E225" s="422"/>
      <c r="F225" s="422"/>
      <c r="G225" s="422"/>
      <c r="H225" s="422"/>
      <c r="I225" s="422"/>
      <c r="J225" s="422"/>
      <c r="K225" s="422"/>
      <c r="L225" s="422"/>
      <c r="M225" s="422"/>
      <c r="N225" s="422"/>
      <c r="O225" s="422"/>
      <c r="P225" s="433"/>
    </row>
    <row r="226" spans="2:16" ht="13.5" customHeight="1">
      <c r="B226" s="422"/>
      <c r="C226" s="422"/>
      <c r="D226" s="422"/>
      <c r="E226" s="422"/>
      <c r="F226" s="422"/>
      <c r="G226" s="422"/>
      <c r="H226" s="422"/>
      <c r="I226" s="422"/>
      <c r="J226" s="422"/>
      <c r="K226" s="422"/>
      <c r="L226" s="422"/>
      <c r="M226" s="422"/>
      <c r="N226" s="422"/>
      <c r="O226" s="422"/>
      <c r="P226" s="433"/>
    </row>
    <row r="227" spans="2:16" ht="13.5" customHeight="1">
      <c r="B227" s="422"/>
      <c r="C227" s="422"/>
      <c r="D227" s="422"/>
      <c r="E227" s="422"/>
      <c r="F227" s="422"/>
      <c r="G227" s="422"/>
      <c r="H227" s="422"/>
      <c r="I227" s="422"/>
      <c r="J227" s="422"/>
      <c r="K227" s="422"/>
      <c r="L227" s="422"/>
      <c r="M227" s="422"/>
      <c r="N227" s="422"/>
      <c r="O227" s="422"/>
      <c r="P227" s="433"/>
    </row>
    <row r="228" spans="2:16" ht="13.5" customHeight="1">
      <c r="B228" s="422"/>
      <c r="C228" s="422"/>
      <c r="D228" s="422"/>
      <c r="E228" s="422"/>
      <c r="F228" s="422"/>
      <c r="G228" s="422"/>
      <c r="H228" s="422"/>
      <c r="I228" s="422"/>
      <c r="J228" s="422"/>
      <c r="K228" s="422"/>
      <c r="L228" s="422"/>
      <c r="M228" s="422"/>
      <c r="N228" s="422"/>
      <c r="O228" s="422"/>
      <c r="P228" s="433"/>
    </row>
    <row r="229" spans="2:16" ht="13.5" customHeight="1">
      <c r="B229" s="422"/>
      <c r="C229" s="422"/>
      <c r="D229" s="422"/>
      <c r="E229" s="422"/>
      <c r="F229" s="422"/>
      <c r="G229" s="422"/>
      <c r="H229" s="422"/>
      <c r="I229" s="422"/>
      <c r="J229" s="422"/>
      <c r="K229" s="422"/>
      <c r="L229" s="422"/>
      <c r="M229" s="422"/>
      <c r="N229" s="422"/>
      <c r="O229" s="422"/>
      <c r="P229" s="433"/>
    </row>
    <row r="230" spans="2:16" ht="13.5" customHeight="1">
      <c r="B230" s="422"/>
      <c r="C230" s="422"/>
      <c r="D230" s="422"/>
      <c r="E230" s="422"/>
      <c r="F230" s="422"/>
      <c r="G230" s="422"/>
      <c r="H230" s="422"/>
      <c r="I230" s="422"/>
      <c r="J230" s="422"/>
      <c r="K230" s="422"/>
      <c r="L230" s="422"/>
      <c r="M230" s="422"/>
      <c r="N230" s="422"/>
      <c r="O230" s="422"/>
      <c r="P230" s="433"/>
    </row>
    <row r="231" spans="2:16" ht="13.5" customHeight="1">
      <c r="B231" s="422"/>
      <c r="C231" s="422"/>
      <c r="D231" s="422"/>
      <c r="E231" s="422"/>
      <c r="F231" s="422"/>
      <c r="G231" s="422"/>
      <c r="H231" s="422"/>
      <c r="I231" s="422"/>
      <c r="J231" s="422"/>
      <c r="K231" s="422"/>
      <c r="L231" s="422"/>
      <c r="M231" s="422"/>
      <c r="N231" s="422"/>
      <c r="O231" s="422"/>
      <c r="P231" s="433"/>
    </row>
    <row r="232" spans="2:16" ht="13.5" customHeight="1">
      <c r="B232" s="422"/>
      <c r="C232" s="422"/>
      <c r="D232" s="422"/>
      <c r="E232" s="422"/>
      <c r="F232" s="422"/>
      <c r="G232" s="422"/>
      <c r="H232" s="422"/>
      <c r="I232" s="422"/>
      <c r="J232" s="422"/>
      <c r="K232" s="422"/>
      <c r="L232" s="422"/>
      <c r="M232" s="422"/>
      <c r="N232" s="422"/>
      <c r="O232" s="422"/>
      <c r="P232" s="433"/>
    </row>
    <row r="233" spans="2:16" ht="13.5" customHeight="1">
      <c r="B233" s="422"/>
      <c r="C233" s="422"/>
      <c r="D233" s="422"/>
      <c r="E233" s="422"/>
      <c r="F233" s="422"/>
      <c r="G233" s="422"/>
      <c r="H233" s="422"/>
      <c r="I233" s="422"/>
      <c r="J233" s="422"/>
      <c r="K233" s="422"/>
      <c r="L233" s="422"/>
      <c r="M233" s="422"/>
      <c r="N233" s="422"/>
      <c r="O233" s="422"/>
      <c r="P233" s="433"/>
    </row>
    <row r="234" spans="2:16" ht="13.5" customHeight="1">
      <c r="B234" s="422"/>
      <c r="C234" s="422"/>
      <c r="D234" s="422"/>
      <c r="E234" s="422"/>
      <c r="F234" s="422"/>
      <c r="G234" s="422"/>
      <c r="H234" s="422"/>
      <c r="I234" s="422"/>
      <c r="J234" s="422"/>
      <c r="K234" s="422"/>
      <c r="L234" s="422"/>
      <c r="M234" s="422"/>
      <c r="N234" s="422"/>
      <c r="O234" s="422"/>
      <c r="P234" s="433"/>
    </row>
    <row r="235" spans="2:16" ht="13.5" customHeight="1">
      <c r="B235" s="422"/>
      <c r="C235" s="422"/>
      <c r="D235" s="422"/>
      <c r="E235" s="422"/>
      <c r="F235" s="422"/>
      <c r="G235" s="422"/>
      <c r="H235" s="422"/>
      <c r="I235" s="422"/>
      <c r="J235" s="422"/>
      <c r="K235" s="422"/>
      <c r="L235" s="422"/>
      <c r="M235" s="422"/>
      <c r="N235" s="422"/>
      <c r="O235" s="422"/>
      <c r="P235" s="433"/>
    </row>
    <row r="236" spans="2:16" ht="13.5" customHeight="1">
      <c r="B236" s="422"/>
      <c r="C236" s="422"/>
      <c r="D236" s="422"/>
      <c r="E236" s="422"/>
      <c r="F236" s="422"/>
      <c r="G236" s="422"/>
      <c r="H236" s="422"/>
      <c r="I236" s="422"/>
      <c r="J236" s="422"/>
      <c r="K236" s="422"/>
      <c r="L236" s="422"/>
      <c r="M236" s="422"/>
      <c r="N236" s="422"/>
      <c r="O236" s="422"/>
      <c r="P236" s="433"/>
    </row>
    <row r="237" spans="2:16" ht="13.5" customHeight="1">
      <c r="B237" s="422"/>
      <c r="C237" s="422"/>
      <c r="D237" s="422"/>
      <c r="E237" s="422"/>
      <c r="F237" s="422"/>
      <c r="G237" s="422"/>
      <c r="H237" s="422"/>
      <c r="I237" s="422"/>
      <c r="J237" s="422"/>
      <c r="K237" s="422"/>
      <c r="L237" s="422"/>
      <c r="M237" s="422"/>
      <c r="N237" s="422"/>
      <c r="O237" s="422"/>
      <c r="P237" s="433"/>
    </row>
    <row r="238" spans="2:16" ht="13.5" customHeight="1">
      <c r="B238" s="422"/>
      <c r="C238" s="422"/>
      <c r="D238" s="422"/>
      <c r="E238" s="422"/>
      <c r="F238" s="422"/>
      <c r="G238" s="422"/>
      <c r="H238" s="422"/>
      <c r="I238" s="422"/>
      <c r="J238" s="422"/>
      <c r="K238" s="422"/>
      <c r="L238" s="422"/>
      <c r="M238" s="422"/>
      <c r="N238" s="422"/>
      <c r="O238" s="422"/>
      <c r="P238" s="433"/>
    </row>
    <row r="239" spans="2:16" ht="13.5" customHeight="1">
      <c r="B239" s="422"/>
      <c r="C239" s="422"/>
      <c r="D239" s="422"/>
      <c r="E239" s="422"/>
      <c r="F239" s="422"/>
      <c r="G239" s="422"/>
      <c r="H239" s="422"/>
      <c r="I239" s="422"/>
      <c r="J239" s="422"/>
      <c r="K239" s="422"/>
      <c r="L239" s="422"/>
      <c r="M239" s="422"/>
      <c r="N239" s="422"/>
      <c r="O239" s="422"/>
      <c r="P239" s="433"/>
    </row>
    <row r="240" spans="2:16" ht="13.5" customHeight="1">
      <c r="B240" s="422"/>
      <c r="C240" s="422"/>
      <c r="D240" s="422"/>
      <c r="E240" s="422"/>
      <c r="F240" s="422"/>
      <c r="G240" s="422"/>
      <c r="H240" s="422"/>
      <c r="I240" s="422"/>
      <c r="J240" s="422"/>
      <c r="K240" s="422"/>
      <c r="L240" s="422"/>
      <c r="M240" s="422"/>
      <c r="N240" s="422"/>
      <c r="O240" s="422"/>
      <c r="P240" s="433"/>
    </row>
    <row r="241" spans="2:16" ht="13.5" customHeight="1">
      <c r="B241" s="422"/>
      <c r="C241" s="422"/>
      <c r="D241" s="422"/>
      <c r="E241" s="422"/>
      <c r="F241" s="422"/>
      <c r="G241" s="422"/>
      <c r="H241" s="422"/>
      <c r="I241" s="422"/>
      <c r="J241" s="422"/>
      <c r="K241" s="422"/>
      <c r="L241" s="422"/>
      <c r="M241" s="422"/>
      <c r="N241" s="422"/>
      <c r="O241" s="422"/>
      <c r="P241" s="433"/>
    </row>
    <row r="242" spans="2:16" ht="13.5" customHeight="1">
      <c r="B242" s="422"/>
      <c r="C242" s="422"/>
      <c r="D242" s="422"/>
      <c r="E242" s="422"/>
      <c r="F242" s="422"/>
      <c r="G242" s="422"/>
      <c r="H242" s="422"/>
      <c r="I242" s="422"/>
      <c r="J242" s="422"/>
      <c r="K242" s="422"/>
      <c r="L242" s="422"/>
      <c r="M242" s="422"/>
      <c r="N242" s="422"/>
      <c r="O242" s="422"/>
      <c r="P242" s="433"/>
    </row>
    <row r="243" spans="2:16" ht="13.5" customHeight="1">
      <c r="B243" s="422"/>
      <c r="C243" s="422"/>
      <c r="D243" s="422"/>
      <c r="E243" s="422"/>
      <c r="F243" s="422"/>
      <c r="G243" s="422"/>
      <c r="H243" s="422"/>
      <c r="I243" s="422"/>
      <c r="J243" s="422"/>
      <c r="K243" s="422"/>
      <c r="L243" s="422"/>
      <c r="M243" s="422"/>
      <c r="N243" s="422"/>
      <c r="O243" s="422"/>
      <c r="P243" s="433"/>
    </row>
    <row r="244" spans="2:16" ht="13.5" customHeight="1">
      <c r="B244" s="422"/>
      <c r="C244" s="422"/>
      <c r="D244" s="422"/>
      <c r="E244" s="422"/>
      <c r="F244" s="422"/>
      <c r="G244" s="422"/>
      <c r="H244" s="422"/>
      <c r="I244" s="422"/>
      <c r="J244" s="422"/>
      <c r="K244" s="422"/>
      <c r="L244" s="422"/>
      <c r="M244" s="422"/>
      <c r="N244" s="422"/>
      <c r="O244" s="422"/>
      <c r="P244" s="433"/>
    </row>
    <row r="245" spans="2:16" ht="13.5" customHeight="1">
      <c r="B245" s="422"/>
      <c r="C245" s="422"/>
      <c r="D245" s="422"/>
      <c r="E245" s="422"/>
      <c r="F245" s="422"/>
      <c r="G245" s="422"/>
      <c r="H245" s="422"/>
      <c r="I245" s="422"/>
      <c r="J245" s="422"/>
      <c r="K245" s="422"/>
      <c r="L245" s="422"/>
      <c r="M245" s="422"/>
      <c r="N245" s="422"/>
      <c r="O245" s="422"/>
      <c r="P245" s="433"/>
    </row>
    <row r="246" spans="2:16" ht="13.5" customHeight="1">
      <c r="B246" s="422"/>
      <c r="C246" s="422"/>
      <c r="D246" s="422"/>
      <c r="E246" s="422"/>
      <c r="F246" s="422"/>
      <c r="G246" s="422"/>
      <c r="H246" s="422"/>
      <c r="I246" s="422"/>
      <c r="J246" s="422"/>
      <c r="K246" s="422"/>
      <c r="L246" s="422"/>
      <c r="M246" s="422"/>
      <c r="N246" s="422"/>
      <c r="O246" s="422"/>
      <c r="P246" s="433"/>
    </row>
    <row r="247" spans="2:16" ht="13.5" customHeight="1">
      <c r="B247" s="422"/>
      <c r="C247" s="422"/>
      <c r="D247" s="422"/>
      <c r="E247" s="422"/>
      <c r="F247" s="422"/>
      <c r="G247" s="422"/>
      <c r="H247" s="422"/>
      <c r="I247" s="422"/>
      <c r="J247" s="422"/>
      <c r="K247" s="422"/>
      <c r="L247" s="422"/>
      <c r="M247" s="422"/>
      <c r="N247" s="422"/>
      <c r="O247" s="422"/>
      <c r="P247" s="433"/>
    </row>
    <row r="248" spans="2:16" ht="13.5" customHeight="1">
      <c r="B248" s="422"/>
      <c r="C248" s="422"/>
      <c r="D248" s="422"/>
      <c r="E248" s="422"/>
      <c r="F248" s="422"/>
      <c r="G248" s="422"/>
      <c r="H248" s="422"/>
      <c r="I248" s="422"/>
      <c r="J248" s="422"/>
      <c r="K248" s="422"/>
      <c r="L248" s="422"/>
      <c r="M248" s="422"/>
      <c r="N248" s="422"/>
      <c r="O248" s="422"/>
      <c r="P248" s="433"/>
    </row>
    <row r="249" spans="2:16" ht="13.5" customHeight="1">
      <c r="B249" s="422"/>
      <c r="C249" s="422"/>
      <c r="D249" s="422"/>
      <c r="E249" s="422"/>
      <c r="F249" s="422"/>
      <c r="G249" s="422"/>
      <c r="H249" s="422"/>
      <c r="I249" s="422"/>
      <c r="J249" s="422"/>
      <c r="K249" s="422"/>
      <c r="L249" s="422"/>
      <c r="M249" s="422"/>
      <c r="N249" s="422"/>
      <c r="O249" s="422"/>
      <c r="P249" s="433"/>
    </row>
    <row r="250" spans="2:16" ht="13.5" customHeight="1">
      <c r="B250" s="422"/>
      <c r="C250" s="422"/>
      <c r="D250" s="422"/>
      <c r="E250" s="422"/>
      <c r="F250" s="422"/>
      <c r="G250" s="422"/>
      <c r="H250" s="422"/>
      <c r="I250" s="422"/>
      <c r="J250" s="422"/>
      <c r="K250" s="422"/>
      <c r="L250" s="422"/>
      <c r="M250" s="422"/>
      <c r="N250" s="422"/>
      <c r="O250" s="422"/>
      <c r="P250" s="433"/>
    </row>
  </sheetData>
  <sheetProtection/>
  <mergeCells count="1">
    <mergeCell ref="B1:P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9" r:id="rId1"/>
  <headerFooter alignWithMargins="0">
    <oddHeader>&amp;L15.melléklet a 2014. évi 4/2014.(II.28.) Önkormányzati költségvetési rendelethez&amp;R&amp;D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3:AA280"/>
  <sheetViews>
    <sheetView view="pageBreakPreview" zoomScale="60" zoomScalePageLayoutView="0" workbookViewId="0" topLeftCell="A4">
      <selection activeCell="B28" sqref="B28"/>
    </sheetView>
  </sheetViews>
  <sheetFormatPr defaultColWidth="9.140625" defaultRowHeight="13.5" customHeight="1"/>
  <cols>
    <col min="1" max="1" width="4.00390625" style="622" customWidth="1"/>
    <col min="2" max="2" width="4.7109375" style="622" customWidth="1"/>
    <col min="3" max="3" width="23.7109375" style="622" customWidth="1"/>
    <col min="4" max="5" width="12.7109375" style="622" bestFit="1" customWidth="1"/>
    <col min="6" max="6" width="10.140625" style="622" bestFit="1" customWidth="1"/>
    <col min="7" max="7" width="8.28125" style="622" bestFit="1" customWidth="1"/>
    <col min="8" max="10" width="10.140625" style="622" bestFit="1" customWidth="1"/>
    <col min="11" max="11" width="9.8515625" style="622" bestFit="1" customWidth="1"/>
    <col min="12" max="12" width="11.00390625" style="622" bestFit="1" customWidth="1"/>
    <col min="13" max="13" width="10.140625" style="622" bestFit="1" customWidth="1"/>
    <col min="14" max="14" width="11.57421875" style="622" bestFit="1" customWidth="1"/>
    <col min="15" max="15" width="11.140625" style="622" bestFit="1" customWidth="1"/>
    <col min="16" max="16" width="11.140625" style="423" bestFit="1" customWidth="1"/>
    <col min="17" max="27" width="9.140625" style="621" customWidth="1"/>
    <col min="28" max="16384" width="9.140625" style="622" customWidth="1"/>
  </cols>
  <sheetData>
    <row r="3" spans="1:16" ht="32.25" customHeight="1">
      <c r="A3" s="160"/>
      <c r="B3" s="722" t="s">
        <v>434</v>
      </c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722"/>
      <c r="N3" s="722"/>
      <c r="O3" s="722"/>
      <c r="P3" s="722"/>
    </row>
    <row r="4" spans="1:16" ht="32.25" customHeight="1" thickBot="1">
      <c r="A4" s="622" t="s">
        <v>11</v>
      </c>
      <c r="B4" s="424" t="s">
        <v>469</v>
      </c>
      <c r="C4" s="424" t="s">
        <v>13</v>
      </c>
      <c r="D4" s="424" t="s">
        <v>14</v>
      </c>
      <c r="E4" s="424" t="s">
        <v>15</v>
      </c>
      <c r="F4" s="424" t="s">
        <v>16</v>
      </c>
      <c r="G4" s="424" t="s">
        <v>17</v>
      </c>
      <c r="H4" s="424" t="s">
        <v>18</v>
      </c>
      <c r="I4" s="424" t="s">
        <v>67</v>
      </c>
      <c r="J4" s="424" t="s">
        <v>481</v>
      </c>
      <c r="K4" s="424" t="s">
        <v>473</v>
      </c>
      <c r="L4" s="424" t="s">
        <v>474</v>
      </c>
      <c r="M4" s="424" t="s">
        <v>476</v>
      </c>
      <c r="N4" s="424" t="s">
        <v>482</v>
      </c>
      <c r="O4" s="424" t="s">
        <v>483</v>
      </c>
      <c r="P4" s="424" t="s">
        <v>484</v>
      </c>
    </row>
    <row r="5" spans="1:16" ht="18" customHeight="1" thickBot="1">
      <c r="A5" s="622" t="s">
        <v>20</v>
      </c>
      <c r="B5" s="390" t="s">
        <v>391</v>
      </c>
      <c r="C5" s="391" t="s">
        <v>71</v>
      </c>
      <c r="D5" s="391" t="s">
        <v>392</v>
      </c>
      <c r="E5" s="391" t="s">
        <v>393</v>
      </c>
      <c r="F5" s="391" t="s">
        <v>394</v>
      </c>
      <c r="G5" s="391" t="s">
        <v>395</v>
      </c>
      <c r="H5" s="391" t="s">
        <v>396</v>
      </c>
      <c r="I5" s="391" t="s">
        <v>397</v>
      </c>
      <c r="J5" s="391" t="s">
        <v>398</v>
      </c>
      <c r="K5" s="391" t="s">
        <v>399</v>
      </c>
      <c r="L5" s="391" t="s">
        <v>400</v>
      </c>
      <c r="M5" s="391" t="s">
        <v>401</v>
      </c>
      <c r="N5" s="391" t="s">
        <v>402</v>
      </c>
      <c r="O5" s="391" t="s">
        <v>403</v>
      </c>
      <c r="P5" s="392" t="s">
        <v>404</v>
      </c>
    </row>
    <row r="6" spans="1:16" ht="13.5" customHeight="1" thickBot="1">
      <c r="A6" s="622" t="s">
        <v>22</v>
      </c>
      <c r="B6" s="616" t="s">
        <v>20</v>
      </c>
      <c r="C6" s="395" t="s">
        <v>123</v>
      </c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410"/>
    </row>
    <row r="7" spans="1:16" ht="13.5" customHeight="1">
      <c r="A7" s="622" t="s">
        <v>24</v>
      </c>
      <c r="B7" s="617" t="s">
        <v>22</v>
      </c>
      <c r="C7" s="608" t="s">
        <v>425</v>
      </c>
      <c r="D7" s="425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7" t="s">
        <v>426</v>
      </c>
    </row>
    <row r="8" spans="1:16" ht="13.5" customHeight="1">
      <c r="A8" s="622" t="s">
        <v>25</v>
      </c>
      <c r="B8" s="618" t="s">
        <v>24</v>
      </c>
      <c r="C8" s="609" t="s">
        <v>406</v>
      </c>
      <c r="D8" s="428">
        <v>1440</v>
      </c>
      <c r="E8" s="428">
        <f>+D8</f>
        <v>1440</v>
      </c>
      <c r="F8" s="428">
        <f aca="true" t="shared" si="0" ref="F8:N8">+E8</f>
        <v>1440</v>
      </c>
      <c r="G8" s="428">
        <f t="shared" si="0"/>
        <v>1440</v>
      </c>
      <c r="H8" s="428">
        <f t="shared" si="0"/>
        <v>1440</v>
      </c>
      <c r="I8" s="428">
        <f t="shared" si="0"/>
        <v>1440</v>
      </c>
      <c r="J8" s="428">
        <f t="shared" si="0"/>
        <v>1440</v>
      </c>
      <c r="K8" s="428">
        <f t="shared" si="0"/>
        <v>1440</v>
      </c>
      <c r="L8" s="428">
        <f t="shared" si="0"/>
        <v>1440</v>
      </c>
      <c r="M8" s="428">
        <f t="shared" si="0"/>
        <v>1440</v>
      </c>
      <c r="N8" s="428">
        <f t="shared" si="0"/>
        <v>1440</v>
      </c>
      <c r="O8" s="428">
        <f>+N8-4+7</f>
        <v>1443</v>
      </c>
      <c r="P8" s="429">
        <f>SUM(D8:O8)</f>
        <v>17283</v>
      </c>
    </row>
    <row r="9" spans="1:16" ht="22.5" customHeight="1">
      <c r="A9" s="622" t="s">
        <v>26</v>
      </c>
      <c r="B9" s="618" t="s">
        <v>25</v>
      </c>
      <c r="C9" s="610" t="s">
        <v>468</v>
      </c>
      <c r="D9" s="430">
        <v>49016</v>
      </c>
      <c r="E9" s="430">
        <f>+D9</f>
        <v>49016</v>
      </c>
      <c r="F9" s="430">
        <f aca="true" t="shared" si="1" ref="F9:N9">+E9</f>
        <v>49016</v>
      </c>
      <c r="G9" s="430">
        <f t="shared" si="1"/>
        <v>49016</v>
      </c>
      <c r="H9" s="430">
        <f t="shared" si="1"/>
        <v>49016</v>
      </c>
      <c r="I9" s="430">
        <f t="shared" si="1"/>
        <v>49016</v>
      </c>
      <c r="J9" s="430">
        <f t="shared" si="1"/>
        <v>49016</v>
      </c>
      <c r="K9" s="430">
        <f t="shared" si="1"/>
        <v>49016</v>
      </c>
      <c r="L9" s="430">
        <f>+K9+49142</f>
        <v>98158</v>
      </c>
      <c r="M9" s="430">
        <f>+K9</f>
        <v>49016</v>
      </c>
      <c r="N9" s="430">
        <f t="shared" si="1"/>
        <v>49016</v>
      </c>
      <c r="O9" s="430">
        <f>+N9+29654+5-2600</f>
        <v>76075</v>
      </c>
      <c r="P9" s="431">
        <f>SUM(D9:O9)</f>
        <v>664393</v>
      </c>
    </row>
    <row r="10" spans="1:16" ht="13.5" customHeight="1">
      <c r="A10" s="622" t="s">
        <v>27</v>
      </c>
      <c r="B10" s="618" t="s">
        <v>26</v>
      </c>
      <c r="C10" s="609" t="s">
        <v>408</v>
      </c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8"/>
      <c r="P10" s="429">
        <f aca="true" t="shared" si="2" ref="P10:P30">SUM(D10:O10)</f>
        <v>0</v>
      </c>
    </row>
    <row r="11" spans="1:16" ht="13.5" customHeight="1">
      <c r="A11" s="622" t="s">
        <v>28</v>
      </c>
      <c r="B11" s="618" t="s">
        <v>27</v>
      </c>
      <c r="C11" s="609" t="s">
        <v>409</v>
      </c>
      <c r="D11" s="428"/>
      <c r="E11" s="428"/>
      <c r="F11" s="428">
        <v>4500</v>
      </c>
      <c r="G11" s="428"/>
      <c r="H11" s="428"/>
      <c r="I11" s="428"/>
      <c r="J11" s="428">
        <v>25000</v>
      </c>
      <c r="K11" s="428"/>
      <c r="L11" s="428"/>
      <c r="M11" s="428"/>
      <c r="N11" s="428">
        <v>9934</v>
      </c>
      <c r="O11" s="428">
        <v>7377</v>
      </c>
      <c r="P11" s="429">
        <f t="shared" si="2"/>
        <v>46811</v>
      </c>
    </row>
    <row r="12" spans="1:16" ht="13.5" customHeight="1">
      <c r="A12" s="622" t="s">
        <v>29</v>
      </c>
      <c r="B12" s="618" t="s">
        <v>28</v>
      </c>
      <c r="C12" s="609" t="s">
        <v>410</v>
      </c>
      <c r="D12" s="428">
        <v>28016</v>
      </c>
      <c r="E12" s="428">
        <f>+D12</f>
        <v>28016</v>
      </c>
      <c r="F12" s="428">
        <f aca="true" t="shared" si="3" ref="F12:N12">+E12</f>
        <v>28016</v>
      </c>
      <c r="G12" s="428">
        <f t="shared" si="3"/>
        <v>28016</v>
      </c>
      <c r="H12" s="428">
        <f t="shared" si="3"/>
        <v>28016</v>
      </c>
      <c r="I12" s="428">
        <f t="shared" si="3"/>
        <v>28016</v>
      </c>
      <c r="J12" s="428">
        <f t="shared" si="3"/>
        <v>28016</v>
      </c>
      <c r="K12" s="428">
        <f t="shared" si="3"/>
        <v>28016</v>
      </c>
      <c r="L12" s="428">
        <f t="shared" si="3"/>
        <v>28016</v>
      </c>
      <c r="M12" s="428">
        <f t="shared" si="3"/>
        <v>28016</v>
      </c>
      <c r="N12" s="428">
        <f t="shared" si="3"/>
        <v>28016</v>
      </c>
      <c r="O12" s="428">
        <f>+N12-3</f>
        <v>28013</v>
      </c>
      <c r="P12" s="429">
        <f t="shared" si="2"/>
        <v>336189</v>
      </c>
    </row>
    <row r="13" spans="1:16" ht="13.5" customHeight="1">
      <c r="A13" s="622" t="s">
        <v>30</v>
      </c>
      <c r="B13" s="618" t="s">
        <v>29</v>
      </c>
      <c r="C13" s="609" t="s">
        <v>411</v>
      </c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9">
        <f>SUM(D13:O13)</f>
        <v>0</v>
      </c>
    </row>
    <row r="14" spans="1:16" ht="21" customHeight="1">
      <c r="A14" s="622" t="s">
        <v>31</v>
      </c>
      <c r="B14" s="618" t="s">
        <v>30</v>
      </c>
      <c r="C14" s="611" t="s">
        <v>412</v>
      </c>
      <c r="D14" s="428">
        <v>20500</v>
      </c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>
        <v>20313</v>
      </c>
      <c r="P14" s="429">
        <f t="shared" si="2"/>
        <v>40813</v>
      </c>
    </row>
    <row r="15" spans="1:16" ht="13.5" customHeight="1" thickBot="1">
      <c r="A15" s="622" t="s">
        <v>32</v>
      </c>
      <c r="B15" s="618" t="s">
        <v>31</v>
      </c>
      <c r="C15" s="609" t="s">
        <v>428</v>
      </c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9">
        <f t="shared" si="2"/>
        <v>0</v>
      </c>
    </row>
    <row r="16" spans="1:27" s="423" customFormat="1" ht="13.5" customHeight="1" thickBot="1">
      <c r="A16" s="423" t="s">
        <v>33</v>
      </c>
      <c r="B16" s="616" t="s">
        <v>32</v>
      </c>
      <c r="C16" s="612" t="s">
        <v>413</v>
      </c>
      <c r="D16" s="432">
        <f>SUM(D8:D15)</f>
        <v>98972</v>
      </c>
      <c r="E16" s="432">
        <f aca="true" t="shared" si="4" ref="E16:O16">SUM(E8:E15)</f>
        <v>78472</v>
      </c>
      <c r="F16" s="432">
        <f t="shared" si="4"/>
        <v>82972</v>
      </c>
      <c r="G16" s="432">
        <f t="shared" si="4"/>
        <v>78472</v>
      </c>
      <c r="H16" s="432">
        <f t="shared" si="4"/>
        <v>78472</v>
      </c>
      <c r="I16" s="432">
        <f t="shared" si="4"/>
        <v>78472</v>
      </c>
      <c r="J16" s="432">
        <f t="shared" si="4"/>
        <v>103472</v>
      </c>
      <c r="K16" s="432">
        <f t="shared" si="4"/>
        <v>78472</v>
      </c>
      <c r="L16" s="432">
        <f t="shared" si="4"/>
        <v>127614</v>
      </c>
      <c r="M16" s="432">
        <f t="shared" si="4"/>
        <v>78472</v>
      </c>
      <c r="N16" s="432">
        <f t="shared" si="4"/>
        <v>88406</v>
      </c>
      <c r="O16" s="432">
        <f t="shared" si="4"/>
        <v>133221</v>
      </c>
      <c r="P16" s="432">
        <f>SUM(P8:P15)</f>
        <v>1105489</v>
      </c>
      <c r="Q16" s="433"/>
      <c r="R16" s="433"/>
      <c r="S16" s="433"/>
      <c r="T16" s="433"/>
      <c r="U16" s="433"/>
      <c r="V16" s="433"/>
      <c r="W16" s="433"/>
      <c r="X16" s="433"/>
      <c r="Y16" s="433"/>
      <c r="Z16" s="433"/>
      <c r="AA16" s="433"/>
    </row>
    <row r="17" spans="1:27" s="423" customFormat="1" ht="13.5" customHeight="1" thickBot="1">
      <c r="A17" s="423" t="s">
        <v>34</v>
      </c>
      <c r="B17" s="616" t="s">
        <v>33</v>
      </c>
      <c r="C17" s="395" t="s">
        <v>152</v>
      </c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410"/>
      <c r="Q17" s="433"/>
      <c r="R17" s="433"/>
      <c r="S17" s="433"/>
      <c r="T17" s="433"/>
      <c r="U17" s="433"/>
      <c r="V17" s="433"/>
      <c r="W17" s="433"/>
      <c r="X17" s="433"/>
      <c r="Y17" s="433"/>
      <c r="Z17" s="433"/>
      <c r="AA17" s="433"/>
    </row>
    <row r="18" spans="1:16" ht="13.5" customHeight="1">
      <c r="A18" s="622" t="s">
        <v>35</v>
      </c>
      <c r="B18" s="619" t="s">
        <v>34</v>
      </c>
      <c r="C18" s="613" t="s">
        <v>295</v>
      </c>
      <c r="D18" s="430">
        <v>17811</v>
      </c>
      <c r="E18" s="430">
        <f>+D18</f>
        <v>17811</v>
      </c>
      <c r="F18" s="430">
        <f aca="true" t="shared" si="5" ref="F18:N20">+E18</f>
        <v>17811</v>
      </c>
      <c r="G18" s="430">
        <f t="shared" si="5"/>
        <v>17811</v>
      </c>
      <c r="H18" s="430">
        <f t="shared" si="5"/>
        <v>17811</v>
      </c>
      <c r="I18" s="430">
        <f t="shared" si="5"/>
        <v>17811</v>
      </c>
      <c r="J18" s="430">
        <f t="shared" si="5"/>
        <v>17811</v>
      </c>
      <c r="K18" s="430">
        <f t="shared" si="5"/>
        <v>17811</v>
      </c>
      <c r="L18" s="430">
        <f t="shared" si="5"/>
        <v>17811</v>
      </c>
      <c r="M18" s="430">
        <f t="shared" si="5"/>
        <v>17811</v>
      </c>
      <c r="N18" s="430">
        <f t="shared" si="5"/>
        <v>17811</v>
      </c>
      <c r="O18" s="430">
        <f>+N18-4+8-6</f>
        <v>17809</v>
      </c>
      <c r="P18" s="431">
        <f>SUM(D18:O18)</f>
        <v>213730</v>
      </c>
    </row>
    <row r="19" spans="1:16" ht="24.75" customHeight="1">
      <c r="A19" s="622" t="s">
        <v>36</v>
      </c>
      <c r="B19" s="618" t="s">
        <v>35</v>
      </c>
      <c r="C19" s="611" t="s">
        <v>414</v>
      </c>
      <c r="D19" s="428">
        <v>2475</v>
      </c>
      <c r="E19" s="428">
        <f>+D19</f>
        <v>2475</v>
      </c>
      <c r="F19" s="428">
        <f t="shared" si="5"/>
        <v>2475</v>
      </c>
      <c r="G19" s="428">
        <f t="shared" si="5"/>
        <v>2475</v>
      </c>
      <c r="H19" s="428">
        <f t="shared" si="5"/>
        <v>2475</v>
      </c>
      <c r="I19" s="428">
        <f t="shared" si="5"/>
        <v>2475</v>
      </c>
      <c r="J19" s="428">
        <f t="shared" si="5"/>
        <v>2475</v>
      </c>
      <c r="K19" s="428">
        <f t="shared" si="5"/>
        <v>2475</v>
      </c>
      <c r="L19" s="428">
        <f t="shared" si="5"/>
        <v>2475</v>
      </c>
      <c r="M19" s="428">
        <f t="shared" si="5"/>
        <v>2475</v>
      </c>
      <c r="N19" s="428">
        <f t="shared" si="5"/>
        <v>2475</v>
      </c>
      <c r="O19" s="428">
        <f>+N19+5-7</f>
        <v>2473</v>
      </c>
      <c r="P19" s="429">
        <f t="shared" si="2"/>
        <v>29698</v>
      </c>
    </row>
    <row r="20" spans="1:16" ht="13.5" customHeight="1">
      <c r="A20" s="622" t="s">
        <v>37</v>
      </c>
      <c r="B20" s="618" t="s">
        <v>36</v>
      </c>
      <c r="C20" s="609" t="s">
        <v>338</v>
      </c>
      <c r="D20" s="428">
        <v>13045</v>
      </c>
      <c r="E20" s="428">
        <f>+D20</f>
        <v>13045</v>
      </c>
      <c r="F20" s="428">
        <f t="shared" si="5"/>
        <v>13045</v>
      </c>
      <c r="G20" s="428">
        <f t="shared" si="5"/>
        <v>13045</v>
      </c>
      <c r="H20" s="428">
        <f t="shared" si="5"/>
        <v>13045</v>
      </c>
      <c r="I20" s="428">
        <f t="shared" si="5"/>
        <v>13045</v>
      </c>
      <c r="J20" s="428">
        <f t="shared" si="5"/>
        <v>13045</v>
      </c>
      <c r="K20" s="428">
        <f t="shared" si="5"/>
        <v>13045</v>
      </c>
      <c r="L20" s="428">
        <f t="shared" si="5"/>
        <v>13045</v>
      </c>
      <c r="M20" s="428">
        <f t="shared" si="5"/>
        <v>13045</v>
      </c>
      <c r="N20" s="428">
        <f t="shared" si="5"/>
        <v>13045</v>
      </c>
      <c r="O20" s="428">
        <f>+N20+4</f>
        <v>13049</v>
      </c>
      <c r="P20" s="429">
        <f t="shared" si="2"/>
        <v>156544</v>
      </c>
    </row>
    <row r="21" spans="1:16" ht="13.5" customHeight="1">
      <c r="A21" s="622" t="s">
        <v>38</v>
      </c>
      <c r="B21" s="618" t="s">
        <v>37</v>
      </c>
      <c r="C21" s="609" t="s">
        <v>415</v>
      </c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9">
        <f t="shared" si="2"/>
        <v>0</v>
      </c>
    </row>
    <row r="22" spans="1:16" ht="13.5" customHeight="1">
      <c r="A22" s="622" t="s">
        <v>39</v>
      </c>
      <c r="B22" s="618" t="s">
        <v>38</v>
      </c>
      <c r="C22" s="609" t="s">
        <v>416</v>
      </c>
      <c r="D22" s="428">
        <v>3726</v>
      </c>
      <c r="E22" s="428"/>
      <c r="F22" s="428"/>
      <c r="G22" s="428"/>
      <c r="H22" s="428"/>
      <c r="I22" s="428"/>
      <c r="J22" s="428"/>
      <c r="K22" s="428"/>
      <c r="L22" s="428"/>
      <c r="M22" s="428"/>
      <c r="N22" s="428"/>
      <c r="O22" s="428"/>
      <c r="P22" s="429">
        <f t="shared" si="2"/>
        <v>3726</v>
      </c>
    </row>
    <row r="23" spans="1:16" ht="13.5" customHeight="1">
      <c r="A23" s="622" t="s">
        <v>42</v>
      </c>
      <c r="B23" s="618" t="s">
        <v>39</v>
      </c>
      <c r="C23" s="609" t="s">
        <v>417</v>
      </c>
      <c r="D23" s="428">
        <v>3720</v>
      </c>
      <c r="E23" s="428">
        <f>+D23</f>
        <v>3720</v>
      </c>
      <c r="F23" s="428">
        <f aca="true" t="shared" si="6" ref="F23:N23">+E23</f>
        <v>3720</v>
      </c>
      <c r="G23" s="428">
        <f t="shared" si="6"/>
        <v>3720</v>
      </c>
      <c r="H23" s="428">
        <f t="shared" si="6"/>
        <v>3720</v>
      </c>
      <c r="I23" s="428">
        <f t="shared" si="6"/>
        <v>3720</v>
      </c>
      <c r="J23" s="428">
        <f t="shared" si="6"/>
        <v>3720</v>
      </c>
      <c r="K23" s="428">
        <f t="shared" si="6"/>
        <v>3720</v>
      </c>
      <c r="L23" s="428">
        <f t="shared" si="6"/>
        <v>3720</v>
      </c>
      <c r="M23" s="428">
        <f t="shared" si="6"/>
        <v>3720</v>
      </c>
      <c r="N23" s="428">
        <f t="shared" si="6"/>
        <v>3720</v>
      </c>
      <c r="O23" s="428">
        <f>+N23+5</f>
        <v>3725</v>
      </c>
      <c r="P23" s="429">
        <f t="shared" si="2"/>
        <v>44645</v>
      </c>
    </row>
    <row r="24" spans="1:16" ht="21" customHeight="1">
      <c r="A24" s="622" t="s">
        <v>45</v>
      </c>
      <c r="B24" s="618" t="s">
        <v>42</v>
      </c>
      <c r="C24" s="611" t="s">
        <v>418</v>
      </c>
      <c r="D24" s="428">
        <v>1790</v>
      </c>
      <c r="E24" s="428">
        <f>+D24</f>
        <v>1790</v>
      </c>
      <c r="F24" s="428">
        <f aca="true" t="shared" si="7" ref="F24:N24">+E24</f>
        <v>1790</v>
      </c>
      <c r="G24" s="428">
        <f t="shared" si="7"/>
        <v>1790</v>
      </c>
      <c r="H24" s="428">
        <f t="shared" si="7"/>
        <v>1790</v>
      </c>
      <c r="I24" s="428">
        <f t="shared" si="7"/>
        <v>1790</v>
      </c>
      <c r="J24" s="428">
        <f t="shared" si="7"/>
        <v>1790</v>
      </c>
      <c r="K24" s="428">
        <f t="shared" si="7"/>
        <v>1790</v>
      </c>
      <c r="L24" s="428">
        <f t="shared" si="7"/>
        <v>1790</v>
      </c>
      <c r="M24" s="428">
        <f t="shared" si="7"/>
        <v>1790</v>
      </c>
      <c r="N24" s="428">
        <f t="shared" si="7"/>
        <v>1790</v>
      </c>
      <c r="O24" s="428">
        <f>+N24-4+5</f>
        <v>1791</v>
      </c>
      <c r="P24" s="429">
        <f t="shared" si="2"/>
        <v>21481</v>
      </c>
    </row>
    <row r="25" spans="1:16" ht="13.5" customHeight="1">
      <c r="A25" s="622" t="s">
        <v>46</v>
      </c>
      <c r="B25" s="618" t="s">
        <v>45</v>
      </c>
      <c r="C25" s="609" t="s">
        <v>419</v>
      </c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9">
        <f t="shared" si="2"/>
        <v>0</v>
      </c>
    </row>
    <row r="26" spans="1:16" ht="13.5" customHeight="1">
      <c r="A26" s="622" t="s">
        <v>47</v>
      </c>
      <c r="B26" s="618" t="s">
        <v>46</v>
      </c>
      <c r="C26" s="609" t="s">
        <v>420</v>
      </c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9">
        <f t="shared" si="2"/>
        <v>0</v>
      </c>
    </row>
    <row r="27" spans="1:16" ht="13.5" customHeight="1">
      <c r="A27" s="622" t="s">
        <v>48</v>
      </c>
      <c r="B27" s="618" t="s">
        <v>47</v>
      </c>
      <c r="C27" s="609" t="str">
        <f>+'17_mell'!C30</f>
        <v>Felhalmozási költségvetés kiadásai</v>
      </c>
      <c r="D27" s="428"/>
      <c r="E27" s="428">
        <v>1200</v>
      </c>
      <c r="F27" s="428">
        <v>15600</v>
      </c>
      <c r="G27" s="428"/>
      <c r="H27" s="428">
        <v>4500</v>
      </c>
      <c r="I27" s="428"/>
      <c r="J27" s="428">
        <v>500</v>
      </c>
      <c r="K27" s="428">
        <v>1500</v>
      </c>
      <c r="L27" s="428">
        <v>25685</v>
      </c>
      <c r="M27" s="428">
        <v>850</v>
      </c>
      <c r="N27" s="428">
        <v>325</v>
      </c>
      <c r="O27" s="428">
        <v>9261</v>
      </c>
      <c r="P27" s="429">
        <f t="shared" si="2"/>
        <v>59421</v>
      </c>
    </row>
    <row r="28" spans="1:27" s="423" customFormat="1" ht="13.5" customHeight="1">
      <c r="A28" s="423" t="s">
        <v>49</v>
      </c>
      <c r="B28" s="618" t="s">
        <v>48</v>
      </c>
      <c r="C28" s="609" t="s">
        <v>422</v>
      </c>
      <c r="D28" s="428">
        <f>+'20_mell'!D16+'19_mell'!D16+'18_mell'!D16+'17_mell'!D18</f>
        <v>41898</v>
      </c>
      <c r="E28" s="428">
        <f>+'20_mell'!E16+'19_mell'!E16+'18_mell'!E16+'17_mell'!E18</f>
        <v>42225</v>
      </c>
      <c r="F28" s="428">
        <f>+'20_mell'!F16+'19_mell'!F16+'18_mell'!F16+'17_mell'!F18</f>
        <v>46423</v>
      </c>
      <c r="G28" s="428">
        <f>+'20_mell'!G16+'19_mell'!G16+'18_mell'!G16+'17_mell'!G18</f>
        <v>45582</v>
      </c>
      <c r="H28" s="428">
        <f>+'20_mell'!H16+'19_mell'!H16+'18_mell'!H16+'17_mell'!H18</f>
        <v>45726</v>
      </c>
      <c r="I28" s="428">
        <f>+'20_mell'!I16+'19_mell'!I16+'18_mell'!I16+'17_mell'!I18</f>
        <v>45726</v>
      </c>
      <c r="J28" s="428">
        <f>+'20_mell'!J16+'19_mell'!J16+'18_mell'!J16+'17_mell'!J18</f>
        <v>45726</v>
      </c>
      <c r="K28" s="428">
        <f>+'20_mell'!K16+'19_mell'!K16+'18_mell'!K16+'17_mell'!K18</f>
        <v>44587</v>
      </c>
      <c r="L28" s="428">
        <f>+'20_mell'!L16+'19_mell'!L16+'18_mell'!L16+'17_mell'!L18</f>
        <v>46841</v>
      </c>
      <c r="M28" s="428">
        <f>+'20_mell'!M16+'19_mell'!M16+'18_mell'!M16+'17_mell'!M18</f>
        <v>51004</v>
      </c>
      <c r="N28" s="428">
        <f>+'20_mell'!N16+'19_mell'!N16+'18_mell'!N16+'17_mell'!N18</f>
        <v>43774</v>
      </c>
      <c r="O28" s="428">
        <f>+'20_mell'!O16+'19_mell'!O16+'18_mell'!O16+'17_mell'!O18</f>
        <v>50874</v>
      </c>
      <c r="P28" s="429">
        <f>SUM(D28:O28)</f>
        <v>550386</v>
      </c>
      <c r="Q28" s="433"/>
      <c r="R28" s="433"/>
      <c r="S28" s="433"/>
      <c r="T28" s="433"/>
      <c r="U28" s="433"/>
      <c r="V28" s="433"/>
      <c r="W28" s="433"/>
      <c r="X28" s="433"/>
      <c r="Y28" s="433"/>
      <c r="Z28" s="433"/>
      <c r="AA28" s="433"/>
    </row>
    <row r="29" spans="1:16" ht="13.5" customHeight="1">
      <c r="A29" s="622" t="s">
        <v>50</v>
      </c>
      <c r="B29" s="618" t="s">
        <v>49</v>
      </c>
      <c r="C29" s="609" t="s">
        <v>467</v>
      </c>
      <c r="D29" s="428"/>
      <c r="E29" s="428"/>
      <c r="F29" s="428"/>
      <c r="G29" s="428"/>
      <c r="H29" s="428"/>
      <c r="I29" s="428">
        <f>+'11_mell'!H12</f>
        <v>16272</v>
      </c>
      <c r="J29" s="428"/>
      <c r="K29" s="428"/>
      <c r="L29" s="428"/>
      <c r="M29" s="428"/>
      <c r="N29" s="428"/>
      <c r="O29" s="428">
        <f>+'11_mell'!I12</f>
        <v>9186</v>
      </c>
      <c r="P29" s="429">
        <f t="shared" si="2"/>
        <v>25458</v>
      </c>
    </row>
    <row r="30" spans="1:16" ht="13.5" customHeight="1" thickBot="1">
      <c r="A30" s="622" t="s">
        <v>51</v>
      </c>
      <c r="B30" s="623" t="s">
        <v>50</v>
      </c>
      <c r="C30" s="614" t="s">
        <v>496</v>
      </c>
      <c r="D30" s="624"/>
      <c r="E30" s="624"/>
      <c r="F30" s="624"/>
      <c r="G30" s="624"/>
      <c r="H30" s="624"/>
      <c r="I30" s="624"/>
      <c r="J30" s="624">
        <v>400</v>
      </c>
      <c r="K30" s="624"/>
      <c r="L30" s="624"/>
      <c r="M30" s="624"/>
      <c r="N30" s="624"/>
      <c r="O30" s="624"/>
      <c r="P30" s="607">
        <f t="shared" si="2"/>
        <v>400</v>
      </c>
    </row>
    <row r="31" spans="1:27" s="423" customFormat="1" ht="13.5" customHeight="1" thickBot="1">
      <c r="A31" s="423" t="s">
        <v>52</v>
      </c>
      <c r="B31" s="620" t="s">
        <v>51</v>
      </c>
      <c r="C31" s="612" t="s">
        <v>423</v>
      </c>
      <c r="D31" s="432">
        <f>SUM(D18:D30)</f>
        <v>84465</v>
      </c>
      <c r="E31" s="432">
        <f aca="true" t="shared" si="8" ref="E31:O31">SUM(E18:E30)</f>
        <v>82266</v>
      </c>
      <c r="F31" s="432">
        <f t="shared" si="8"/>
        <v>100864</v>
      </c>
      <c r="G31" s="432">
        <f t="shared" si="8"/>
        <v>84423</v>
      </c>
      <c r="H31" s="432">
        <f t="shared" si="8"/>
        <v>89067</v>
      </c>
      <c r="I31" s="432">
        <f t="shared" si="8"/>
        <v>100839</v>
      </c>
      <c r="J31" s="432">
        <f>SUM(J18:J30)</f>
        <v>85467</v>
      </c>
      <c r="K31" s="432">
        <f t="shared" si="8"/>
        <v>84928</v>
      </c>
      <c r="L31" s="432">
        <f t="shared" si="8"/>
        <v>111367</v>
      </c>
      <c r="M31" s="432">
        <f t="shared" si="8"/>
        <v>90695</v>
      </c>
      <c r="N31" s="432">
        <f t="shared" si="8"/>
        <v>82940</v>
      </c>
      <c r="O31" s="432">
        <f t="shared" si="8"/>
        <v>108168</v>
      </c>
      <c r="P31" s="434">
        <f>SUM(D31:O31)</f>
        <v>1105489</v>
      </c>
      <c r="Q31" s="433"/>
      <c r="R31" s="433"/>
      <c r="S31" s="433"/>
      <c r="T31" s="433"/>
      <c r="U31" s="433"/>
      <c r="V31" s="433"/>
      <c r="W31" s="433"/>
      <c r="X31" s="433"/>
      <c r="Y31" s="433"/>
      <c r="Z31" s="433"/>
      <c r="AA31" s="433"/>
    </row>
    <row r="32" spans="1:27" s="438" customFormat="1" ht="28.5" customHeight="1" thickBot="1">
      <c r="A32" s="438" t="s">
        <v>53</v>
      </c>
      <c r="B32" s="620" t="s">
        <v>52</v>
      </c>
      <c r="C32" s="615" t="s">
        <v>429</v>
      </c>
      <c r="D32" s="435">
        <f>D16-D31</f>
        <v>14507</v>
      </c>
      <c r="E32" s="435">
        <f aca="true" t="shared" si="9" ref="E32:N32">E16-E31</f>
        <v>-3794</v>
      </c>
      <c r="F32" s="435">
        <f t="shared" si="9"/>
        <v>-17892</v>
      </c>
      <c r="G32" s="435">
        <f t="shared" si="9"/>
        <v>-5951</v>
      </c>
      <c r="H32" s="435">
        <f t="shared" si="9"/>
        <v>-10595</v>
      </c>
      <c r="I32" s="435">
        <f t="shared" si="9"/>
        <v>-22367</v>
      </c>
      <c r="J32" s="435">
        <f t="shared" si="9"/>
        <v>18005</v>
      </c>
      <c r="K32" s="435">
        <f t="shared" si="9"/>
        <v>-6456</v>
      </c>
      <c r="L32" s="435">
        <f t="shared" si="9"/>
        <v>16247</v>
      </c>
      <c r="M32" s="435">
        <f t="shared" si="9"/>
        <v>-12223</v>
      </c>
      <c r="N32" s="435">
        <f t="shared" si="9"/>
        <v>5466</v>
      </c>
      <c r="O32" s="435">
        <f>O16-O31</f>
        <v>25053</v>
      </c>
      <c r="P32" s="436" t="s">
        <v>426</v>
      </c>
      <c r="Q32" s="437"/>
      <c r="R32" s="437"/>
      <c r="S32" s="437"/>
      <c r="T32" s="437"/>
      <c r="U32" s="437"/>
      <c r="V32" s="437"/>
      <c r="W32" s="437"/>
      <c r="X32" s="437"/>
      <c r="Y32" s="437"/>
      <c r="Z32" s="437"/>
      <c r="AA32" s="437"/>
    </row>
    <row r="33" spans="2:16" ht="13.5" customHeight="1">
      <c r="B33" s="621"/>
      <c r="C33" s="621"/>
      <c r="D33" s="621"/>
      <c r="E33" s="621"/>
      <c r="F33" s="621"/>
      <c r="G33" s="621"/>
      <c r="H33" s="621"/>
      <c r="I33" s="621"/>
      <c r="J33" s="621"/>
      <c r="K33" s="621"/>
      <c r="L33" s="621"/>
      <c r="M33" s="621"/>
      <c r="N33" s="621"/>
      <c r="O33" s="621"/>
      <c r="P33" s="433"/>
    </row>
    <row r="34" spans="2:16" ht="13.5" customHeight="1">
      <c r="B34" s="621"/>
      <c r="C34" s="621"/>
      <c r="D34" s="621"/>
      <c r="E34" s="621"/>
      <c r="F34" s="621"/>
      <c r="G34" s="621"/>
      <c r="H34" s="621"/>
      <c r="I34" s="621"/>
      <c r="J34" s="621"/>
      <c r="K34" s="621"/>
      <c r="L34" s="621"/>
      <c r="M34" s="621"/>
      <c r="N34" s="621"/>
      <c r="O34" s="621"/>
      <c r="P34" s="433"/>
    </row>
    <row r="35" spans="2:16" ht="13.5" customHeight="1">
      <c r="B35" s="621"/>
      <c r="C35" s="621"/>
      <c r="D35" s="621"/>
      <c r="E35" s="621"/>
      <c r="F35" s="621"/>
      <c r="G35" s="621"/>
      <c r="H35" s="621"/>
      <c r="I35" s="621"/>
      <c r="J35" s="621"/>
      <c r="K35" s="621"/>
      <c r="L35" s="621"/>
      <c r="M35" s="621"/>
      <c r="N35" s="621"/>
      <c r="O35" s="621"/>
      <c r="P35" s="433"/>
    </row>
    <row r="36" spans="2:16" ht="13.5" customHeight="1">
      <c r="B36" s="621"/>
      <c r="C36" s="621"/>
      <c r="D36" s="621"/>
      <c r="E36" s="621"/>
      <c r="F36" s="621"/>
      <c r="G36" s="621"/>
      <c r="H36" s="621"/>
      <c r="I36" s="621"/>
      <c r="J36" s="621"/>
      <c r="K36" s="621"/>
      <c r="L36" s="621"/>
      <c r="M36" s="621"/>
      <c r="N36" s="621"/>
      <c r="O36" s="621"/>
      <c r="P36" s="433"/>
    </row>
    <row r="37" spans="2:16" ht="13.5" customHeight="1">
      <c r="B37" s="621"/>
      <c r="C37" s="621"/>
      <c r="D37" s="621"/>
      <c r="E37" s="621"/>
      <c r="F37" s="621"/>
      <c r="G37" s="621"/>
      <c r="H37" s="621"/>
      <c r="I37" s="621"/>
      <c r="J37" s="621"/>
      <c r="K37" s="621"/>
      <c r="L37" s="621"/>
      <c r="M37" s="621"/>
      <c r="N37" s="621"/>
      <c r="O37" s="621"/>
      <c r="P37" s="433"/>
    </row>
    <row r="38" spans="2:16" ht="13.5" customHeight="1">
      <c r="B38" s="621"/>
      <c r="C38" s="621"/>
      <c r="D38" s="621"/>
      <c r="E38" s="621"/>
      <c r="F38" s="621"/>
      <c r="G38" s="621"/>
      <c r="H38" s="621"/>
      <c r="I38" s="621"/>
      <c r="J38" s="621"/>
      <c r="K38" s="621"/>
      <c r="L38" s="621"/>
      <c r="M38" s="621"/>
      <c r="N38" s="621"/>
      <c r="O38" s="621"/>
      <c r="P38" s="433"/>
    </row>
    <row r="39" spans="2:16" ht="13.5" customHeight="1">
      <c r="B39" s="621"/>
      <c r="C39" s="621"/>
      <c r="D39" s="621"/>
      <c r="E39" s="621"/>
      <c r="F39" s="621"/>
      <c r="G39" s="621"/>
      <c r="H39" s="621"/>
      <c r="I39" s="621"/>
      <c r="J39" s="621"/>
      <c r="K39" s="621"/>
      <c r="L39" s="621"/>
      <c r="M39" s="621"/>
      <c r="N39" s="621"/>
      <c r="O39" s="621"/>
      <c r="P39" s="433"/>
    </row>
    <row r="40" spans="2:16" ht="13.5" customHeight="1">
      <c r="B40" s="625"/>
      <c r="C40" s="621"/>
      <c r="D40" s="621"/>
      <c r="E40" s="621"/>
      <c r="F40" s="621"/>
      <c r="G40" s="621"/>
      <c r="H40" s="621"/>
      <c r="I40" s="621"/>
      <c r="J40" s="621"/>
      <c r="K40" s="621"/>
      <c r="L40" s="621"/>
      <c r="M40" s="621"/>
      <c r="N40" s="621"/>
      <c r="O40" s="621"/>
      <c r="P40" s="621"/>
    </row>
    <row r="41" spans="2:16" ht="13.5" customHeight="1">
      <c r="B41" s="621"/>
      <c r="C41" s="621"/>
      <c r="D41" s="621"/>
      <c r="E41" s="621"/>
      <c r="F41" s="621"/>
      <c r="G41" s="621"/>
      <c r="H41" s="621"/>
      <c r="I41" s="621"/>
      <c r="J41" s="621"/>
      <c r="K41" s="621"/>
      <c r="L41" s="621"/>
      <c r="M41" s="621"/>
      <c r="N41" s="621"/>
      <c r="O41" s="621"/>
      <c r="P41" s="433"/>
    </row>
    <row r="42" spans="2:16" ht="13.5" customHeight="1">
      <c r="B42" s="621"/>
      <c r="C42" s="621"/>
      <c r="D42" s="621"/>
      <c r="E42" s="621"/>
      <c r="F42" s="621"/>
      <c r="G42" s="621"/>
      <c r="H42" s="621"/>
      <c r="I42" s="621"/>
      <c r="J42" s="621"/>
      <c r="K42" s="621"/>
      <c r="L42" s="621"/>
      <c r="M42" s="621"/>
      <c r="N42" s="621"/>
      <c r="O42" s="621"/>
      <c r="P42" s="621"/>
    </row>
    <row r="43" spans="2:16" ht="13.5" customHeight="1">
      <c r="B43" s="621"/>
      <c r="C43" s="621"/>
      <c r="D43" s="621"/>
      <c r="E43" s="621"/>
      <c r="F43" s="621"/>
      <c r="G43" s="621"/>
      <c r="H43" s="621"/>
      <c r="I43" s="621"/>
      <c r="J43" s="621"/>
      <c r="K43" s="621"/>
      <c r="L43" s="621"/>
      <c r="M43" s="621"/>
      <c r="N43" s="621"/>
      <c r="O43" s="621"/>
      <c r="P43" s="433"/>
    </row>
    <row r="44" spans="2:16" ht="13.5" customHeight="1">
      <c r="B44" s="621"/>
      <c r="C44" s="621"/>
      <c r="D44" s="621"/>
      <c r="E44" s="621"/>
      <c r="F44" s="621"/>
      <c r="G44" s="621"/>
      <c r="H44" s="621"/>
      <c r="I44" s="621"/>
      <c r="J44" s="621"/>
      <c r="K44" s="621"/>
      <c r="L44" s="621"/>
      <c r="M44" s="621"/>
      <c r="N44" s="621"/>
      <c r="O44" s="621"/>
      <c r="P44" s="433"/>
    </row>
    <row r="45" spans="2:16" ht="13.5" customHeight="1">
      <c r="B45" s="621"/>
      <c r="C45" s="621"/>
      <c r="D45" s="621"/>
      <c r="E45" s="621"/>
      <c r="F45" s="621"/>
      <c r="G45" s="621"/>
      <c r="H45" s="621"/>
      <c r="I45" s="621"/>
      <c r="J45" s="621"/>
      <c r="K45" s="621"/>
      <c r="L45" s="621"/>
      <c r="M45" s="621"/>
      <c r="N45" s="621"/>
      <c r="O45" s="621"/>
      <c r="P45" s="433"/>
    </row>
    <row r="46" spans="2:16" ht="13.5" customHeight="1">
      <c r="B46" s="621"/>
      <c r="C46" s="621"/>
      <c r="D46" s="621"/>
      <c r="E46" s="621"/>
      <c r="F46" s="621"/>
      <c r="G46" s="621"/>
      <c r="H46" s="621"/>
      <c r="I46" s="621"/>
      <c r="J46" s="621"/>
      <c r="K46" s="621"/>
      <c r="L46" s="621"/>
      <c r="M46" s="621"/>
      <c r="N46" s="621"/>
      <c r="O46" s="621"/>
      <c r="P46" s="433"/>
    </row>
    <row r="47" spans="2:16" ht="13.5" customHeight="1">
      <c r="B47" s="621"/>
      <c r="C47" s="621"/>
      <c r="D47" s="621"/>
      <c r="E47" s="621"/>
      <c r="F47" s="621"/>
      <c r="G47" s="621"/>
      <c r="H47" s="621"/>
      <c r="I47" s="621"/>
      <c r="J47" s="621"/>
      <c r="K47" s="621"/>
      <c r="L47" s="621"/>
      <c r="M47" s="621"/>
      <c r="N47" s="621"/>
      <c r="O47" s="621"/>
      <c r="P47" s="433"/>
    </row>
    <row r="48" spans="2:16" ht="13.5" customHeight="1">
      <c r="B48" s="621"/>
      <c r="C48" s="621"/>
      <c r="D48" s="621"/>
      <c r="E48" s="621"/>
      <c r="F48" s="621"/>
      <c r="G48" s="621"/>
      <c r="H48" s="621"/>
      <c r="I48" s="621"/>
      <c r="J48" s="621"/>
      <c r="K48" s="621"/>
      <c r="L48" s="621"/>
      <c r="M48" s="621"/>
      <c r="N48" s="621"/>
      <c r="O48" s="621"/>
      <c r="P48" s="433"/>
    </row>
    <row r="49" spans="2:16" ht="13.5" customHeight="1">
      <c r="B49" s="621"/>
      <c r="C49" s="621"/>
      <c r="D49" s="621"/>
      <c r="E49" s="621"/>
      <c r="F49" s="621"/>
      <c r="G49" s="621"/>
      <c r="H49" s="621"/>
      <c r="I49" s="621"/>
      <c r="J49" s="621"/>
      <c r="K49" s="621"/>
      <c r="L49" s="621"/>
      <c r="M49" s="621"/>
      <c r="N49" s="621"/>
      <c r="O49" s="621"/>
      <c r="P49" s="433"/>
    </row>
    <row r="50" spans="2:16" ht="13.5" customHeight="1">
      <c r="B50" s="621"/>
      <c r="C50" s="621"/>
      <c r="D50" s="621"/>
      <c r="E50" s="621"/>
      <c r="F50" s="621"/>
      <c r="G50" s="621"/>
      <c r="H50" s="621"/>
      <c r="I50" s="621"/>
      <c r="J50" s="621"/>
      <c r="K50" s="621"/>
      <c r="L50" s="621"/>
      <c r="M50" s="621"/>
      <c r="N50" s="621"/>
      <c r="O50" s="621"/>
      <c r="P50" s="433"/>
    </row>
    <row r="51" spans="2:16" ht="13.5" customHeight="1">
      <c r="B51" s="621"/>
      <c r="C51" s="621"/>
      <c r="D51" s="621"/>
      <c r="E51" s="621"/>
      <c r="F51" s="621"/>
      <c r="G51" s="621"/>
      <c r="H51" s="621"/>
      <c r="I51" s="621"/>
      <c r="J51" s="621"/>
      <c r="K51" s="621"/>
      <c r="L51" s="621"/>
      <c r="M51" s="621"/>
      <c r="N51" s="621"/>
      <c r="O51" s="621"/>
      <c r="P51" s="433"/>
    </row>
    <row r="52" spans="2:16" ht="13.5" customHeight="1">
      <c r="B52" s="621"/>
      <c r="C52" s="621"/>
      <c r="D52" s="621"/>
      <c r="E52" s="621"/>
      <c r="F52" s="621"/>
      <c r="G52" s="621"/>
      <c r="H52" s="621"/>
      <c r="I52" s="621"/>
      <c r="J52" s="621"/>
      <c r="K52" s="621"/>
      <c r="L52" s="621"/>
      <c r="M52" s="621"/>
      <c r="N52" s="621"/>
      <c r="O52" s="621"/>
      <c r="P52" s="433"/>
    </row>
    <row r="53" spans="2:16" ht="13.5" customHeight="1">
      <c r="B53" s="621"/>
      <c r="C53" s="621"/>
      <c r="D53" s="621"/>
      <c r="E53" s="621"/>
      <c r="F53" s="621"/>
      <c r="G53" s="621"/>
      <c r="H53" s="621"/>
      <c r="I53" s="621"/>
      <c r="J53" s="621"/>
      <c r="K53" s="621"/>
      <c r="L53" s="621"/>
      <c r="M53" s="621"/>
      <c r="N53" s="621"/>
      <c r="O53" s="621"/>
      <c r="P53" s="433"/>
    </row>
    <row r="54" spans="2:16" ht="13.5" customHeight="1">
      <c r="B54" s="621"/>
      <c r="C54" s="621"/>
      <c r="D54" s="621"/>
      <c r="E54" s="621"/>
      <c r="F54" s="621"/>
      <c r="G54" s="621"/>
      <c r="H54" s="621"/>
      <c r="I54" s="621"/>
      <c r="J54" s="621"/>
      <c r="K54" s="621"/>
      <c r="L54" s="621"/>
      <c r="M54" s="621"/>
      <c r="N54" s="621"/>
      <c r="O54" s="621"/>
      <c r="P54" s="433"/>
    </row>
    <row r="55" spans="2:16" ht="13.5" customHeight="1">
      <c r="B55" s="621"/>
      <c r="C55" s="621"/>
      <c r="D55" s="621"/>
      <c r="E55" s="621"/>
      <c r="F55" s="621"/>
      <c r="G55" s="621"/>
      <c r="H55" s="621"/>
      <c r="I55" s="621"/>
      <c r="J55" s="621"/>
      <c r="K55" s="621"/>
      <c r="L55" s="621"/>
      <c r="M55" s="621"/>
      <c r="N55" s="621"/>
      <c r="O55" s="621"/>
      <c r="P55" s="433"/>
    </row>
    <row r="56" spans="2:16" ht="13.5" customHeight="1">
      <c r="B56" s="621"/>
      <c r="C56" s="621"/>
      <c r="D56" s="621"/>
      <c r="E56" s="621"/>
      <c r="F56" s="621"/>
      <c r="G56" s="621"/>
      <c r="H56" s="621"/>
      <c r="I56" s="621"/>
      <c r="J56" s="621"/>
      <c r="K56" s="621"/>
      <c r="L56" s="621"/>
      <c r="M56" s="621"/>
      <c r="N56" s="621"/>
      <c r="O56" s="621"/>
      <c r="P56" s="433"/>
    </row>
    <row r="57" spans="2:16" ht="13.5" customHeight="1">
      <c r="B57" s="621"/>
      <c r="C57" s="621"/>
      <c r="D57" s="621"/>
      <c r="E57" s="621"/>
      <c r="F57" s="621"/>
      <c r="G57" s="621"/>
      <c r="H57" s="621"/>
      <c r="I57" s="621"/>
      <c r="J57" s="621"/>
      <c r="K57" s="621"/>
      <c r="L57" s="621"/>
      <c r="M57" s="621"/>
      <c r="N57" s="621"/>
      <c r="O57" s="621"/>
      <c r="P57" s="433"/>
    </row>
    <row r="58" spans="2:16" ht="13.5" customHeight="1">
      <c r="B58" s="621"/>
      <c r="C58" s="621"/>
      <c r="D58" s="621"/>
      <c r="E58" s="621"/>
      <c r="F58" s="621"/>
      <c r="G58" s="621"/>
      <c r="H58" s="621"/>
      <c r="I58" s="621"/>
      <c r="J58" s="621"/>
      <c r="K58" s="621"/>
      <c r="L58" s="621"/>
      <c r="M58" s="621"/>
      <c r="N58" s="621"/>
      <c r="O58" s="621"/>
      <c r="P58" s="433"/>
    </row>
    <row r="59" spans="2:16" ht="13.5" customHeight="1">
      <c r="B59" s="621"/>
      <c r="C59" s="621"/>
      <c r="D59" s="621"/>
      <c r="E59" s="621"/>
      <c r="F59" s="621"/>
      <c r="G59" s="621"/>
      <c r="H59" s="621"/>
      <c r="I59" s="621"/>
      <c r="J59" s="621"/>
      <c r="K59" s="621"/>
      <c r="L59" s="621"/>
      <c r="M59" s="621"/>
      <c r="N59" s="621"/>
      <c r="O59" s="621"/>
      <c r="P59" s="433"/>
    </row>
    <row r="60" spans="2:16" ht="13.5" customHeight="1">
      <c r="B60" s="621"/>
      <c r="C60" s="621"/>
      <c r="D60" s="621"/>
      <c r="E60" s="621"/>
      <c r="F60" s="621"/>
      <c r="G60" s="621"/>
      <c r="H60" s="621"/>
      <c r="I60" s="621"/>
      <c r="J60" s="621"/>
      <c r="K60" s="621"/>
      <c r="L60" s="621"/>
      <c r="M60" s="621"/>
      <c r="N60" s="621"/>
      <c r="O60" s="621"/>
      <c r="P60" s="433"/>
    </row>
    <row r="61" spans="2:16" ht="13.5" customHeight="1">
      <c r="B61" s="621"/>
      <c r="C61" s="621"/>
      <c r="D61" s="621"/>
      <c r="E61" s="621"/>
      <c r="F61" s="621"/>
      <c r="G61" s="621"/>
      <c r="H61" s="621"/>
      <c r="I61" s="621"/>
      <c r="J61" s="621"/>
      <c r="K61" s="621"/>
      <c r="L61" s="621"/>
      <c r="M61" s="621"/>
      <c r="N61" s="621"/>
      <c r="O61" s="621"/>
      <c r="P61" s="433"/>
    </row>
    <row r="62" spans="2:16" ht="13.5" customHeight="1">
      <c r="B62" s="621"/>
      <c r="C62" s="621"/>
      <c r="D62" s="621"/>
      <c r="E62" s="621"/>
      <c r="F62" s="621"/>
      <c r="G62" s="621"/>
      <c r="H62" s="621"/>
      <c r="I62" s="621"/>
      <c r="J62" s="621"/>
      <c r="K62" s="621"/>
      <c r="L62" s="621"/>
      <c r="M62" s="621"/>
      <c r="N62" s="621"/>
      <c r="O62" s="621"/>
      <c r="P62" s="433"/>
    </row>
    <row r="63" spans="2:16" ht="13.5" customHeight="1">
      <c r="B63" s="621"/>
      <c r="C63" s="621"/>
      <c r="D63" s="621"/>
      <c r="E63" s="621"/>
      <c r="F63" s="621"/>
      <c r="G63" s="621"/>
      <c r="H63" s="621"/>
      <c r="I63" s="621"/>
      <c r="J63" s="621"/>
      <c r="K63" s="621"/>
      <c r="L63" s="621"/>
      <c r="M63" s="621"/>
      <c r="N63" s="621"/>
      <c r="O63" s="621"/>
      <c r="P63" s="433"/>
    </row>
    <row r="64" spans="2:16" ht="13.5" customHeight="1">
      <c r="B64" s="621"/>
      <c r="C64" s="621"/>
      <c r="D64" s="621"/>
      <c r="E64" s="621"/>
      <c r="F64" s="621"/>
      <c r="G64" s="621"/>
      <c r="H64" s="621"/>
      <c r="I64" s="621"/>
      <c r="J64" s="621"/>
      <c r="K64" s="621"/>
      <c r="L64" s="621"/>
      <c r="M64" s="621"/>
      <c r="N64" s="621"/>
      <c r="O64" s="621"/>
      <c r="P64" s="433"/>
    </row>
    <row r="65" spans="2:16" ht="13.5" customHeight="1">
      <c r="B65" s="621"/>
      <c r="C65" s="621"/>
      <c r="D65" s="621"/>
      <c r="E65" s="621"/>
      <c r="F65" s="621"/>
      <c r="G65" s="621"/>
      <c r="H65" s="621"/>
      <c r="I65" s="621"/>
      <c r="J65" s="621"/>
      <c r="K65" s="621"/>
      <c r="L65" s="621"/>
      <c r="M65" s="621"/>
      <c r="N65" s="621"/>
      <c r="O65" s="621"/>
      <c r="P65" s="433"/>
    </row>
    <row r="66" spans="2:16" ht="13.5" customHeight="1">
      <c r="B66" s="621"/>
      <c r="C66" s="621"/>
      <c r="D66" s="621"/>
      <c r="E66" s="621"/>
      <c r="F66" s="621"/>
      <c r="G66" s="621"/>
      <c r="H66" s="621"/>
      <c r="I66" s="621"/>
      <c r="J66" s="621"/>
      <c r="K66" s="621"/>
      <c r="L66" s="621"/>
      <c r="M66" s="621"/>
      <c r="N66" s="621"/>
      <c r="O66" s="621"/>
      <c r="P66" s="433"/>
    </row>
    <row r="67" spans="2:16" ht="13.5" customHeight="1">
      <c r="B67" s="621"/>
      <c r="C67" s="621"/>
      <c r="D67" s="621"/>
      <c r="E67" s="621"/>
      <c r="F67" s="621"/>
      <c r="G67" s="621"/>
      <c r="H67" s="621"/>
      <c r="I67" s="621"/>
      <c r="J67" s="621"/>
      <c r="K67" s="621"/>
      <c r="L67" s="621"/>
      <c r="M67" s="621"/>
      <c r="N67" s="621"/>
      <c r="O67" s="621"/>
      <c r="P67" s="433"/>
    </row>
    <row r="68" spans="2:16" ht="13.5" customHeight="1">
      <c r="B68" s="621"/>
      <c r="C68" s="621"/>
      <c r="D68" s="621"/>
      <c r="E68" s="621"/>
      <c r="F68" s="621"/>
      <c r="G68" s="621"/>
      <c r="H68" s="621"/>
      <c r="I68" s="621"/>
      <c r="J68" s="621"/>
      <c r="K68" s="621"/>
      <c r="L68" s="621"/>
      <c r="M68" s="621"/>
      <c r="N68" s="621"/>
      <c r="O68" s="621"/>
      <c r="P68" s="433"/>
    </row>
    <row r="69" spans="2:16" ht="13.5" customHeight="1">
      <c r="B69" s="621"/>
      <c r="C69" s="621"/>
      <c r="D69" s="621"/>
      <c r="E69" s="621"/>
      <c r="F69" s="621"/>
      <c r="G69" s="621"/>
      <c r="H69" s="621"/>
      <c r="I69" s="621"/>
      <c r="J69" s="621"/>
      <c r="K69" s="621"/>
      <c r="L69" s="621"/>
      <c r="M69" s="621"/>
      <c r="N69" s="621"/>
      <c r="O69" s="621"/>
      <c r="P69" s="433"/>
    </row>
    <row r="70" spans="2:16" ht="13.5" customHeight="1">
      <c r="B70" s="621"/>
      <c r="C70" s="621"/>
      <c r="D70" s="621"/>
      <c r="E70" s="621"/>
      <c r="F70" s="621"/>
      <c r="G70" s="621"/>
      <c r="H70" s="621"/>
      <c r="I70" s="621"/>
      <c r="J70" s="621"/>
      <c r="K70" s="621"/>
      <c r="L70" s="621"/>
      <c r="M70" s="621"/>
      <c r="N70" s="621"/>
      <c r="O70" s="621"/>
      <c r="P70" s="433"/>
    </row>
    <row r="71" spans="2:16" ht="13.5" customHeight="1">
      <c r="B71" s="621"/>
      <c r="C71" s="621"/>
      <c r="D71" s="621"/>
      <c r="E71" s="621"/>
      <c r="F71" s="621"/>
      <c r="G71" s="621"/>
      <c r="H71" s="621"/>
      <c r="I71" s="621"/>
      <c r="J71" s="621"/>
      <c r="K71" s="621"/>
      <c r="L71" s="621"/>
      <c r="M71" s="621"/>
      <c r="N71" s="621"/>
      <c r="O71" s="621"/>
      <c r="P71" s="433"/>
    </row>
    <row r="72" spans="2:16" ht="13.5" customHeight="1">
      <c r="B72" s="621"/>
      <c r="C72" s="621"/>
      <c r="D72" s="621"/>
      <c r="E72" s="621"/>
      <c r="F72" s="621"/>
      <c r="G72" s="621"/>
      <c r="H72" s="621"/>
      <c r="I72" s="621"/>
      <c r="J72" s="621"/>
      <c r="K72" s="621"/>
      <c r="L72" s="621"/>
      <c r="M72" s="621"/>
      <c r="N72" s="621"/>
      <c r="O72" s="621"/>
      <c r="P72" s="433"/>
    </row>
    <row r="73" spans="2:16" ht="13.5" customHeight="1">
      <c r="B73" s="621"/>
      <c r="C73" s="621"/>
      <c r="D73" s="621"/>
      <c r="E73" s="621"/>
      <c r="F73" s="621"/>
      <c r="G73" s="621"/>
      <c r="H73" s="621"/>
      <c r="I73" s="621"/>
      <c r="J73" s="621"/>
      <c r="K73" s="621"/>
      <c r="L73" s="621"/>
      <c r="M73" s="621"/>
      <c r="N73" s="621"/>
      <c r="O73" s="621"/>
      <c r="P73" s="433"/>
    </row>
    <row r="74" spans="2:16" ht="13.5" customHeight="1">
      <c r="B74" s="621"/>
      <c r="C74" s="621"/>
      <c r="D74" s="621"/>
      <c r="E74" s="621"/>
      <c r="F74" s="621"/>
      <c r="G74" s="621"/>
      <c r="H74" s="621"/>
      <c r="I74" s="621"/>
      <c r="J74" s="621"/>
      <c r="K74" s="621"/>
      <c r="L74" s="621"/>
      <c r="M74" s="621"/>
      <c r="N74" s="621"/>
      <c r="O74" s="621"/>
      <c r="P74" s="433"/>
    </row>
    <row r="75" spans="2:16" ht="13.5" customHeight="1">
      <c r="B75" s="621"/>
      <c r="C75" s="621"/>
      <c r="D75" s="621"/>
      <c r="E75" s="621"/>
      <c r="F75" s="621"/>
      <c r="G75" s="621"/>
      <c r="H75" s="621"/>
      <c r="I75" s="621"/>
      <c r="J75" s="621"/>
      <c r="K75" s="621"/>
      <c r="L75" s="621"/>
      <c r="M75" s="621"/>
      <c r="N75" s="621"/>
      <c r="O75" s="621"/>
      <c r="P75" s="433"/>
    </row>
    <row r="76" spans="2:16" ht="13.5" customHeight="1">
      <c r="B76" s="621"/>
      <c r="C76" s="621"/>
      <c r="D76" s="621"/>
      <c r="E76" s="621"/>
      <c r="F76" s="621"/>
      <c r="G76" s="621"/>
      <c r="H76" s="621"/>
      <c r="I76" s="621"/>
      <c r="J76" s="621"/>
      <c r="K76" s="621"/>
      <c r="L76" s="621"/>
      <c r="M76" s="621"/>
      <c r="N76" s="621"/>
      <c r="O76" s="621"/>
      <c r="P76" s="433"/>
    </row>
    <row r="77" spans="2:16" ht="13.5" customHeight="1">
      <c r="B77" s="621"/>
      <c r="C77" s="621"/>
      <c r="D77" s="621"/>
      <c r="E77" s="621"/>
      <c r="F77" s="621"/>
      <c r="G77" s="621"/>
      <c r="H77" s="621"/>
      <c r="I77" s="621"/>
      <c r="J77" s="621"/>
      <c r="K77" s="621"/>
      <c r="L77" s="621"/>
      <c r="M77" s="621"/>
      <c r="N77" s="621"/>
      <c r="O77" s="621"/>
      <c r="P77" s="433"/>
    </row>
    <row r="78" spans="2:16" ht="13.5" customHeight="1">
      <c r="B78" s="621"/>
      <c r="C78" s="621"/>
      <c r="D78" s="621"/>
      <c r="E78" s="621"/>
      <c r="F78" s="621"/>
      <c r="G78" s="621"/>
      <c r="H78" s="621"/>
      <c r="I78" s="621"/>
      <c r="J78" s="621"/>
      <c r="K78" s="621"/>
      <c r="L78" s="621"/>
      <c r="M78" s="621"/>
      <c r="N78" s="621"/>
      <c r="O78" s="621"/>
      <c r="P78" s="433"/>
    </row>
    <row r="79" spans="2:16" ht="13.5" customHeight="1">
      <c r="B79" s="621"/>
      <c r="C79" s="621"/>
      <c r="D79" s="621"/>
      <c r="E79" s="621"/>
      <c r="F79" s="621"/>
      <c r="G79" s="621"/>
      <c r="H79" s="621"/>
      <c r="I79" s="621"/>
      <c r="J79" s="621"/>
      <c r="K79" s="621"/>
      <c r="L79" s="621"/>
      <c r="M79" s="621"/>
      <c r="N79" s="621"/>
      <c r="O79" s="621"/>
      <c r="P79" s="433"/>
    </row>
    <row r="80" spans="2:16" ht="13.5" customHeight="1">
      <c r="B80" s="621"/>
      <c r="C80" s="621"/>
      <c r="D80" s="621"/>
      <c r="E80" s="621"/>
      <c r="F80" s="621"/>
      <c r="G80" s="621"/>
      <c r="H80" s="621"/>
      <c r="I80" s="621"/>
      <c r="J80" s="621"/>
      <c r="K80" s="621"/>
      <c r="L80" s="621"/>
      <c r="M80" s="621"/>
      <c r="N80" s="621"/>
      <c r="O80" s="621"/>
      <c r="P80" s="433"/>
    </row>
    <row r="81" spans="2:16" ht="13.5" customHeight="1">
      <c r="B81" s="621"/>
      <c r="C81" s="621"/>
      <c r="D81" s="621"/>
      <c r="E81" s="621"/>
      <c r="F81" s="621"/>
      <c r="G81" s="621"/>
      <c r="H81" s="621"/>
      <c r="I81" s="621"/>
      <c r="J81" s="621"/>
      <c r="K81" s="621"/>
      <c r="L81" s="621"/>
      <c r="M81" s="621"/>
      <c r="N81" s="621"/>
      <c r="O81" s="621"/>
      <c r="P81" s="433"/>
    </row>
    <row r="82" spans="2:16" ht="13.5" customHeight="1">
      <c r="B82" s="621"/>
      <c r="C82" s="621"/>
      <c r="D82" s="621"/>
      <c r="E82" s="621"/>
      <c r="F82" s="621"/>
      <c r="G82" s="621"/>
      <c r="H82" s="621"/>
      <c r="I82" s="621"/>
      <c r="J82" s="621"/>
      <c r="K82" s="621"/>
      <c r="L82" s="621"/>
      <c r="M82" s="621"/>
      <c r="N82" s="621"/>
      <c r="O82" s="621"/>
      <c r="P82" s="433"/>
    </row>
    <row r="83" spans="2:16" ht="13.5" customHeight="1">
      <c r="B83" s="621"/>
      <c r="C83" s="621"/>
      <c r="D83" s="621"/>
      <c r="E83" s="621"/>
      <c r="F83" s="621"/>
      <c r="G83" s="621"/>
      <c r="H83" s="621"/>
      <c r="I83" s="621"/>
      <c r="J83" s="621"/>
      <c r="K83" s="621"/>
      <c r="L83" s="621"/>
      <c r="M83" s="621"/>
      <c r="N83" s="621"/>
      <c r="O83" s="621"/>
      <c r="P83" s="433"/>
    </row>
    <row r="84" spans="2:16" ht="13.5" customHeight="1">
      <c r="B84" s="621"/>
      <c r="C84" s="621"/>
      <c r="D84" s="621"/>
      <c r="E84" s="621"/>
      <c r="F84" s="621"/>
      <c r="G84" s="621"/>
      <c r="H84" s="621"/>
      <c r="I84" s="621"/>
      <c r="J84" s="621"/>
      <c r="K84" s="621"/>
      <c r="L84" s="621"/>
      <c r="M84" s="621"/>
      <c r="N84" s="621"/>
      <c r="O84" s="621"/>
      <c r="P84" s="433"/>
    </row>
    <row r="85" spans="2:16" ht="13.5" customHeight="1">
      <c r="B85" s="621"/>
      <c r="C85" s="621"/>
      <c r="D85" s="621"/>
      <c r="E85" s="621"/>
      <c r="F85" s="621"/>
      <c r="G85" s="621"/>
      <c r="H85" s="621"/>
      <c r="I85" s="621"/>
      <c r="J85" s="621"/>
      <c r="K85" s="621"/>
      <c r="L85" s="621"/>
      <c r="M85" s="621"/>
      <c r="N85" s="621"/>
      <c r="O85" s="621"/>
      <c r="P85" s="433"/>
    </row>
    <row r="86" spans="2:16" ht="13.5" customHeight="1">
      <c r="B86" s="621"/>
      <c r="C86" s="621"/>
      <c r="D86" s="621"/>
      <c r="E86" s="621"/>
      <c r="F86" s="621"/>
      <c r="G86" s="621"/>
      <c r="H86" s="621"/>
      <c r="I86" s="621"/>
      <c r="J86" s="621"/>
      <c r="K86" s="621"/>
      <c r="L86" s="621"/>
      <c r="M86" s="621"/>
      <c r="N86" s="621"/>
      <c r="O86" s="621"/>
      <c r="P86" s="433"/>
    </row>
    <row r="87" spans="2:16" ht="13.5" customHeight="1">
      <c r="B87" s="621"/>
      <c r="C87" s="621"/>
      <c r="D87" s="621"/>
      <c r="E87" s="621"/>
      <c r="F87" s="621"/>
      <c r="G87" s="621"/>
      <c r="H87" s="621"/>
      <c r="I87" s="621"/>
      <c r="J87" s="621"/>
      <c r="K87" s="621"/>
      <c r="L87" s="621"/>
      <c r="M87" s="621"/>
      <c r="N87" s="621"/>
      <c r="O87" s="621"/>
      <c r="P87" s="433"/>
    </row>
    <row r="88" spans="2:16" ht="13.5" customHeight="1">
      <c r="B88" s="621"/>
      <c r="C88" s="621"/>
      <c r="D88" s="621"/>
      <c r="E88" s="621"/>
      <c r="F88" s="621"/>
      <c r="G88" s="621"/>
      <c r="H88" s="621"/>
      <c r="I88" s="621"/>
      <c r="J88" s="621"/>
      <c r="K88" s="621"/>
      <c r="L88" s="621"/>
      <c r="M88" s="621"/>
      <c r="N88" s="621"/>
      <c r="O88" s="621"/>
      <c r="P88" s="433"/>
    </row>
    <row r="89" spans="2:16" ht="13.5" customHeight="1">
      <c r="B89" s="621"/>
      <c r="C89" s="621"/>
      <c r="D89" s="621"/>
      <c r="E89" s="621"/>
      <c r="F89" s="621"/>
      <c r="G89" s="621"/>
      <c r="H89" s="621"/>
      <c r="I89" s="621"/>
      <c r="J89" s="621"/>
      <c r="K89" s="621"/>
      <c r="L89" s="621"/>
      <c r="M89" s="621"/>
      <c r="N89" s="621"/>
      <c r="O89" s="621"/>
      <c r="P89" s="433"/>
    </row>
    <row r="90" spans="2:16" ht="13.5" customHeight="1">
      <c r="B90" s="621"/>
      <c r="C90" s="621"/>
      <c r="D90" s="621"/>
      <c r="E90" s="621"/>
      <c r="F90" s="621"/>
      <c r="G90" s="621"/>
      <c r="H90" s="621"/>
      <c r="I90" s="621"/>
      <c r="J90" s="621"/>
      <c r="K90" s="621"/>
      <c r="L90" s="621"/>
      <c r="M90" s="621"/>
      <c r="N90" s="621"/>
      <c r="O90" s="621"/>
      <c r="P90" s="433"/>
    </row>
    <row r="91" spans="2:16" ht="13.5" customHeight="1">
      <c r="B91" s="621"/>
      <c r="C91" s="621"/>
      <c r="D91" s="621"/>
      <c r="E91" s="621"/>
      <c r="F91" s="621"/>
      <c r="G91" s="621"/>
      <c r="H91" s="621"/>
      <c r="I91" s="621"/>
      <c r="J91" s="621"/>
      <c r="K91" s="621"/>
      <c r="L91" s="621"/>
      <c r="M91" s="621"/>
      <c r="N91" s="621"/>
      <c r="O91" s="621"/>
      <c r="P91" s="433"/>
    </row>
    <row r="92" spans="2:16" ht="13.5" customHeight="1">
      <c r="B92" s="621"/>
      <c r="C92" s="621"/>
      <c r="D92" s="621"/>
      <c r="E92" s="621"/>
      <c r="F92" s="621"/>
      <c r="G92" s="621"/>
      <c r="H92" s="621"/>
      <c r="I92" s="621"/>
      <c r="J92" s="621"/>
      <c r="K92" s="621"/>
      <c r="L92" s="621"/>
      <c r="M92" s="621"/>
      <c r="N92" s="621"/>
      <c r="O92" s="621"/>
      <c r="P92" s="433"/>
    </row>
    <row r="93" spans="2:16" ht="13.5" customHeight="1">
      <c r="B93" s="621"/>
      <c r="C93" s="621"/>
      <c r="D93" s="621"/>
      <c r="E93" s="621"/>
      <c r="F93" s="621"/>
      <c r="G93" s="621"/>
      <c r="H93" s="621"/>
      <c r="I93" s="621"/>
      <c r="J93" s="621"/>
      <c r="K93" s="621"/>
      <c r="L93" s="621"/>
      <c r="M93" s="621"/>
      <c r="N93" s="621"/>
      <c r="O93" s="621"/>
      <c r="P93" s="433"/>
    </row>
    <row r="94" spans="2:16" ht="13.5" customHeight="1">
      <c r="B94" s="621"/>
      <c r="C94" s="621"/>
      <c r="D94" s="621"/>
      <c r="E94" s="621"/>
      <c r="F94" s="621"/>
      <c r="G94" s="621"/>
      <c r="H94" s="621"/>
      <c r="I94" s="621"/>
      <c r="J94" s="621"/>
      <c r="K94" s="621"/>
      <c r="L94" s="621"/>
      <c r="M94" s="621"/>
      <c r="N94" s="621"/>
      <c r="O94" s="621"/>
      <c r="P94" s="433"/>
    </row>
    <row r="95" spans="2:16" ht="13.5" customHeight="1">
      <c r="B95" s="621"/>
      <c r="C95" s="621"/>
      <c r="D95" s="621"/>
      <c r="E95" s="621"/>
      <c r="F95" s="621"/>
      <c r="G95" s="621"/>
      <c r="H95" s="621"/>
      <c r="I95" s="621"/>
      <c r="J95" s="621"/>
      <c r="K95" s="621"/>
      <c r="L95" s="621"/>
      <c r="M95" s="621"/>
      <c r="N95" s="621"/>
      <c r="O95" s="621"/>
      <c r="P95" s="433"/>
    </row>
    <row r="96" spans="2:16" ht="13.5" customHeight="1">
      <c r="B96" s="621"/>
      <c r="C96" s="621"/>
      <c r="D96" s="621"/>
      <c r="E96" s="621"/>
      <c r="F96" s="621"/>
      <c r="G96" s="621"/>
      <c r="H96" s="621"/>
      <c r="I96" s="621"/>
      <c r="J96" s="621"/>
      <c r="K96" s="621"/>
      <c r="L96" s="621"/>
      <c r="M96" s="621"/>
      <c r="N96" s="621"/>
      <c r="O96" s="621"/>
      <c r="P96" s="433"/>
    </row>
    <row r="97" spans="2:16" ht="13.5" customHeight="1">
      <c r="B97" s="621"/>
      <c r="C97" s="621"/>
      <c r="D97" s="621"/>
      <c r="E97" s="621"/>
      <c r="F97" s="621"/>
      <c r="G97" s="621"/>
      <c r="H97" s="621"/>
      <c r="I97" s="621"/>
      <c r="J97" s="621"/>
      <c r="K97" s="621"/>
      <c r="L97" s="621"/>
      <c r="M97" s="621"/>
      <c r="N97" s="621"/>
      <c r="O97" s="621"/>
      <c r="P97" s="433"/>
    </row>
    <row r="98" spans="2:16" ht="13.5" customHeight="1">
      <c r="B98" s="621"/>
      <c r="C98" s="621"/>
      <c r="D98" s="621"/>
      <c r="E98" s="621"/>
      <c r="F98" s="621"/>
      <c r="G98" s="621"/>
      <c r="H98" s="621"/>
      <c r="I98" s="621"/>
      <c r="J98" s="621"/>
      <c r="K98" s="621"/>
      <c r="L98" s="621"/>
      <c r="M98" s="621"/>
      <c r="N98" s="621"/>
      <c r="O98" s="621"/>
      <c r="P98" s="433"/>
    </row>
    <row r="99" spans="2:16" ht="13.5" customHeight="1">
      <c r="B99" s="621"/>
      <c r="C99" s="621"/>
      <c r="D99" s="621"/>
      <c r="E99" s="621"/>
      <c r="F99" s="621"/>
      <c r="G99" s="621"/>
      <c r="H99" s="621"/>
      <c r="I99" s="621"/>
      <c r="J99" s="621"/>
      <c r="K99" s="621"/>
      <c r="L99" s="621"/>
      <c r="M99" s="621"/>
      <c r="N99" s="621"/>
      <c r="O99" s="621"/>
      <c r="P99" s="433"/>
    </row>
    <row r="100" spans="2:16" ht="13.5" customHeight="1">
      <c r="B100" s="621"/>
      <c r="C100" s="621"/>
      <c r="D100" s="621"/>
      <c r="E100" s="621"/>
      <c r="F100" s="621"/>
      <c r="G100" s="621"/>
      <c r="H100" s="621"/>
      <c r="I100" s="621"/>
      <c r="J100" s="621"/>
      <c r="K100" s="621"/>
      <c r="L100" s="621"/>
      <c r="M100" s="621"/>
      <c r="N100" s="621"/>
      <c r="O100" s="621"/>
      <c r="P100" s="433"/>
    </row>
    <row r="101" spans="2:16" ht="13.5" customHeight="1">
      <c r="B101" s="621"/>
      <c r="C101" s="621"/>
      <c r="D101" s="621"/>
      <c r="E101" s="621"/>
      <c r="F101" s="621"/>
      <c r="G101" s="621"/>
      <c r="H101" s="621"/>
      <c r="I101" s="621"/>
      <c r="J101" s="621"/>
      <c r="K101" s="621"/>
      <c r="L101" s="621"/>
      <c r="M101" s="621"/>
      <c r="N101" s="621"/>
      <c r="O101" s="621"/>
      <c r="P101" s="433"/>
    </row>
    <row r="102" spans="2:16" ht="13.5" customHeight="1">
      <c r="B102" s="621"/>
      <c r="C102" s="621"/>
      <c r="D102" s="621"/>
      <c r="E102" s="621"/>
      <c r="F102" s="621"/>
      <c r="G102" s="621"/>
      <c r="H102" s="621"/>
      <c r="I102" s="621"/>
      <c r="J102" s="621"/>
      <c r="K102" s="621"/>
      <c r="L102" s="621"/>
      <c r="M102" s="621"/>
      <c r="N102" s="621"/>
      <c r="O102" s="621"/>
      <c r="P102" s="433"/>
    </row>
    <row r="103" spans="2:16" ht="13.5" customHeight="1">
      <c r="B103" s="621"/>
      <c r="C103" s="621"/>
      <c r="D103" s="621"/>
      <c r="E103" s="621"/>
      <c r="F103" s="621"/>
      <c r="G103" s="621"/>
      <c r="H103" s="621"/>
      <c r="I103" s="621"/>
      <c r="J103" s="621"/>
      <c r="K103" s="621"/>
      <c r="L103" s="621"/>
      <c r="M103" s="621"/>
      <c r="N103" s="621"/>
      <c r="O103" s="621"/>
      <c r="P103" s="433"/>
    </row>
    <row r="104" spans="2:16" ht="13.5" customHeight="1">
      <c r="B104" s="621"/>
      <c r="C104" s="621"/>
      <c r="D104" s="621"/>
      <c r="E104" s="621"/>
      <c r="F104" s="621"/>
      <c r="G104" s="621"/>
      <c r="H104" s="621"/>
      <c r="I104" s="621"/>
      <c r="J104" s="621"/>
      <c r="K104" s="621"/>
      <c r="L104" s="621"/>
      <c r="M104" s="621"/>
      <c r="N104" s="621"/>
      <c r="O104" s="621"/>
      <c r="P104" s="433"/>
    </row>
    <row r="105" spans="2:16" ht="13.5" customHeight="1">
      <c r="B105" s="621"/>
      <c r="C105" s="621"/>
      <c r="D105" s="621"/>
      <c r="E105" s="621"/>
      <c r="F105" s="621"/>
      <c r="G105" s="621"/>
      <c r="H105" s="621"/>
      <c r="I105" s="621"/>
      <c r="J105" s="621"/>
      <c r="K105" s="621"/>
      <c r="L105" s="621"/>
      <c r="M105" s="621"/>
      <c r="N105" s="621"/>
      <c r="O105" s="621"/>
      <c r="P105" s="433"/>
    </row>
    <row r="106" spans="2:16" ht="13.5" customHeight="1">
      <c r="B106" s="621"/>
      <c r="C106" s="621"/>
      <c r="D106" s="621"/>
      <c r="E106" s="621"/>
      <c r="F106" s="621"/>
      <c r="G106" s="621"/>
      <c r="H106" s="621"/>
      <c r="I106" s="621"/>
      <c r="J106" s="621"/>
      <c r="K106" s="621"/>
      <c r="L106" s="621"/>
      <c r="M106" s="621"/>
      <c r="N106" s="621"/>
      <c r="O106" s="621"/>
      <c r="P106" s="433"/>
    </row>
    <row r="107" spans="2:16" ht="13.5" customHeight="1">
      <c r="B107" s="621"/>
      <c r="C107" s="621"/>
      <c r="D107" s="621"/>
      <c r="E107" s="621"/>
      <c r="F107" s="621"/>
      <c r="G107" s="621"/>
      <c r="H107" s="621"/>
      <c r="I107" s="621"/>
      <c r="J107" s="621"/>
      <c r="K107" s="621"/>
      <c r="L107" s="621"/>
      <c r="M107" s="621"/>
      <c r="N107" s="621"/>
      <c r="O107" s="621"/>
      <c r="P107" s="433"/>
    </row>
    <row r="108" spans="2:16" ht="13.5" customHeight="1">
      <c r="B108" s="621"/>
      <c r="C108" s="621"/>
      <c r="D108" s="621"/>
      <c r="E108" s="621"/>
      <c r="F108" s="621"/>
      <c r="G108" s="621"/>
      <c r="H108" s="621"/>
      <c r="I108" s="621"/>
      <c r="J108" s="621"/>
      <c r="K108" s="621"/>
      <c r="L108" s="621"/>
      <c r="M108" s="621"/>
      <c r="N108" s="621"/>
      <c r="O108" s="621"/>
      <c r="P108" s="433"/>
    </row>
    <row r="109" spans="2:16" ht="13.5" customHeight="1">
      <c r="B109" s="621"/>
      <c r="C109" s="621"/>
      <c r="D109" s="621"/>
      <c r="E109" s="621"/>
      <c r="F109" s="621"/>
      <c r="G109" s="621"/>
      <c r="H109" s="621"/>
      <c r="I109" s="621"/>
      <c r="J109" s="621"/>
      <c r="K109" s="621"/>
      <c r="L109" s="621"/>
      <c r="M109" s="621"/>
      <c r="N109" s="621"/>
      <c r="O109" s="621"/>
      <c r="P109" s="433"/>
    </row>
    <row r="110" spans="2:16" ht="13.5" customHeight="1">
      <c r="B110" s="621"/>
      <c r="C110" s="621"/>
      <c r="D110" s="621"/>
      <c r="E110" s="621"/>
      <c r="F110" s="621"/>
      <c r="G110" s="621"/>
      <c r="H110" s="621"/>
      <c r="I110" s="621"/>
      <c r="J110" s="621"/>
      <c r="K110" s="621"/>
      <c r="L110" s="621"/>
      <c r="M110" s="621"/>
      <c r="N110" s="621"/>
      <c r="O110" s="621"/>
      <c r="P110" s="433"/>
    </row>
    <row r="111" spans="2:16" ht="13.5" customHeight="1">
      <c r="B111" s="621"/>
      <c r="C111" s="621"/>
      <c r="D111" s="621"/>
      <c r="E111" s="621"/>
      <c r="F111" s="621"/>
      <c r="G111" s="621"/>
      <c r="H111" s="621"/>
      <c r="I111" s="621"/>
      <c r="J111" s="621"/>
      <c r="K111" s="621"/>
      <c r="L111" s="621"/>
      <c r="M111" s="621"/>
      <c r="N111" s="621"/>
      <c r="O111" s="621"/>
      <c r="P111" s="433"/>
    </row>
    <row r="112" spans="2:16" ht="13.5" customHeight="1">
      <c r="B112" s="621"/>
      <c r="C112" s="621"/>
      <c r="D112" s="621"/>
      <c r="E112" s="621"/>
      <c r="F112" s="621"/>
      <c r="G112" s="621"/>
      <c r="H112" s="621"/>
      <c r="I112" s="621"/>
      <c r="J112" s="621"/>
      <c r="K112" s="621"/>
      <c r="L112" s="621"/>
      <c r="M112" s="621"/>
      <c r="N112" s="621"/>
      <c r="O112" s="621"/>
      <c r="P112" s="433"/>
    </row>
    <row r="113" spans="2:16" ht="13.5" customHeight="1">
      <c r="B113" s="621"/>
      <c r="C113" s="621"/>
      <c r="D113" s="621"/>
      <c r="E113" s="621"/>
      <c r="F113" s="621"/>
      <c r="G113" s="621"/>
      <c r="H113" s="621"/>
      <c r="I113" s="621"/>
      <c r="J113" s="621"/>
      <c r="K113" s="621"/>
      <c r="L113" s="621"/>
      <c r="M113" s="621"/>
      <c r="N113" s="621"/>
      <c r="O113" s="621"/>
      <c r="P113" s="433"/>
    </row>
    <row r="114" spans="2:16" ht="13.5" customHeight="1">
      <c r="B114" s="621"/>
      <c r="C114" s="621"/>
      <c r="D114" s="621"/>
      <c r="E114" s="621"/>
      <c r="F114" s="621"/>
      <c r="G114" s="621"/>
      <c r="H114" s="621"/>
      <c r="I114" s="621"/>
      <c r="J114" s="621"/>
      <c r="K114" s="621"/>
      <c r="L114" s="621"/>
      <c r="M114" s="621"/>
      <c r="N114" s="621"/>
      <c r="O114" s="621"/>
      <c r="P114" s="433"/>
    </row>
    <row r="115" spans="2:16" ht="13.5" customHeight="1">
      <c r="B115" s="621"/>
      <c r="C115" s="621"/>
      <c r="D115" s="621"/>
      <c r="E115" s="621"/>
      <c r="F115" s="621"/>
      <c r="G115" s="621"/>
      <c r="H115" s="621"/>
      <c r="I115" s="621"/>
      <c r="J115" s="621"/>
      <c r="K115" s="621"/>
      <c r="L115" s="621"/>
      <c r="M115" s="621"/>
      <c r="N115" s="621"/>
      <c r="O115" s="621"/>
      <c r="P115" s="433"/>
    </row>
    <row r="116" spans="2:16" ht="13.5" customHeight="1">
      <c r="B116" s="621"/>
      <c r="C116" s="621"/>
      <c r="D116" s="621"/>
      <c r="E116" s="621"/>
      <c r="F116" s="621"/>
      <c r="G116" s="621"/>
      <c r="H116" s="621"/>
      <c r="I116" s="621"/>
      <c r="J116" s="621"/>
      <c r="K116" s="621"/>
      <c r="L116" s="621"/>
      <c r="M116" s="621"/>
      <c r="N116" s="621"/>
      <c r="O116" s="621"/>
      <c r="P116" s="433"/>
    </row>
    <row r="117" spans="2:16" ht="13.5" customHeight="1">
      <c r="B117" s="621"/>
      <c r="C117" s="621"/>
      <c r="D117" s="621"/>
      <c r="E117" s="621"/>
      <c r="F117" s="621"/>
      <c r="G117" s="621"/>
      <c r="H117" s="621"/>
      <c r="I117" s="621"/>
      <c r="J117" s="621"/>
      <c r="K117" s="621"/>
      <c r="L117" s="621"/>
      <c r="M117" s="621"/>
      <c r="N117" s="621"/>
      <c r="O117" s="621"/>
      <c r="P117" s="433"/>
    </row>
    <row r="118" spans="2:16" ht="13.5" customHeight="1">
      <c r="B118" s="621"/>
      <c r="C118" s="621"/>
      <c r="D118" s="621"/>
      <c r="E118" s="621"/>
      <c r="F118" s="621"/>
      <c r="G118" s="621"/>
      <c r="H118" s="621"/>
      <c r="I118" s="621"/>
      <c r="J118" s="621"/>
      <c r="K118" s="621"/>
      <c r="L118" s="621"/>
      <c r="M118" s="621"/>
      <c r="N118" s="621"/>
      <c r="O118" s="621"/>
      <c r="P118" s="433"/>
    </row>
    <row r="119" spans="2:16" ht="13.5" customHeight="1">
      <c r="B119" s="621"/>
      <c r="C119" s="621"/>
      <c r="D119" s="621"/>
      <c r="E119" s="621"/>
      <c r="F119" s="621"/>
      <c r="G119" s="621"/>
      <c r="H119" s="621"/>
      <c r="I119" s="621"/>
      <c r="J119" s="621"/>
      <c r="K119" s="621"/>
      <c r="L119" s="621"/>
      <c r="M119" s="621"/>
      <c r="N119" s="621"/>
      <c r="O119" s="621"/>
      <c r="P119" s="433"/>
    </row>
    <row r="120" spans="2:16" ht="13.5" customHeight="1">
      <c r="B120" s="621"/>
      <c r="C120" s="621"/>
      <c r="D120" s="621"/>
      <c r="E120" s="621"/>
      <c r="F120" s="621"/>
      <c r="G120" s="621"/>
      <c r="H120" s="621"/>
      <c r="I120" s="621"/>
      <c r="J120" s="621"/>
      <c r="K120" s="621"/>
      <c r="L120" s="621"/>
      <c r="M120" s="621"/>
      <c r="N120" s="621"/>
      <c r="O120" s="621"/>
      <c r="P120" s="433"/>
    </row>
    <row r="121" spans="2:16" ht="13.5" customHeight="1">
      <c r="B121" s="621"/>
      <c r="C121" s="621"/>
      <c r="D121" s="621"/>
      <c r="E121" s="621"/>
      <c r="F121" s="621"/>
      <c r="G121" s="621"/>
      <c r="H121" s="621"/>
      <c r="I121" s="621"/>
      <c r="J121" s="621"/>
      <c r="K121" s="621"/>
      <c r="L121" s="621"/>
      <c r="M121" s="621"/>
      <c r="N121" s="621"/>
      <c r="O121" s="621"/>
      <c r="P121" s="433"/>
    </row>
    <row r="122" spans="2:16" ht="13.5" customHeight="1">
      <c r="B122" s="621"/>
      <c r="C122" s="621"/>
      <c r="D122" s="621"/>
      <c r="E122" s="621"/>
      <c r="F122" s="621"/>
      <c r="G122" s="621"/>
      <c r="H122" s="621"/>
      <c r="I122" s="621"/>
      <c r="J122" s="621"/>
      <c r="K122" s="621"/>
      <c r="L122" s="621"/>
      <c r="M122" s="621"/>
      <c r="N122" s="621"/>
      <c r="O122" s="621"/>
      <c r="P122" s="433"/>
    </row>
    <row r="123" spans="2:16" ht="13.5" customHeight="1">
      <c r="B123" s="621"/>
      <c r="C123" s="621"/>
      <c r="D123" s="621"/>
      <c r="E123" s="621"/>
      <c r="F123" s="621"/>
      <c r="G123" s="621"/>
      <c r="H123" s="621"/>
      <c r="I123" s="621"/>
      <c r="J123" s="621"/>
      <c r="K123" s="621"/>
      <c r="L123" s="621"/>
      <c r="M123" s="621"/>
      <c r="N123" s="621"/>
      <c r="O123" s="621"/>
      <c r="P123" s="433"/>
    </row>
    <row r="124" spans="2:16" ht="13.5" customHeight="1">
      <c r="B124" s="621"/>
      <c r="C124" s="621"/>
      <c r="D124" s="621"/>
      <c r="E124" s="621"/>
      <c r="F124" s="621"/>
      <c r="G124" s="621"/>
      <c r="H124" s="621"/>
      <c r="I124" s="621"/>
      <c r="J124" s="621"/>
      <c r="K124" s="621"/>
      <c r="L124" s="621"/>
      <c r="M124" s="621"/>
      <c r="N124" s="621"/>
      <c r="O124" s="621"/>
      <c r="P124" s="433"/>
    </row>
    <row r="125" spans="2:16" ht="13.5" customHeight="1">
      <c r="B125" s="621"/>
      <c r="C125" s="621"/>
      <c r="D125" s="621"/>
      <c r="E125" s="621"/>
      <c r="F125" s="621"/>
      <c r="G125" s="621"/>
      <c r="H125" s="621"/>
      <c r="I125" s="621"/>
      <c r="J125" s="621"/>
      <c r="K125" s="621"/>
      <c r="L125" s="621"/>
      <c r="M125" s="621"/>
      <c r="N125" s="621"/>
      <c r="O125" s="621"/>
      <c r="P125" s="433"/>
    </row>
    <row r="126" spans="2:16" ht="13.5" customHeight="1">
      <c r="B126" s="621"/>
      <c r="C126" s="621"/>
      <c r="D126" s="621"/>
      <c r="E126" s="621"/>
      <c r="F126" s="621"/>
      <c r="G126" s="621"/>
      <c r="H126" s="621"/>
      <c r="I126" s="621"/>
      <c r="J126" s="621"/>
      <c r="K126" s="621"/>
      <c r="L126" s="621"/>
      <c r="M126" s="621"/>
      <c r="N126" s="621"/>
      <c r="O126" s="621"/>
      <c r="P126" s="433"/>
    </row>
    <row r="127" spans="2:16" ht="13.5" customHeight="1">
      <c r="B127" s="621"/>
      <c r="C127" s="621"/>
      <c r="D127" s="621"/>
      <c r="E127" s="621"/>
      <c r="F127" s="621"/>
      <c r="G127" s="621"/>
      <c r="H127" s="621"/>
      <c r="I127" s="621"/>
      <c r="J127" s="621"/>
      <c r="K127" s="621"/>
      <c r="L127" s="621"/>
      <c r="M127" s="621"/>
      <c r="N127" s="621"/>
      <c r="O127" s="621"/>
      <c r="P127" s="433"/>
    </row>
    <row r="128" spans="2:16" ht="13.5" customHeight="1">
      <c r="B128" s="621"/>
      <c r="C128" s="621"/>
      <c r="D128" s="621"/>
      <c r="E128" s="621"/>
      <c r="F128" s="621"/>
      <c r="G128" s="621"/>
      <c r="H128" s="621"/>
      <c r="I128" s="621"/>
      <c r="J128" s="621"/>
      <c r="K128" s="621"/>
      <c r="L128" s="621"/>
      <c r="M128" s="621"/>
      <c r="N128" s="621"/>
      <c r="O128" s="621"/>
      <c r="P128" s="433"/>
    </row>
    <row r="129" spans="2:16" ht="13.5" customHeight="1">
      <c r="B129" s="621"/>
      <c r="C129" s="621"/>
      <c r="D129" s="621"/>
      <c r="E129" s="621"/>
      <c r="F129" s="621"/>
      <c r="G129" s="621"/>
      <c r="H129" s="621"/>
      <c r="I129" s="621"/>
      <c r="J129" s="621"/>
      <c r="K129" s="621"/>
      <c r="L129" s="621"/>
      <c r="M129" s="621"/>
      <c r="N129" s="621"/>
      <c r="O129" s="621"/>
      <c r="P129" s="433"/>
    </row>
    <row r="130" spans="2:16" ht="13.5" customHeight="1">
      <c r="B130" s="621"/>
      <c r="C130" s="621"/>
      <c r="D130" s="621"/>
      <c r="E130" s="621"/>
      <c r="F130" s="621"/>
      <c r="G130" s="621"/>
      <c r="H130" s="621"/>
      <c r="I130" s="621"/>
      <c r="J130" s="621"/>
      <c r="K130" s="621"/>
      <c r="L130" s="621"/>
      <c r="M130" s="621"/>
      <c r="N130" s="621"/>
      <c r="O130" s="621"/>
      <c r="P130" s="433"/>
    </row>
    <row r="131" spans="2:16" ht="13.5" customHeight="1">
      <c r="B131" s="621"/>
      <c r="C131" s="621"/>
      <c r="D131" s="621"/>
      <c r="E131" s="621"/>
      <c r="F131" s="621"/>
      <c r="G131" s="621"/>
      <c r="H131" s="621"/>
      <c r="I131" s="621"/>
      <c r="J131" s="621"/>
      <c r="K131" s="621"/>
      <c r="L131" s="621"/>
      <c r="M131" s="621"/>
      <c r="N131" s="621"/>
      <c r="O131" s="621"/>
      <c r="P131" s="433"/>
    </row>
    <row r="132" spans="2:16" ht="13.5" customHeight="1">
      <c r="B132" s="621"/>
      <c r="C132" s="621"/>
      <c r="D132" s="621"/>
      <c r="E132" s="621"/>
      <c r="F132" s="621"/>
      <c r="G132" s="621"/>
      <c r="H132" s="621"/>
      <c r="I132" s="621"/>
      <c r="J132" s="621"/>
      <c r="K132" s="621"/>
      <c r="L132" s="621"/>
      <c r="M132" s="621"/>
      <c r="N132" s="621"/>
      <c r="O132" s="621"/>
      <c r="P132" s="433"/>
    </row>
    <row r="133" spans="2:16" ht="13.5" customHeight="1">
      <c r="B133" s="621"/>
      <c r="C133" s="621"/>
      <c r="D133" s="621"/>
      <c r="E133" s="621"/>
      <c r="F133" s="621"/>
      <c r="G133" s="621"/>
      <c r="H133" s="621"/>
      <c r="I133" s="621"/>
      <c r="J133" s="621"/>
      <c r="K133" s="621"/>
      <c r="L133" s="621"/>
      <c r="M133" s="621"/>
      <c r="N133" s="621"/>
      <c r="O133" s="621"/>
      <c r="P133" s="433"/>
    </row>
    <row r="134" spans="2:16" ht="13.5" customHeight="1">
      <c r="B134" s="621"/>
      <c r="C134" s="621"/>
      <c r="D134" s="621"/>
      <c r="E134" s="621"/>
      <c r="F134" s="621"/>
      <c r="G134" s="621"/>
      <c r="H134" s="621"/>
      <c r="I134" s="621"/>
      <c r="J134" s="621"/>
      <c r="K134" s="621"/>
      <c r="L134" s="621"/>
      <c r="M134" s="621"/>
      <c r="N134" s="621"/>
      <c r="O134" s="621"/>
      <c r="P134" s="433"/>
    </row>
    <row r="135" spans="2:16" ht="13.5" customHeight="1">
      <c r="B135" s="621"/>
      <c r="C135" s="621"/>
      <c r="D135" s="621"/>
      <c r="E135" s="621"/>
      <c r="F135" s="621"/>
      <c r="G135" s="621"/>
      <c r="H135" s="621"/>
      <c r="I135" s="621"/>
      <c r="J135" s="621"/>
      <c r="K135" s="621"/>
      <c r="L135" s="621"/>
      <c r="M135" s="621"/>
      <c r="N135" s="621"/>
      <c r="O135" s="621"/>
      <c r="P135" s="433"/>
    </row>
    <row r="136" spans="2:16" ht="13.5" customHeight="1">
      <c r="B136" s="621"/>
      <c r="C136" s="621"/>
      <c r="D136" s="621"/>
      <c r="E136" s="621"/>
      <c r="F136" s="621"/>
      <c r="G136" s="621"/>
      <c r="H136" s="621"/>
      <c r="I136" s="621"/>
      <c r="J136" s="621"/>
      <c r="K136" s="621"/>
      <c r="L136" s="621"/>
      <c r="M136" s="621"/>
      <c r="N136" s="621"/>
      <c r="O136" s="621"/>
      <c r="P136" s="433"/>
    </row>
    <row r="137" spans="2:16" ht="13.5" customHeight="1">
      <c r="B137" s="621"/>
      <c r="C137" s="621"/>
      <c r="D137" s="621"/>
      <c r="E137" s="621"/>
      <c r="F137" s="621"/>
      <c r="G137" s="621"/>
      <c r="H137" s="621"/>
      <c r="I137" s="621"/>
      <c r="J137" s="621"/>
      <c r="K137" s="621"/>
      <c r="L137" s="621"/>
      <c r="M137" s="621"/>
      <c r="N137" s="621"/>
      <c r="O137" s="621"/>
      <c r="P137" s="433"/>
    </row>
    <row r="138" spans="2:16" ht="13.5" customHeight="1">
      <c r="B138" s="621"/>
      <c r="C138" s="621"/>
      <c r="D138" s="621"/>
      <c r="E138" s="621"/>
      <c r="F138" s="621"/>
      <c r="G138" s="621"/>
      <c r="H138" s="621"/>
      <c r="I138" s="621"/>
      <c r="J138" s="621"/>
      <c r="K138" s="621"/>
      <c r="L138" s="621"/>
      <c r="M138" s="621"/>
      <c r="N138" s="621"/>
      <c r="O138" s="621"/>
      <c r="P138" s="433"/>
    </row>
    <row r="139" spans="2:16" ht="13.5" customHeight="1">
      <c r="B139" s="621"/>
      <c r="C139" s="621"/>
      <c r="D139" s="621"/>
      <c r="E139" s="621"/>
      <c r="F139" s="621"/>
      <c r="G139" s="621"/>
      <c r="H139" s="621"/>
      <c r="I139" s="621"/>
      <c r="J139" s="621"/>
      <c r="K139" s="621"/>
      <c r="L139" s="621"/>
      <c r="M139" s="621"/>
      <c r="N139" s="621"/>
      <c r="O139" s="621"/>
      <c r="P139" s="433"/>
    </row>
    <row r="140" spans="2:16" ht="13.5" customHeight="1">
      <c r="B140" s="621"/>
      <c r="C140" s="621"/>
      <c r="D140" s="621"/>
      <c r="E140" s="621"/>
      <c r="F140" s="621"/>
      <c r="G140" s="621"/>
      <c r="H140" s="621"/>
      <c r="I140" s="621"/>
      <c r="J140" s="621"/>
      <c r="K140" s="621"/>
      <c r="L140" s="621"/>
      <c r="M140" s="621"/>
      <c r="N140" s="621"/>
      <c r="O140" s="621"/>
      <c r="P140" s="433"/>
    </row>
    <row r="141" spans="2:16" ht="13.5" customHeight="1">
      <c r="B141" s="621"/>
      <c r="C141" s="621"/>
      <c r="D141" s="621"/>
      <c r="E141" s="621"/>
      <c r="F141" s="621"/>
      <c r="G141" s="621"/>
      <c r="H141" s="621"/>
      <c r="I141" s="621"/>
      <c r="J141" s="621"/>
      <c r="K141" s="621"/>
      <c r="L141" s="621"/>
      <c r="M141" s="621"/>
      <c r="N141" s="621"/>
      <c r="O141" s="621"/>
      <c r="P141" s="433"/>
    </row>
    <row r="142" spans="2:16" ht="13.5" customHeight="1">
      <c r="B142" s="621"/>
      <c r="C142" s="621"/>
      <c r="D142" s="621"/>
      <c r="E142" s="621"/>
      <c r="F142" s="621"/>
      <c r="G142" s="621"/>
      <c r="H142" s="621"/>
      <c r="I142" s="621"/>
      <c r="J142" s="621"/>
      <c r="K142" s="621"/>
      <c r="L142" s="621"/>
      <c r="M142" s="621"/>
      <c r="N142" s="621"/>
      <c r="O142" s="621"/>
      <c r="P142" s="433"/>
    </row>
    <row r="143" spans="2:16" ht="13.5" customHeight="1">
      <c r="B143" s="621"/>
      <c r="C143" s="621"/>
      <c r="D143" s="621"/>
      <c r="E143" s="621"/>
      <c r="F143" s="621"/>
      <c r="G143" s="621"/>
      <c r="H143" s="621"/>
      <c r="I143" s="621"/>
      <c r="J143" s="621"/>
      <c r="K143" s="621"/>
      <c r="L143" s="621"/>
      <c r="M143" s="621"/>
      <c r="N143" s="621"/>
      <c r="O143" s="621"/>
      <c r="P143" s="433"/>
    </row>
    <row r="144" spans="2:16" ht="13.5" customHeight="1">
      <c r="B144" s="621"/>
      <c r="C144" s="621"/>
      <c r="D144" s="621"/>
      <c r="E144" s="621"/>
      <c r="F144" s="621"/>
      <c r="G144" s="621"/>
      <c r="H144" s="621"/>
      <c r="I144" s="621"/>
      <c r="J144" s="621"/>
      <c r="K144" s="621"/>
      <c r="L144" s="621"/>
      <c r="M144" s="621"/>
      <c r="N144" s="621"/>
      <c r="O144" s="621"/>
      <c r="P144" s="433"/>
    </row>
    <row r="145" spans="2:16" ht="13.5" customHeight="1">
      <c r="B145" s="621"/>
      <c r="C145" s="621"/>
      <c r="D145" s="621"/>
      <c r="E145" s="621"/>
      <c r="F145" s="621"/>
      <c r="G145" s="621"/>
      <c r="H145" s="621"/>
      <c r="I145" s="621"/>
      <c r="J145" s="621"/>
      <c r="K145" s="621"/>
      <c r="L145" s="621"/>
      <c r="M145" s="621"/>
      <c r="N145" s="621"/>
      <c r="O145" s="621"/>
      <c r="P145" s="433"/>
    </row>
    <row r="146" spans="2:16" ht="13.5" customHeight="1">
      <c r="B146" s="621"/>
      <c r="C146" s="621"/>
      <c r="D146" s="621"/>
      <c r="E146" s="621"/>
      <c r="F146" s="621"/>
      <c r="G146" s="621"/>
      <c r="H146" s="621"/>
      <c r="I146" s="621"/>
      <c r="J146" s="621"/>
      <c r="K146" s="621"/>
      <c r="L146" s="621"/>
      <c r="M146" s="621"/>
      <c r="N146" s="621"/>
      <c r="O146" s="621"/>
      <c r="P146" s="433"/>
    </row>
    <row r="147" spans="2:16" ht="13.5" customHeight="1">
      <c r="B147" s="621"/>
      <c r="C147" s="621"/>
      <c r="D147" s="621"/>
      <c r="E147" s="621"/>
      <c r="F147" s="621"/>
      <c r="G147" s="621"/>
      <c r="H147" s="621"/>
      <c r="I147" s="621"/>
      <c r="J147" s="621"/>
      <c r="K147" s="621"/>
      <c r="L147" s="621"/>
      <c r="M147" s="621"/>
      <c r="N147" s="621"/>
      <c r="O147" s="621"/>
      <c r="P147" s="433"/>
    </row>
    <row r="148" spans="2:16" ht="13.5" customHeight="1">
      <c r="B148" s="621"/>
      <c r="C148" s="621"/>
      <c r="D148" s="621"/>
      <c r="E148" s="621"/>
      <c r="F148" s="621"/>
      <c r="G148" s="621"/>
      <c r="H148" s="621"/>
      <c r="I148" s="621"/>
      <c r="J148" s="621"/>
      <c r="K148" s="621"/>
      <c r="L148" s="621"/>
      <c r="M148" s="621"/>
      <c r="N148" s="621"/>
      <c r="O148" s="621"/>
      <c r="P148" s="433"/>
    </row>
    <row r="149" spans="2:16" ht="13.5" customHeight="1">
      <c r="B149" s="621"/>
      <c r="C149" s="621"/>
      <c r="D149" s="621"/>
      <c r="E149" s="621"/>
      <c r="F149" s="621"/>
      <c r="G149" s="621"/>
      <c r="H149" s="621"/>
      <c r="I149" s="621"/>
      <c r="J149" s="621"/>
      <c r="K149" s="621"/>
      <c r="L149" s="621"/>
      <c r="M149" s="621"/>
      <c r="N149" s="621"/>
      <c r="O149" s="621"/>
      <c r="P149" s="433"/>
    </row>
    <row r="150" spans="2:16" ht="13.5" customHeight="1">
      <c r="B150" s="621"/>
      <c r="C150" s="621"/>
      <c r="D150" s="621"/>
      <c r="E150" s="621"/>
      <c r="F150" s="621"/>
      <c r="G150" s="621"/>
      <c r="H150" s="621"/>
      <c r="I150" s="621"/>
      <c r="J150" s="621"/>
      <c r="K150" s="621"/>
      <c r="L150" s="621"/>
      <c r="M150" s="621"/>
      <c r="N150" s="621"/>
      <c r="O150" s="621"/>
      <c r="P150" s="433"/>
    </row>
    <row r="151" spans="2:16" ht="13.5" customHeight="1">
      <c r="B151" s="621"/>
      <c r="C151" s="621"/>
      <c r="D151" s="621"/>
      <c r="E151" s="621"/>
      <c r="F151" s="621"/>
      <c r="G151" s="621"/>
      <c r="H151" s="621"/>
      <c r="I151" s="621"/>
      <c r="J151" s="621"/>
      <c r="K151" s="621"/>
      <c r="L151" s="621"/>
      <c r="M151" s="621"/>
      <c r="N151" s="621"/>
      <c r="O151" s="621"/>
      <c r="P151" s="433"/>
    </row>
    <row r="152" spans="2:16" ht="13.5" customHeight="1">
      <c r="B152" s="621"/>
      <c r="C152" s="621"/>
      <c r="D152" s="621"/>
      <c r="E152" s="621"/>
      <c r="F152" s="621"/>
      <c r="G152" s="621"/>
      <c r="H152" s="621"/>
      <c r="I152" s="621"/>
      <c r="J152" s="621"/>
      <c r="K152" s="621"/>
      <c r="L152" s="621"/>
      <c r="M152" s="621"/>
      <c r="N152" s="621"/>
      <c r="O152" s="621"/>
      <c r="P152" s="433"/>
    </row>
    <row r="153" spans="2:16" ht="13.5" customHeight="1">
      <c r="B153" s="621"/>
      <c r="C153" s="621"/>
      <c r="D153" s="621"/>
      <c r="E153" s="621"/>
      <c r="F153" s="621"/>
      <c r="G153" s="621"/>
      <c r="H153" s="621"/>
      <c r="I153" s="621"/>
      <c r="J153" s="621"/>
      <c r="K153" s="621"/>
      <c r="L153" s="621"/>
      <c r="M153" s="621"/>
      <c r="N153" s="621"/>
      <c r="O153" s="621"/>
      <c r="P153" s="433"/>
    </row>
    <row r="154" spans="2:16" ht="13.5" customHeight="1">
      <c r="B154" s="621"/>
      <c r="C154" s="621"/>
      <c r="D154" s="621"/>
      <c r="E154" s="621"/>
      <c r="F154" s="621"/>
      <c r="G154" s="621"/>
      <c r="H154" s="621"/>
      <c r="I154" s="621"/>
      <c r="J154" s="621"/>
      <c r="K154" s="621"/>
      <c r="L154" s="621"/>
      <c r="M154" s="621"/>
      <c r="N154" s="621"/>
      <c r="O154" s="621"/>
      <c r="P154" s="433"/>
    </row>
    <row r="155" spans="2:16" ht="13.5" customHeight="1">
      <c r="B155" s="621"/>
      <c r="C155" s="621"/>
      <c r="D155" s="621"/>
      <c r="E155" s="621"/>
      <c r="F155" s="621"/>
      <c r="G155" s="621"/>
      <c r="H155" s="621"/>
      <c r="I155" s="621"/>
      <c r="J155" s="621"/>
      <c r="K155" s="621"/>
      <c r="L155" s="621"/>
      <c r="M155" s="621"/>
      <c r="N155" s="621"/>
      <c r="O155" s="621"/>
      <c r="P155" s="433"/>
    </row>
    <row r="156" spans="2:16" ht="13.5" customHeight="1">
      <c r="B156" s="621"/>
      <c r="C156" s="621"/>
      <c r="D156" s="621"/>
      <c r="E156" s="621"/>
      <c r="F156" s="621"/>
      <c r="G156" s="621"/>
      <c r="H156" s="621"/>
      <c r="I156" s="621"/>
      <c r="J156" s="621"/>
      <c r="K156" s="621"/>
      <c r="L156" s="621"/>
      <c r="M156" s="621"/>
      <c r="N156" s="621"/>
      <c r="O156" s="621"/>
      <c r="P156" s="433"/>
    </row>
    <row r="157" spans="2:16" ht="13.5" customHeight="1">
      <c r="B157" s="621"/>
      <c r="C157" s="621"/>
      <c r="D157" s="621"/>
      <c r="E157" s="621"/>
      <c r="F157" s="621"/>
      <c r="G157" s="621"/>
      <c r="H157" s="621"/>
      <c r="I157" s="621"/>
      <c r="J157" s="621"/>
      <c r="K157" s="621"/>
      <c r="L157" s="621"/>
      <c r="M157" s="621"/>
      <c r="N157" s="621"/>
      <c r="O157" s="621"/>
      <c r="P157" s="433"/>
    </row>
    <row r="158" spans="2:16" ht="13.5" customHeight="1">
      <c r="B158" s="621"/>
      <c r="C158" s="621"/>
      <c r="D158" s="621"/>
      <c r="E158" s="621"/>
      <c r="F158" s="621"/>
      <c r="G158" s="621"/>
      <c r="H158" s="621"/>
      <c r="I158" s="621"/>
      <c r="J158" s="621"/>
      <c r="K158" s="621"/>
      <c r="L158" s="621"/>
      <c r="M158" s="621"/>
      <c r="N158" s="621"/>
      <c r="O158" s="621"/>
      <c r="P158" s="433"/>
    </row>
    <row r="159" spans="2:16" ht="13.5" customHeight="1">
      <c r="B159" s="621"/>
      <c r="C159" s="621"/>
      <c r="D159" s="621"/>
      <c r="E159" s="621"/>
      <c r="F159" s="621"/>
      <c r="G159" s="621"/>
      <c r="H159" s="621"/>
      <c r="I159" s="621"/>
      <c r="J159" s="621"/>
      <c r="K159" s="621"/>
      <c r="L159" s="621"/>
      <c r="M159" s="621"/>
      <c r="N159" s="621"/>
      <c r="O159" s="621"/>
      <c r="P159" s="433"/>
    </row>
    <row r="160" spans="2:16" ht="13.5" customHeight="1">
      <c r="B160" s="621"/>
      <c r="C160" s="621"/>
      <c r="D160" s="621"/>
      <c r="E160" s="621"/>
      <c r="F160" s="621"/>
      <c r="G160" s="621"/>
      <c r="H160" s="621"/>
      <c r="I160" s="621"/>
      <c r="J160" s="621"/>
      <c r="K160" s="621"/>
      <c r="L160" s="621"/>
      <c r="M160" s="621"/>
      <c r="N160" s="621"/>
      <c r="O160" s="621"/>
      <c r="P160" s="433"/>
    </row>
    <row r="161" spans="2:16" ht="13.5" customHeight="1">
      <c r="B161" s="621"/>
      <c r="C161" s="621"/>
      <c r="D161" s="621"/>
      <c r="E161" s="621"/>
      <c r="F161" s="621"/>
      <c r="G161" s="621"/>
      <c r="H161" s="621"/>
      <c r="I161" s="621"/>
      <c r="J161" s="621"/>
      <c r="K161" s="621"/>
      <c r="L161" s="621"/>
      <c r="M161" s="621"/>
      <c r="N161" s="621"/>
      <c r="O161" s="621"/>
      <c r="P161" s="433"/>
    </row>
    <row r="162" spans="2:16" ht="13.5" customHeight="1">
      <c r="B162" s="621"/>
      <c r="C162" s="621"/>
      <c r="D162" s="621"/>
      <c r="E162" s="621"/>
      <c r="F162" s="621"/>
      <c r="G162" s="621"/>
      <c r="H162" s="621"/>
      <c r="I162" s="621"/>
      <c r="J162" s="621"/>
      <c r="K162" s="621"/>
      <c r="L162" s="621"/>
      <c r="M162" s="621"/>
      <c r="N162" s="621"/>
      <c r="O162" s="621"/>
      <c r="P162" s="433"/>
    </row>
    <row r="163" spans="2:16" ht="13.5" customHeight="1">
      <c r="B163" s="621"/>
      <c r="C163" s="621"/>
      <c r="D163" s="621"/>
      <c r="E163" s="621"/>
      <c r="F163" s="621"/>
      <c r="G163" s="621"/>
      <c r="H163" s="621"/>
      <c r="I163" s="621"/>
      <c r="J163" s="621"/>
      <c r="K163" s="621"/>
      <c r="L163" s="621"/>
      <c r="M163" s="621"/>
      <c r="N163" s="621"/>
      <c r="O163" s="621"/>
      <c r="P163" s="433"/>
    </row>
    <row r="164" spans="2:16" ht="13.5" customHeight="1">
      <c r="B164" s="621"/>
      <c r="C164" s="621"/>
      <c r="D164" s="621"/>
      <c r="E164" s="621"/>
      <c r="F164" s="621"/>
      <c r="G164" s="621"/>
      <c r="H164" s="621"/>
      <c r="I164" s="621"/>
      <c r="J164" s="621"/>
      <c r="K164" s="621"/>
      <c r="L164" s="621"/>
      <c r="M164" s="621"/>
      <c r="N164" s="621"/>
      <c r="O164" s="621"/>
      <c r="P164" s="433"/>
    </row>
    <row r="165" spans="2:16" ht="13.5" customHeight="1">
      <c r="B165" s="621"/>
      <c r="C165" s="621"/>
      <c r="D165" s="621"/>
      <c r="E165" s="621"/>
      <c r="F165" s="621"/>
      <c r="G165" s="621"/>
      <c r="H165" s="621"/>
      <c r="I165" s="621"/>
      <c r="J165" s="621"/>
      <c r="K165" s="621"/>
      <c r="L165" s="621"/>
      <c r="M165" s="621"/>
      <c r="N165" s="621"/>
      <c r="O165" s="621"/>
      <c r="P165" s="433"/>
    </row>
    <row r="166" spans="2:16" ht="13.5" customHeight="1">
      <c r="B166" s="621"/>
      <c r="C166" s="621"/>
      <c r="D166" s="621"/>
      <c r="E166" s="621"/>
      <c r="F166" s="621"/>
      <c r="G166" s="621"/>
      <c r="H166" s="621"/>
      <c r="I166" s="621"/>
      <c r="J166" s="621"/>
      <c r="K166" s="621"/>
      <c r="L166" s="621"/>
      <c r="M166" s="621"/>
      <c r="N166" s="621"/>
      <c r="O166" s="621"/>
      <c r="P166" s="433"/>
    </row>
    <row r="167" spans="2:16" ht="13.5" customHeight="1">
      <c r="B167" s="621"/>
      <c r="C167" s="621"/>
      <c r="D167" s="621"/>
      <c r="E167" s="621"/>
      <c r="F167" s="621"/>
      <c r="G167" s="621"/>
      <c r="H167" s="621"/>
      <c r="I167" s="621"/>
      <c r="J167" s="621"/>
      <c r="K167" s="621"/>
      <c r="L167" s="621"/>
      <c r="M167" s="621"/>
      <c r="N167" s="621"/>
      <c r="O167" s="621"/>
      <c r="P167" s="433"/>
    </row>
    <row r="168" spans="2:16" ht="13.5" customHeight="1">
      <c r="B168" s="621"/>
      <c r="C168" s="621"/>
      <c r="D168" s="621"/>
      <c r="E168" s="621"/>
      <c r="F168" s="621"/>
      <c r="G168" s="621"/>
      <c r="H168" s="621"/>
      <c r="I168" s="621"/>
      <c r="J168" s="621"/>
      <c r="K168" s="621"/>
      <c r="L168" s="621"/>
      <c r="M168" s="621"/>
      <c r="N168" s="621"/>
      <c r="O168" s="621"/>
      <c r="P168" s="433"/>
    </row>
    <row r="169" spans="2:16" ht="13.5" customHeight="1">
      <c r="B169" s="621"/>
      <c r="C169" s="621"/>
      <c r="D169" s="621"/>
      <c r="E169" s="621"/>
      <c r="F169" s="621"/>
      <c r="G169" s="621"/>
      <c r="H169" s="621"/>
      <c r="I169" s="621"/>
      <c r="J169" s="621"/>
      <c r="K169" s="621"/>
      <c r="L169" s="621"/>
      <c r="M169" s="621"/>
      <c r="N169" s="621"/>
      <c r="O169" s="621"/>
      <c r="P169" s="433"/>
    </row>
    <row r="170" spans="2:16" ht="13.5" customHeight="1">
      <c r="B170" s="621"/>
      <c r="C170" s="621"/>
      <c r="D170" s="621"/>
      <c r="E170" s="621"/>
      <c r="F170" s="621"/>
      <c r="G170" s="621"/>
      <c r="H170" s="621"/>
      <c r="I170" s="621"/>
      <c r="J170" s="621"/>
      <c r="K170" s="621"/>
      <c r="L170" s="621"/>
      <c r="M170" s="621"/>
      <c r="N170" s="621"/>
      <c r="O170" s="621"/>
      <c r="P170" s="433"/>
    </row>
    <row r="171" spans="2:16" ht="13.5" customHeight="1">
      <c r="B171" s="621"/>
      <c r="C171" s="621"/>
      <c r="D171" s="621"/>
      <c r="E171" s="621"/>
      <c r="F171" s="621"/>
      <c r="G171" s="621"/>
      <c r="H171" s="621"/>
      <c r="I171" s="621"/>
      <c r="J171" s="621"/>
      <c r="K171" s="621"/>
      <c r="L171" s="621"/>
      <c r="M171" s="621"/>
      <c r="N171" s="621"/>
      <c r="O171" s="621"/>
      <c r="P171" s="433"/>
    </row>
    <row r="172" spans="2:16" ht="13.5" customHeight="1">
      <c r="B172" s="621"/>
      <c r="C172" s="621"/>
      <c r="D172" s="621"/>
      <c r="E172" s="621"/>
      <c r="F172" s="621"/>
      <c r="G172" s="621"/>
      <c r="H172" s="621"/>
      <c r="I172" s="621"/>
      <c r="J172" s="621"/>
      <c r="K172" s="621"/>
      <c r="L172" s="621"/>
      <c r="M172" s="621"/>
      <c r="N172" s="621"/>
      <c r="O172" s="621"/>
      <c r="P172" s="433"/>
    </row>
    <row r="173" spans="2:16" ht="13.5" customHeight="1">
      <c r="B173" s="621"/>
      <c r="C173" s="621"/>
      <c r="D173" s="621"/>
      <c r="E173" s="621"/>
      <c r="F173" s="621"/>
      <c r="G173" s="621"/>
      <c r="H173" s="621"/>
      <c r="I173" s="621"/>
      <c r="J173" s="621"/>
      <c r="K173" s="621"/>
      <c r="L173" s="621"/>
      <c r="M173" s="621"/>
      <c r="N173" s="621"/>
      <c r="O173" s="621"/>
      <c r="P173" s="433"/>
    </row>
    <row r="174" spans="2:16" ht="13.5" customHeight="1">
      <c r="B174" s="621"/>
      <c r="C174" s="621"/>
      <c r="D174" s="621"/>
      <c r="E174" s="621"/>
      <c r="F174" s="621"/>
      <c r="G174" s="621"/>
      <c r="H174" s="621"/>
      <c r="I174" s="621"/>
      <c r="J174" s="621"/>
      <c r="K174" s="621"/>
      <c r="L174" s="621"/>
      <c r="M174" s="621"/>
      <c r="N174" s="621"/>
      <c r="O174" s="621"/>
      <c r="P174" s="433"/>
    </row>
    <row r="175" spans="2:16" ht="13.5" customHeight="1">
      <c r="B175" s="621"/>
      <c r="C175" s="621"/>
      <c r="D175" s="621"/>
      <c r="E175" s="621"/>
      <c r="F175" s="621"/>
      <c r="G175" s="621"/>
      <c r="H175" s="621"/>
      <c r="I175" s="621"/>
      <c r="J175" s="621"/>
      <c r="K175" s="621"/>
      <c r="L175" s="621"/>
      <c r="M175" s="621"/>
      <c r="N175" s="621"/>
      <c r="O175" s="621"/>
      <c r="P175" s="433"/>
    </row>
    <row r="176" spans="2:16" ht="13.5" customHeight="1">
      <c r="B176" s="621"/>
      <c r="C176" s="621"/>
      <c r="D176" s="621"/>
      <c r="E176" s="621"/>
      <c r="F176" s="621"/>
      <c r="G176" s="621"/>
      <c r="H176" s="621"/>
      <c r="I176" s="621"/>
      <c r="J176" s="621"/>
      <c r="K176" s="621"/>
      <c r="L176" s="621"/>
      <c r="M176" s="621"/>
      <c r="N176" s="621"/>
      <c r="O176" s="621"/>
      <c r="P176" s="433"/>
    </row>
    <row r="177" spans="2:16" ht="13.5" customHeight="1">
      <c r="B177" s="621"/>
      <c r="C177" s="621"/>
      <c r="D177" s="621"/>
      <c r="E177" s="621"/>
      <c r="F177" s="621"/>
      <c r="G177" s="621"/>
      <c r="H177" s="621"/>
      <c r="I177" s="621"/>
      <c r="J177" s="621"/>
      <c r="K177" s="621"/>
      <c r="L177" s="621"/>
      <c r="M177" s="621"/>
      <c r="N177" s="621"/>
      <c r="O177" s="621"/>
      <c r="P177" s="433"/>
    </row>
    <row r="178" spans="2:16" ht="13.5" customHeight="1">
      <c r="B178" s="621"/>
      <c r="C178" s="621"/>
      <c r="D178" s="621"/>
      <c r="E178" s="621"/>
      <c r="F178" s="621"/>
      <c r="G178" s="621"/>
      <c r="H178" s="621"/>
      <c r="I178" s="621"/>
      <c r="J178" s="621"/>
      <c r="K178" s="621"/>
      <c r="L178" s="621"/>
      <c r="M178" s="621"/>
      <c r="N178" s="621"/>
      <c r="O178" s="621"/>
      <c r="P178" s="433"/>
    </row>
    <row r="179" spans="2:16" ht="13.5" customHeight="1">
      <c r="B179" s="621"/>
      <c r="C179" s="621"/>
      <c r="D179" s="621"/>
      <c r="E179" s="621"/>
      <c r="F179" s="621"/>
      <c r="G179" s="621"/>
      <c r="H179" s="621"/>
      <c r="I179" s="621"/>
      <c r="J179" s="621"/>
      <c r="K179" s="621"/>
      <c r="L179" s="621"/>
      <c r="M179" s="621"/>
      <c r="N179" s="621"/>
      <c r="O179" s="621"/>
      <c r="P179" s="433"/>
    </row>
    <row r="180" spans="2:16" ht="13.5" customHeight="1">
      <c r="B180" s="621"/>
      <c r="C180" s="621"/>
      <c r="D180" s="621"/>
      <c r="E180" s="621"/>
      <c r="F180" s="621"/>
      <c r="G180" s="621"/>
      <c r="H180" s="621"/>
      <c r="I180" s="621"/>
      <c r="J180" s="621"/>
      <c r="K180" s="621"/>
      <c r="L180" s="621"/>
      <c r="M180" s="621"/>
      <c r="N180" s="621"/>
      <c r="O180" s="621"/>
      <c r="P180" s="433"/>
    </row>
    <row r="181" spans="2:16" ht="13.5" customHeight="1">
      <c r="B181" s="621"/>
      <c r="C181" s="621"/>
      <c r="D181" s="621"/>
      <c r="E181" s="621"/>
      <c r="F181" s="621"/>
      <c r="G181" s="621"/>
      <c r="H181" s="621"/>
      <c r="I181" s="621"/>
      <c r="J181" s="621"/>
      <c r="K181" s="621"/>
      <c r="L181" s="621"/>
      <c r="M181" s="621"/>
      <c r="N181" s="621"/>
      <c r="O181" s="621"/>
      <c r="P181" s="433"/>
    </row>
    <row r="182" spans="2:16" ht="13.5" customHeight="1">
      <c r="B182" s="621"/>
      <c r="C182" s="621"/>
      <c r="D182" s="621"/>
      <c r="E182" s="621"/>
      <c r="F182" s="621"/>
      <c r="G182" s="621"/>
      <c r="H182" s="621"/>
      <c r="I182" s="621"/>
      <c r="J182" s="621"/>
      <c r="K182" s="621"/>
      <c r="L182" s="621"/>
      <c r="M182" s="621"/>
      <c r="N182" s="621"/>
      <c r="O182" s="621"/>
      <c r="P182" s="433"/>
    </row>
    <row r="183" spans="2:16" ht="13.5" customHeight="1">
      <c r="B183" s="621"/>
      <c r="C183" s="621"/>
      <c r="D183" s="621"/>
      <c r="E183" s="621"/>
      <c r="F183" s="621"/>
      <c r="G183" s="621"/>
      <c r="H183" s="621"/>
      <c r="I183" s="621"/>
      <c r="J183" s="621"/>
      <c r="K183" s="621"/>
      <c r="L183" s="621"/>
      <c r="M183" s="621"/>
      <c r="N183" s="621"/>
      <c r="O183" s="621"/>
      <c r="P183" s="433"/>
    </row>
    <row r="184" spans="2:16" ht="13.5" customHeight="1">
      <c r="B184" s="621"/>
      <c r="C184" s="621"/>
      <c r="D184" s="621"/>
      <c r="E184" s="621"/>
      <c r="F184" s="621"/>
      <c r="G184" s="621"/>
      <c r="H184" s="621"/>
      <c r="I184" s="621"/>
      <c r="J184" s="621"/>
      <c r="K184" s="621"/>
      <c r="L184" s="621"/>
      <c r="M184" s="621"/>
      <c r="N184" s="621"/>
      <c r="O184" s="621"/>
      <c r="P184" s="433"/>
    </row>
    <row r="185" spans="2:16" ht="13.5" customHeight="1">
      <c r="B185" s="621"/>
      <c r="C185" s="621"/>
      <c r="D185" s="621"/>
      <c r="E185" s="621"/>
      <c r="F185" s="621"/>
      <c r="G185" s="621"/>
      <c r="H185" s="621"/>
      <c r="I185" s="621"/>
      <c r="J185" s="621"/>
      <c r="K185" s="621"/>
      <c r="L185" s="621"/>
      <c r="M185" s="621"/>
      <c r="N185" s="621"/>
      <c r="O185" s="621"/>
      <c r="P185" s="433"/>
    </row>
    <row r="186" spans="2:16" ht="13.5" customHeight="1">
      <c r="B186" s="621"/>
      <c r="C186" s="621"/>
      <c r="D186" s="621"/>
      <c r="E186" s="621"/>
      <c r="F186" s="621"/>
      <c r="G186" s="621"/>
      <c r="H186" s="621"/>
      <c r="I186" s="621"/>
      <c r="J186" s="621"/>
      <c r="K186" s="621"/>
      <c r="L186" s="621"/>
      <c r="M186" s="621"/>
      <c r="N186" s="621"/>
      <c r="O186" s="621"/>
      <c r="P186" s="433"/>
    </row>
    <row r="187" spans="2:16" ht="13.5" customHeight="1">
      <c r="B187" s="621"/>
      <c r="C187" s="621"/>
      <c r="D187" s="621"/>
      <c r="E187" s="621"/>
      <c r="F187" s="621"/>
      <c r="G187" s="621"/>
      <c r="H187" s="621"/>
      <c r="I187" s="621"/>
      <c r="J187" s="621"/>
      <c r="K187" s="621"/>
      <c r="L187" s="621"/>
      <c r="M187" s="621"/>
      <c r="N187" s="621"/>
      <c r="O187" s="621"/>
      <c r="P187" s="433"/>
    </row>
    <row r="188" spans="2:16" ht="13.5" customHeight="1">
      <c r="B188" s="621"/>
      <c r="C188" s="621"/>
      <c r="D188" s="621"/>
      <c r="E188" s="621"/>
      <c r="F188" s="621"/>
      <c r="G188" s="621"/>
      <c r="H188" s="621"/>
      <c r="I188" s="621"/>
      <c r="J188" s="621"/>
      <c r="K188" s="621"/>
      <c r="L188" s="621"/>
      <c r="M188" s="621"/>
      <c r="N188" s="621"/>
      <c r="O188" s="621"/>
      <c r="P188" s="433"/>
    </row>
    <row r="189" spans="2:16" ht="13.5" customHeight="1">
      <c r="B189" s="621"/>
      <c r="C189" s="621"/>
      <c r="D189" s="621"/>
      <c r="E189" s="621"/>
      <c r="F189" s="621"/>
      <c r="G189" s="621"/>
      <c r="H189" s="621"/>
      <c r="I189" s="621"/>
      <c r="J189" s="621"/>
      <c r="K189" s="621"/>
      <c r="L189" s="621"/>
      <c r="M189" s="621"/>
      <c r="N189" s="621"/>
      <c r="O189" s="621"/>
      <c r="P189" s="433"/>
    </row>
    <row r="190" spans="2:16" ht="13.5" customHeight="1">
      <c r="B190" s="621"/>
      <c r="C190" s="621"/>
      <c r="D190" s="621"/>
      <c r="E190" s="621"/>
      <c r="F190" s="621"/>
      <c r="G190" s="621"/>
      <c r="H190" s="621"/>
      <c r="I190" s="621"/>
      <c r="J190" s="621"/>
      <c r="K190" s="621"/>
      <c r="L190" s="621"/>
      <c r="M190" s="621"/>
      <c r="N190" s="621"/>
      <c r="O190" s="621"/>
      <c r="P190" s="433"/>
    </row>
    <row r="191" spans="2:16" ht="13.5" customHeight="1">
      <c r="B191" s="621"/>
      <c r="C191" s="621"/>
      <c r="D191" s="621"/>
      <c r="E191" s="621"/>
      <c r="F191" s="621"/>
      <c r="G191" s="621"/>
      <c r="H191" s="621"/>
      <c r="I191" s="621"/>
      <c r="J191" s="621"/>
      <c r="K191" s="621"/>
      <c r="L191" s="621"/>
      <c r="M191" s="621"/>
      <c r="N191" s="621"/>
      <c r="O191" s="621"/>
      <c r="P191" s="433"/>
    </row>
    <row r="192" spans="2:16" ht="13.5" customHeight="1">
      <c r="B192" s="621"/>
      <c r="C192" s="621"/>
      <c r="D192" s="621"/>
      <c r="E192" s="621"/>
      <c r="F192" s="621"/>
      <c r="G192" s="621"/>
      <c r="H192" s="621"/>
      <c r="I192" s="621"/>
      <c r="J192" s="621"/>
      <c r="K192" s="621"/>
      <c r="L192" s="621"/>
      <c r="M192" s="621"/>
      <c r="N192" s="621"/>
      <c r="O192" s="621"/>
      <c r="P192" s="433"/>
    </row>
    <row r="193" spans="2:16" ht="13.5" customHeight="1">
      <c r="B193" s="621"/>
      <c r="C193" s="621"/>
      <c r="D193" s="621"/>
      <c r="E193" s="621"/>
      <c r="F193" s="621"/>
      <c r="G193" s="621"/>
      <c r="H193" s="621"/>
      <c r="I193" s="621"/>
      <c r="J193" s="621"/>
      <c r="K193" s="621"/>
      <c r="L193" s="621"/>
      <c r="M193" s="621"/>
      <c r="N193" s="621"/>
      <c r="O193" s="621"/>
      <c r="P193" s="433"/>
    </row>
    <row r="194" spans="2:16" ht="13.5" customHeight="1">
      <c r="B194" s="621"/>
      <c r="C194" s="621"/>
      <c r="D194" s="621"/>
      <c r="E194" s="621"/>
      <c r="F194" s="621"/>
      <c r="G194" s="621"/>
      <c r="H194" s="621"/>
      <c r="I194" s="621"/>
      <c r="J194" s="621"/>
      <c r="K194" s="621"/>
      <c r="L194" s="621"/>
      <c r="M194" s="621"/>
      <c r="N194" s="621"/>
      <c r="O194" s="621"/>
      <c r="P194" s="433"/>
    </row>
    <row r="195" spans="2:16" ht="13.5" customHeight="1">
      <c r="B195" s="621"/>
      <c r="C195" s="621"/>
      <c r="D195" s="621"/>
      <c r="E195" s="621"/>
      <c r="F195" s="621"/>
      <c r="G195" s="621"/>
      <c r="H195" s="621"/>
      <c r="I195" s="621"/>
      <c r="J195" s="621"/>
      <c r="K195" s="621"/>
      <c r="L195" s="621"/>
      <c r="M195" s="621"/>
      <c r="N195" s="621"/>
      <c r="O195" s="621"/>
      <c r="P195" s="433"/>
    </row>
    <row r="196" spans="2:16" ht="13.5" customHeight="1">
      <c r="B196" s="621"/>
      <c r="C196" s="621"/>
      <c r="D196" s="621"/>
      <c r="E196" s="621"/>
      <c r="F196" s="621"/>
      <c r="G196" s="621"/>
      <c r="H196" s="621"/>
      <c r="I196" s="621"/>
      <c r="J196" s="621"/>
      <c r="K196" s="621"/>
      <c r="L196" s="621"/>
      <c r="M196" s="621"/>
      <c r="N196" s="621"/>
      <c r="O196" s="621"/>
      <c r="P196" s="433"/>
    </row>
    <row r="197" spans="2:16" ht="13.5" customHeight="1">
      <c r="B197" s="621"/>
      <c r="C197" s="621"/>
      <c r="D197" s="621"/>
      <c r="E197" s="621"/>
      <c r="F197" s="621"/>
      <c r="G197" s="621"/>
      <c r="H197" s="621"/>
      <c r="I197" s="621"/>
      <c r="J197" s="621"/>
      <c r="K197" s="621"/>
      <c r="L197" s="621"/>
      <c r="M197" s="621"/>
      <c r="N197" s="621"/>
      <c r="O197" s="621"/>
      <c r="P197" s="433"/>
    </row>
    <row r="198" spans="2:16" ht="13.5" customHeight="1">
      <c r="B198" s="621"/>
      <c r="C198" s="621"/>
      <c r="D198" s="621"/>
      <c r="E198" s="621"/>
      <c r="F198" s="621"/>
      <c r="G198" s="621"/>
      <c r="H198" s="621"/>
      <c r="I198" s="621"/>
      <c r="J198" s="621"/>
      <c r="K198" s="621"/>
      <c r="L198" s="621"/>
      <c r="M198" s="621"/>
      <c r="N198" s="621"/>
      <c r="O198" s="621"/>
      <c r="P198" s="433"/>
    </row>
    <row r="199" spans="2:16" ht="13.5" customHeight="1">
      <c r="B199" s="621"/>
      <c r="C199" s="621"/>
      <c r="D199" s="621"/>
      <c r="E199" s="621"/>
      <c r="F199" s="621"/>
      <c r="G199" s="621"/>
      <c r="H199" s="621"/>
      <c r="I199" s="621"/>
      <c r="J199" s="621"/>
      <c r="K199" s="621"/>
      <c r="L199" s="621"/>
      <c r="M199" s="621"/>
      <c r="N199" s="621"/>
      <c r="O199" s="621"/>
      <c r="P199" s="433"/>
    </row>
    <row r="200" spans="2:16" ht="13.5" customHeight="1">
      <c r="B200" s="621"/>
      <c r="C200" s="621"/>
      <c r="D200" s="621"/>
      <c r="E200" s="621"/>
      <c r="F200" s="621"/>
      <c r="G200" s="621"/>
      <c r="H200" s="621"/>
      <c r="I200" s="621"/>
      <c r="J200" s="621"/>
      <c r="K200" s="621"/>
      <c r="L200" s="621"/>
      <c r="M200" s="621"/>
      <c r="N200" s="621"/>
      <c r="O200" s="621"/>
      <c r="P200" s="433"/>
    </row>
    <row r="201" spans="2:16" ht="13.5" customHeight="1">
      <c r="B201" s="621"/>
      <c r="C201" s="621"/>
      <c r="D201" s="621"/>
      <c r="E201" s="621"/>
      <c r="F201" s="621"/>
      <c r="G201" s="621"/>
      <c r="H201" s="621"/>
      <c r="I201" s="621"/>
      <c r="J201" s="621"/>
      <c r="K201" s="621"/>
      <c r="L201" s="621"/>
      <c r="M201" s="621"/>
      <c r="N201" s="621"/>
      <c r="O201" s="621"/>
      <c r="P201" s="433"/>
    </row>
    <row r="202" spans="2:16" ht="13.5" customHeight="1">
      <c r="B202" s="621"/>
      <c r="C202" s="621"/>
      <c r="D202" s="621"/>
      <c r="E202" s="621"/>
      <c r="F202" s="621"/>
      <c r="G202" s="621"/>
      <c r="H202" s="621"/>
      <c r="I202" s="621"/>
      <c r="J202" s="621"/>
      <c r="K202" s="621"/>
      <c r="L202" s="621"/>
      <c r="M202" s="621"/>
      <c r="N202" s="621"/>
      <c r="O202" s="621"/>
      <c r="P202" s="433"/>
    </row>
    <row r="203" spans="2:16" ht="13.5" customHeight="1">
      <c r="B203" s="621"/>
      <c r="C203" s="621"/>
      <c r="D203" s="621"/>
      <c r="E203" s="621"/>
      <c r="F203" s="621"/>
      <c r="G203" s="621"/>
      <c r="H203" s="621"/>
      <c r="I203" s="621"/>
      <c r="J203" s="621"/>
      <c r="K203" s="621"/>
      <c r="L203" s="621"/>
      <c r="M203" s="621"/>
      <c r="N203" s="621"/>
      <c r="O203" s="621"/>
      <c r="P203" s="433"/>
    </row>
    <row r="204" spans="2:16" ht="13.5" customHeight="1">
      <c r="B204" s="621"/>
      <c r="C204" s="621"/>
      <c r="D204" s="621"/>
      <c r="E204" s="621"/>
      <c r="F204" s="621"/>
      <c r="G204" s="621"/>
      <c r="H204" s="621"/>
      <c r="I204" s="621"/>
      <c r="J204" s="621"/>
      <c r="K204" s="621"/>
      <c r="L204" s="621"/>
      <c r="M204" s="621"/>
      <c r="N204" s="621"/>
      <c r="O204" s="621"/>
      <c r="P204" s="433"/>
    </row>
    <row r="205" spans="2:16" ht="13.5" customHeight="1">
      <c r="B205" s="621"/>
      <c r="C205" s="621"/>
      <c r="D205" s="621"/>
      <c r="E205" s="621"/>
      <c r="F205" s="621"/>
      <c r="G205" s="621"/>
      <c r="H205" s="621"/>
      <c r="I205" s="621"/>
      <c r="J205" s="621"/>
      <c r="K205" s="621"/>
      <c r="L205" s="621"/>
      <c r="M205" s="621"/>
      <c r="N205" s="621"/>
      <c r="O205" s="621"/>
      <c r="P205" s="433"/>
    </row>
    <row r="206" spans="2:16" ht="13.5" customHeight="1">
      <c r="B206" s="621"/>
      <c r="C206" s="621"/>
      <c r="D206" s="621"/>
      <c r="E206" s="621"/>
      <c r="F206" s="621"/>
      <c r="G206" s="621"/>
      <c r="H206" s="621"/>
      <c r="I206" s="621"/>
      <c r="J206" s="621"/>
      <c r="K206" s="621"/>
      <c r="L206" s="621"/>
      <c r="M206" s="621"/>
      <c r="N206" s="621"/>
      <c r="O206" s="621"/>
      <c r="P206" s="433"/>
    </row>
    <row r="207" spans="2:16" ht="13.5" customHeight="1">
      <c r="B207" s="621"/>
      <c r="C207" s="621"/>
      <c r="D207" s="621"/>
      <c r="E207" s="621"/>
      <c r="F207" s="621"/>
      <c r="G207" s="621"/>
      <c r="H207" s="621"/>
      <c r="I207" s="621"/>
      <c r="J207" s="621"/>
      <c r="K207" s="621"/>
      <c r="L207" s="621"/>
      <c r="M207" s="621"/>
      <c r="N207" s="621"/>
      <c r="O207" s="621"/>
      <c r="P207" s="433"/>
    </row>
    <row r="208" spans="2:16" ht="13.5" customHeight="1">
      <c r="B208" s="621"/>
      <c r="C208" s="621"/>
      <c r="D208" s="621"/>
      <c r="E208" s="621"/>
      <c r="F208" s="621"/>
      <c r="G208" s="621"/>
      <c r="H208" s="621"/>
      <c r="I208" s="621"/>
      <c r="J208" s="621"/>
      <c r="K208" s="621"/>
      <c r="L208" s="621"/>
      <c r="M208" s="621"/>
      <c r="N208" s="621"/>
      <c r="O208" s="621"/>
      <c r="P208" s="433"/>
    </row>
    <row r="209" spans="2:16" ht="13.5" customHeight="1">
      <c r="B209" s="621"/>
      <c r="C209" s="621"/>
      <c r="D209" s="621"/>
      <c r="E209" s="621"/>
      <c r="F209" s="621"/>
      <c r="G209" s="621"/>
      <c r="H209" s="621"/>
      <c r="I209" s="621"/>
      <c r="J209" s="621"/>
      <c r="K209" s="621"/>
      <c r="L209" s="621"/>
      <c r="M209" s="621"/>
      <c r="N209" s="621"/>
      <c r="O209" s="621"/>
      <c r="P209" s="433"/>
    </row>
    <row r="210" spans="2:16" ht="13.5" customHeight="1">
      <c r="B210" s="621"/>
      <c r="C210" s="621"/>
      <c r="D210" s="621"/>
      <c r="E210" s="621"/>
      <c r="F210" s="621"/>
      <c r="G210" s="621"/>
      <c r="H210" s="621"/>
      <c r="I210" s="621"/>
      <c r="J210" s="621"/>
      <c r="K210" s="621"/>
      <c r="L210" s="621"/>
      <c r="M210" s="621"/>
      <c r="N210" s="621"/>
      <c r="O210" s="621"/>
      <c r="P210" s="433"/>
    </row>
    <row r="211" spans="2:16" ht="13.5" customHeight="1">
      <c r="B211" s="621"/>
      <c r="C211" s="621"/>
      <c r="D211" s="621"/>
      <c r="E211" s="621"/>
      <c r="F211" s="621"/>
      <c r="G211" s="621"/>
      <c r="H211" s="621"/>
      <c r="I211" s="621"/>
      <c r="J211" s="621"/>
      <c r="K211" s="621"/>
      <c r="L211" s="621"/>
      <c r="M211" s="621"/>
      <c r="N211" s="621"/>
      <c r="O211" s="621"/>
      <c r="P211" s="433"/>
    </row>
    <row r="212" spans="2:16" ht="13.5" customHeight="1">
      <c r="B212" s="621"/>
      <c r="C212" s="621"/>
      <c r="D212" s="621"/>
      <c r="E212" s="621"/>
      <c r="F212" s="621"/>
      <c r="G212" s="621"/>
      <c r="H212" s="621"/>
      <c r="I212" s="621"/>
      <c r="J212" s="621"/>
      <c r="K212" s="621"/>
      <c r="L212" s="621"/>
      <c r="M212" s="621"/>
      <c r="N212" s="621"/>
      <c r="O212" s="621"/>
      <c r="P212" s="433"/>
    </row>
    <row r="213" spans="2:16" ht="13.5" customHeight="1">
      <c r="B213" s="621"/>
      <c r="C213" s="621"/>
      <c r="D213" s="621"/>
      <c r="E213" s="621"/>
      <c r="F213" s="621"/>
      <c r="G213" s="621"/>
      <c r="H213" s="621"/>
      <c r="I213" s="621"/>
      <c r="J213" s="621"/>
      <c r="K213" s="621"/>
      <c r="L213" s="621"/>
      <c r="M213" s="621"/>
      <c r="N213" s="621"/>
      <c r="O213" s="621"/>
      <c r="P213" s="433"/>
    </row>
    <row r="214" spans="2:16" ht="13.5" customHeight="1">
      <c r="B214" s="621"/>
      <c r="C214" s="621"/>
      <c r="D214" s="621"/>
      <c r="E214" s="621"/>
      <c r="F214" s="621"/>
      <c r="G214" s="621"/>
      <c r="H214" s="621"/>
      <c r="I214" s="621"/>
      <c r="J214" s="621"/>
      <c r="K214" s="621"/>
      <c r="L214" s="621"/>
      <c r="M214" s="621"/>
      <c r="N214" s="621"/>
      <c r="O214" s="621"/>
      <c r="P214" s="433"/>
    </row>
    <row r="215" spans="2:16" ht="13.5" customHeight="1">
      <c r="B215" s="621"/>
      <c r="C215" s="621"/>
      <c r="D215" s="621"/>
      <c r="E215" s="621"/>
      <c r="F215" s="621"/>
      <c r="G215" s="621"/>
      <c r="H215" s="621"/>
      <c r="I215" s="621"/>
      <c r="J215" s="621"/>
      <c r="K215" s="621"/>
      <c r="L215" s="621"/>
      <c r="M215" s="621"/>
      <c r="N215" s="621"/>
      <c r="O215" s="621"/>
      <c r="P215" s="433"/>
    </row>
    <row r="216" spans="2:16" ht="13.5" customHeight="1">
      <c r="B216" s="621"/>
      <c r="C216" s="621"/>
      <c r="D216" s="621"/>
      <c r="E216" s="621"/>
      <c r="F216" s="621"/>
      <c r="G216" s="621"/>
      <c r="H216" s="621"/>
      <c r="I216" s="621"/>
      <c r="J216" s="621"/>
      <c r="K216" s="621"/>
      <c r="L216" s="621"/>
      <c r="M216" s="621"/>
      <c r="N216" s="621"/>
      <c r="O216" s="621"/>
      <c r="P216" s="433"/>
    </row>
    <row r="217" spans="2:16" ht="13.5" customHeight="1">
      <c r="B217" s="621"/>
      <c r="C217" s="621"/>
      <c r="D217" s="621"/>
      <c r="E217" s="621"/>
      <c r="F217" s="621"/>
      <c r="G217" s="621"/>
      <c r="H217" s="621"/>
      <c r="I217" s="621"/>
      <c r="J217" s="621"/>
      <c r="K217" s="621"/>
      <c r="L217" s="621"/>
      <c r="M217" s="621"/>
      <c r="N217" s="621"/>
      <c r="O217" s="621"/>
      <c r="P217" s="433"/>
    </row>
    <row r="218" spans="2:16" ht="13.5" customHeight="1">
      <c r="B218" s="621"/>
      <c r="C218" s="621"/>
      <c r="D218" s="621"/>
      <c r="E218" s="621"/>
      <c r="F218" s="621"/>
      <c r="G218" s="621"/>
      <c r="H218" s="621"/>
      <c r="I218" s="621"/>
      <c r="J218" s="621"/>
      <c r="K218" s="621"/>
      <c r="L218" s="621"/>
      <c r="M218" s="621"/>
      <c r="N218" s="621"/>
      <c r="O218" s="621"/>
      <c r="P218" s="433"/>
    </row>
    <row r="219" spans="2:16" ht="13.5" customHeight="1">
      <c r="B219" s="621"/>
      <c r="C219" s="621"/>
      <c r="D219" s="621"/>
      <c r="E219" s="621"/>
      <c r="F219" s="621"/>
      <c r="G219" s="621"/>
      <c r="H219" s="621"/>
      <c r="I219" s="621"/>
      <c r="J219" s="621"/>
      <c r="K219" s="621"/>
      <c r="L219" s="621"/>
      <c r="M219" s="621"/>
      <c r="N219" s="621"/>
      <c r="O219" s="621"/>
      <c r="P219" s="433"/>
    </row>
    <row r="220" spans="2:16" ht="13.5" customHeight="1">
      <c r="B220" s="621"/>
      <c r="C220" s="621"/>
      <c r="D220" s="621"/>
      <c r="E220" s="621"/>
      <c r="F220" s="621"/>
      <c r="G220" s="621"/>
      <c r="H220" s="621"/>
      <c r="I220" s="621"/>
      <c r="J220" s="621"/>
      <c r="K220" s="621"/>
      <c r="L220" s="621"/>
      <c r="M220" s="621"/>
      <c r="N220" s="621"/>
      <c r="O220" s="621"/>
      <c r="P220" s="433"/>
    </row>
    <row r="221" spans="2:16" ht="13.5" customHeight="1">
      <c r="B221" s="621"/>
      <c r="C221" s="621"/>
      <c r="D221" s="621"/>
      <c r="E221" s="621"/>
      <c r="F221" s="621"/>
      <c r="G221" s="621"/>
      <c r="H221" s="621"/>
      <c r="I221" s="621"/>
      <c r="J221" s="621"/>
      <c r="K221" s="621"/>
      <c r="L221" s="621"/>
      <c r="M221" s="621"/>
      <c r="N221" s="621"/>
      <c r="O221" s="621"/>
      <c r="P221" s="433"/>
    </row>
    <row r="222" spans="2:16" ht="13.5" customHeight="1">
      <c r="B222" s="621"/>
      <c r="C222" s="621"/>
      <c r="D222" s="621"/>
      <c r="E222" s="621"/>
      <c r="F222" s="621"/>
      <c r="G222" s="621"/>
      <c r="H222" s="621"/>
      <c r="I222" s="621"/>
      <c r="J222" s="621"/>
      <c r="K222" s="621"/>
      <c r="L222" s="621"/>
      <c r="M222" s="621"/>
      <c r="N222" s="621"/>
      <c r="O222" s="621"/>
      <c r="P222" s="433"/>
    </row>
    <row r="223" spans="2:16" ht="13.5" customHeight="1">
      <c r="B223" s="621"/>
      <c r="C223" s="621"/>
      <c r="D223" s="621"/>
      <c r="E223" s="621"/>
      <c r="F223" s="621"/>
      <c r="G223" s="621"/>
      <c r="H223" s="621"/>
      <c r="I223" s="621"/>
      <c r="J223" s="621"/>
      <c r="K223" s="621"/>
      <c r="L223" s="621"/>
      <c r="M223" s="621"/>
      <c r="N223" s="621"/>
      <c r="O223" s="621"/>
      <c r="P223" s="433"/>
    </row>
    <row r="224" spans="2:16" ht="13.5" customHeight="1">
      <c r="B224" s="621"/>
      <c r="C224" s="621"/>
      <c r="D224" s="621"/>
      <c r="E224" s="621"/>
      <c r="F224" s="621"/>
      <c r="G224" s="621"/>
      <c r="H224" s="621"/>
      <c r="I224" s="621"/>
      <c r="J224" s="621"/>
      <c r="K224" s="621"/>
      <c r="L224" s="621"/>
      <c r="M224" s="621"/>
      <c r="N224" s="621"/>
      <c r="O224" s="621"/>
      <c r="P224" s="433"/>
    </row>
    <row r="225" spans="2:16" ht="13.5" customHeight="1">
      <c r="B225" s="621"/>
      <c r="C225" s="621"/>
      <c r="D225" s="621"/>
      <c r="E225" s="621"/>
      <c r="F225" s="621"/>
      <c r="G225" s="621"/>
      <c r="H225" s="621"/>
      <c r="I225" s="621"/>
      <c r="J225" s="621"/>
      <c r="K225" s="621"/>
      <c r="L225" s="621"/>
      <c r="M225" s="621"/>
      <c r="N225" s="621"/>
      <c r="O225" s="621"/>
      <c r="P225" s="433"/>
    </row>
    <row r="226" spans="2:16" ht="13.5" customHeight="1">
      <c r="B226" s="621"/>
      <c r="C226" s="621"/>
      <c r="D226" s="621"/>
      <c r="E226" s="621"/>
      <c r="F226" s="621"/>
      <c r="G226" s="621"/>
      <c r="H226" s="621"/>
      <c r="I226" s="621"/>
      <c r="J226" s="621"/>
      <c r="K226" s="621"/>
      <c r="L226" s="621"/>
      <c r="M226" s="621"/>
      <c r="N226" s="621"/>
      <c r="O226" s="621"/>
      <c r="P226" s="433"/>
    </row>
    <row r="227" spans="2:16" ht="13.5" customHeight="1">
      <c r="B227" s="621"/>
      <c r="C227" s="621"/>
      <c r="D227" s="621"/>
      <c r="E227" s="621"/>
      <c r="F227" s="621"/>
      <c r="G227" s="621"/>
      <c r="H227" s="621"/>
      <c r="I227" s="621"/>
      <c r="J227" s="621"/>
      <c r="K227" s="621"/>
      <c r="L227" s="621"/>
      <c r="M227" s="621"/>
      <c r="N227" s="621"/>
      <c r="O227" s="621"/>
      <c r="P227" s="433"/>
    </row>
    <row r="228" spans="2:16" ht="13.5" customHeight="1">
      <c r="B228" s="621"/>
      <c r="C228" s="621"/>
      <c r="D228" s="621"/>
      <c r="E228" s="621"/>
      <c r="F228" s="621"/>
      <c r="G228" s="621"/>
      <c r="H228" s="621"/>
      <c r="I228" s="621"/>
      <c r="J228" s="621"/>
      <c r="K228" s="621"/>
      <c r="L228" s="621"/>
      <c r="M228" s="621"/>
      <c r="N228" s="621"/>
      <c r="O228" s="621"/>
      <c r="P228" s="433"/>
    </row>
    <row r="229" spans="2:16" ht="13.5" customHeight="1">
      <c r="B229" s="621"/>
      <c r="C229" s="621"/>
      <c r="D229" s="621"/>
      <c r="E229" s="621"/>
      <c r="F229" s="621"/>
      <c r="G229" s="621"/>
      <c r="H229" s="621"/>
      <c r="I229" s="621"/>
      <c r="J229" s="621"/>
      <c r="K229" s="621"/>
      <c r="L229" s="621"/>
      <c r="M229" s="621"/>
      <c r="N229" s="621"/>
      <c r="O229" s="621"/>
      <c r="P229" s="433"/>
    </row>
    <row r="230" spans="2:16" ht="13.5" customHeight="1">
      <c r="B230" s="621"/>
      <c r="C230" s="621"/>
      <c r="D230" s="621"/>
      <c r="E230" s="621"/>
      <c r="F230" s="621"/>
      <c r="G230" s="621"/>
      <c r="H230" s="621"/>
      <c r="I230" s="621"/>
      <c r="J230" s="621"/>
      <c r="K230" s="621"/>
      <c r="L230" s="621"/>
      <c r="M230" s="621"/>
      <c r="N230" s="621"/>
      <c r="O230" s="621"/>
      <c r="P230" s="433"/>
    </row>
    <row r="231" spans="2:16" ht="13.5" customHeight="1">
      <c r="B231" s="621"/>
      <c r="C231" s="621"/>
      <c r="D231" s="621"/>
      <c r="E231" s="621"/>
      <c r="F231" s="621"/>
      <c r="G231" s="621"/>
      <c r="H231" s="621"/>
      <c r="I231" s="621"/>
      <c r="J231" s="621"/>
      <c r="K231" s="621"/>
      <c r="L231" s="621"/>
      <c r="M231" s="621"/>
      <c r="N231" s="621"/>
      <c r="O231" s="621"/>
      <c r="P231" s="433"/>
    </row>
    <row r="232" spans="2:16" ht="13.5" customHeight="1">
      <c r="B232" s="621"/>
      <c r="C232" s="621"/>
      <c r="D232" s="621"/>
      <c r="E232" s="621"/>
      <c r="F232" s="621"/>
      <c r="G232" s="621"/>
      <c r="H232" s="621"/>
      <c r="I232" s="621"/>
      <c r="J232" s="621"/>
      <c r="K232" s="621"/>
      <c r="L232" s="621"/>
      <c r="M232" s="621"/>
      <c r="N232" s="621"/>
      <c r="O232" s="621"/>
      <c r="P232" s="433"/>
    </row>
    <row r="233" spans="2:16" ht="13.5" customHeight="1">
      <c r="B233" s="621"/>
      <c r="C233" s="621"/>
      <c r="D233" s="621"/>
      <c r="E233" s="621"/>
      <c r="F233" s="621"/>
      <c r="G233" s="621"/>
      <c r="H233" s="621"/>
      <c r="I233" s="621"/>
      <c r="J233" s="621"/>
      <c r="K233" s="621"/>
      <c r="L233" s="621"/>
      <c r="M233" s="621"/>
      <c r="N233" s="621"/>
      <c r="O233" s="621"/>
      <c r="P233" s="433"/>
    </row>
    <row r="234" spans="2:16" ht="13.5" customHeight="1">
      <c r="B234" s="621"/>
      <c r="C234" s="621"/>
      <c r="D234" s="621"/>
      <c r="E234" s="621"/>
      <c r="F234" s="621"/>
      <c r="G234" s="621"/>
      <c r="H234" s="621"/>
      <c r="I234" s="621"/>
      <c r="J234" s="621"/>
      <c r="K234" s="621"/>
      <c r="L234" s="621"/>
      <c r="M234" s="621"/>
      <c r="N234" s="621"/>
      <c r="O234" s="621"/>
      <c r="P234" s="433"/>
    </row>
    <row r="235" spans="2:16" ht="13.5" customHeight="1">
      <c r="B235" s="621"/>
      <c r="C235" s="621"/>
      <c r="D235" s="621"/>
      <c r="E235" s="621"/>
      <c r="F235" s="621"/>
      <c r="G235" s="621"/>
      <c r="H235" s="621"/>
      <c r="I235" s="621"/>
      <c r="J235" s="621"/>
      <c r="K235" s="621"/>
      <c r="L235" s="621"/>
      <c r="M235" s="621"/>
      <c r="N235" s="621"/>
      <c r="O235" s="621"/>
      <c r="P235" s="433"/>
    </row>
    <row r="236" spans="2:16" ht="13.5" customHeight="1">
      <c r="B236" s="621"/>
      <c r="C236" s="621"/>
      <c r="D236" s="621"/>
      <c r="E236" s="621"/>
      <c r="F236" s="621"/>
      <c r="G236" s="621"/>
      <c r="H236" s="621"/>
      <c r="I236" s="621"/>
      <c r="J236" s="621"/>
      <c r="K236" s="621"/>
      <c r="L236" s="621"/>
      <c r="M236" s="621"/>
      <c r="N236" s="621"/>
      <c r="O236" s="621"/>
      <c r="P236" s="433"/>
    </row>
    <row r="237" spans="2:16" ht="13.5" customHeight="1">
      <c r="B237" s="621"/>
      <c r="C237" s="621"/>
      <c r="D237" s="621"/>
      <c r="E237" s="621"/>
      <c r="F237" s="621"/>
      <c r="G237" s="621"/>
      <c r="H237" s="621"/>
      <c r="I237" s="621"/>
      <c r="J237" s="621"/>
      <c r="K237" s="621"/>
      <c r="L237" s="621"/>
      <c r="M237" s="621"/>
      <c r="N237" s="621"/>
      <c r="O237" s="621"/>
      <c r="P237" s="433"/>
    </row>
    <row r="238" spans="2:16" ht="13.5" customHeight="1">
      <c r="B238" s="621"/>
      <c r="C238" s="621"/>
      <c r="D238" s="621"/>
      <c r="E238" s="621"/>
      <c r="F238" s="621"/>
      <c r="G238" s="621"/>
      <c r="H238" s="621"/>
      <c r="I238" s="621"/>
      <c r="J238" s="621"/>
      <c r="K238" s="621"/>
      <c r="L238" s="621"/>
      <c r="M238" s="621"/>
      <c r="N238" s="621"/>
      <c r="O238" s="621"/>
      <c r="P238" s="433"/>
    </row>
    <row r="239" spans="2:16" ht="13.5" customHeight="1">
      <c r="B239" s="621"/>
      <c r="C239" s="621"/>
      <c r="D239" s="621"/>
      <c r="E239" s="621"/>
      <c r="F239" s="621"/>
      <c r="G239" s="621"/>
      <c r="H239" s="621"/>
      <c r="I239" s="621"/>
      <c r="J239" s="621"/>
      <c r="K239" s="621"/>
      <c r="L239" s="621"/>
      <c r="M239" s="621"/>
      <c r="N239" s="621"/>
      <c r="O239" s="621"/>
      <c r="P239" s="433"/>
    </row>
    <row r="240" spans="2:16" ht="13.5" customHeight="1">
      <c r="B240" s="621"/>
      <c r="C240" s="621"/>
      <c r="D240" s="621"/>
      <c r="E240" s="621"/>
      <c r="F240" s="621"/>
      <c r="G240" s="621"/>
      <c r="H240" s="621"/>
      <c r="I240" s="621"/>
      <c r="J240" s="621"/>
      <c r="K240" s="621"/>
      <c r="L240" s="621"/>
      <c r="M240" s="621"/>
      <c r="N240" s="621"/>
      <c r="O240" s="621"/>
      <c r="P240" s="433"/>
    </row>
    <row r="241" spans="2:16" ht="13.5" customHeight="1">
      <c r="B241" s="621"/>
      <c r="C241" s="621"/>
      <c r="D241" s="621"/>
      <c r="E241" s="621"/>
      <c r="F241" s="621"/>
      <c r="G241" s="621"/>
      <c r="H241" s="621"/>
      <c r="I241" s="621"/>
      <c r="J241" s="621"/>
      <c r="K241" s="621"/>
      <c r="L241" s="621"/>
      <c r="M241" s="621"/>
      <c r="N241" s="621"/>
      <c r="O241" s="621"/>
      <c r="P241" s="433"/>
    </row>
    <row r="242" spans="2:16" ht="13.5" customHeight="1">
      <c r="B242" s="621"/>
      <c r="C242" s="621"/>
      <c r="D242" s="621"/>
      <c r="E242" s="621"/>
      <c r="F242" s="621"/>
      <c r="G242" s="621"/>
      <c r="H242" s="621"/>
      <c r="I242" s="621"/>
      <c r="J242" s="621"/>
      <c r="K242" s="621"/>
      <c r="L242" s="621"/>
      <c r="M242" s="621"/>
      <c r="N242" s="621"/>
      <c r="O242" s="621"/>
      <c r="P242" s="433"/>
    </row>
    <row r="243" spans="2:16" ht="13.5" customHeight="1">
      <c r="B243" s="621"/>
      <c r="C243" s="621"/>
      <c r="D243" s="621"/>
      <c r="E243" s="621"/>
      <c r="F243" s="621"/>
      <c r="G243" s="621"/>
      <c r="H243" s="621"/>
      <c r="I243" s="621"/>
      <c r="J243" s="621"/>
      <c r="K243" s="621"/>
      <c r="L243" s="621"/>
      <c r="M243" s="621"/>
      <c r="N243" s="621"/>
      <c r="O243" s="621"/>
      <c r="P243" s="433"/>
    </row>
    <row r="244" spans="2:16" ht="13.5" customHeight="1">
      <c r="B244" s="621"/>
      <c r="C244" s="621"/>
      <c r="D244" s="621"/>
      <c r="E244" s="621"/>
      <c r="F244" s="621"/>
      <c r="G244" s="621"/>
      <c r="H244" s="621"/>
      <c r="I244" s="621"/>
      <c r="J244" s="621"/>
      <c r="K244" s="621"/>
      <c r="L244" s="621"/>
      <c r="M244" s="621"/>
      <c r="N244" s="621"/>
      <c r="O244" s="621"/>
      <c r="P244" s="433"/>
    </row>
    <row r="245" spans="2:16" ht="13.5" customHeight="1">
      <c r="B245" s="621"/>
      <c r="C245" s="621"/>
      <c r="D245" s="621"/>
      <c r="E245" s="621"/>
      <c r="F245" s="621"/>
      <c r="G245" s="621"/>
      <c r="H245" s="621"/>
      <c r="I245" s="621"/>
      <c r="J245" s="621"/>
      <c r="K245" s="621"/>
      <c r="L245" s="621"/>
      <c r="M245" s="621"/>
      <c r="N245" s="621"/>
      <c r="O245" s="621"/>
      <c r="P245" s="433"/>
    </row>
    <row r="246" spans="2:16" ht="13.5" customHeight="1">
      <c r="B246" s="621"/>
      <c r="C246" s="621"/>
      <c r="D246" s="621"/>
      <c r="E246" s="621"/>
      <c r="F246" s="621"/>
      <c r="G246" s="621"/>
      <c r="H246" s="621"/>
      <c r="I246" s="621"/>
      <c r="J246" s="621"/>
      <c r="K246" s="621"/>
      <c r="L246" s="621"/>
      <c r="M246" s="621"/>
      <c r="N246" s="621"/>
      <c r="O246" s="621"/>
      <c r="P246" s="433"/>
    </row>
    <row r="247" spans="2:16" ht="13.5" customHeight="1">
      <c r="B247" s="621"/>
      <c r="C247" s="621"/>
      <c r="D247" s="621"/>
      <c r="E247" s="621"/>
      <c r="F247" s="621"/>
      <c r="G247" s="621"/>
      <c r="H247" s="621"/>
      <c r="I247" s="621"/>
      <c r="J247" s="621"/>
      <c r="K247" s="621"/>
      <c r="L247" s="621"/>
      <c r="M247" s="621"/>
      <c r="N247" s="621"/>
      <c r="O247" s="621"/>
      <c r="P247" s="433"/>
    </row>
    <row r="248" spans="2:16" ht="13.5" customHeight="1">
      <c r="B248" s="621"/>
      <c r="C248" s="621"/>
      <c r="D248" s="621"/>
      <c r="E248" s="621"/>
      <c r="F248" s="621"/>
      <c r="G248" s="621"/>
      <c r="H248" s="621"/>
      <c r="I248" s="621"/>
      <c r="J248" s="621"/>
      <c r="K248" s="621"/>
      <c r="L248" s="621"/>
      <c r="M248" s="621"/>
      <c r="N248" s="621"/>
      <c r="O248" s="621"/>
      <c r="P248" s="433"/>
    </row>
    <row r="249" spans="2:16" ht="13.5" customHeight="1">
      <c r="B249" s="621"/>
      <c r="C249" s="621"/>
      <c r="D249" s="621"/>
      <c r="E249" s="621"/>
      <c r="F249" s="621"/>
      <c r="G249" s="621"/>
      <c r="H249" s="621"/>
      <c r="I249" s="621"/>
      <c r="J249" s="621"/>
      <c r="K249" s="621"/>
      <c r="L249" s="621"/>
      <c r="M249" s="621"/>
      <c r="N249" s="621"/>
      <c r="O249" s="621"/>
      <c r="P249" s="433"/>
    </row>
    <row r="250" spans="2:16" ht="13.5" customHeight="1">
      <c r="B250" s="621"/>
      <c r="C250" s="621"/>
      <c r="D250" s="621"/>
      <c r="E250" s="621"/>
      <c r="F250" s="621"/>
      <c r="G250" s="621"/>
      <c r="H250" s="621"/>
      <c r="I250" s="621"/>
      <c r="J250" s="621"/>
      <c r="K250" s="621"/>
      <c r="L250" s="621"/>
      <c r="M250" s="621"/>
      <c r="N250" s="621"/>
      <c r="O250" s="621"/>
      <c r="P250" s="433"/>
    </row>
    <row r="251" spans="2:16" ht="13.5" customHeight="1">
      <c r="B251" s="621"/>
      <c r="C251" s="621"/>
      <c r="D251" s="621"/>
      <c r="E251" s="621"/>
      <c r="F251" s="621"/>
      <c r="G251" s="621"/>
      <c r="H251" s="621"/>
      <c r="I251" s="621"/>
      <c r="J251" s="621"/>
      <c r="K251" s="621"/>
      <c r="L251" s="621"/>
      <c r="M251" s="621"/>
      <c r="N251" s="621"/>
      <c r="O251" s="621"/>
      <c r="P251" s="433"/>
    </row>
    <row r="252" spans="2:16" ht="13.5" customHeight="1">
      <c r="B252" s="621"/>
      <c r="C252" s="621"/>
      <c r="D252" s="621"/>
      <c r="E252" s="621"/>
      <c r="F252" s="621"/>
      <c r="G252" s="621"/>
      <c r="H252" s="621"/>
      <c r="I252" s="621"/>
      <c r="J252" s="621"/>
      <c r="K252" s="621"/>
      <c r="L252" s="621"/>
      <c r="M252" s="621"/>
      <c r="N252" s="621"/>
      <c r="O252" s="621"/>
      <c r="P252" s="433"/>
    </row>
    <row r="253" spans="2:16" ht="13.5" customHeight="1">
      <c r="B253" s="621"/>
      <c r="C253" s="621"/>
      <c r="D253" s="621"/>
      <c r="E253" s="621"/>
      <c r="F253" s="621"/>
      <c r="G253" s="621"/>
      <c r="H253" s="621"/>
      <c r="I253" s="621"/>
      <c r="J253" s="621"/>
      <c r="K253" s="621"/>
      <c r="L253" s="621"/>
      <c r="M253" s="621"/>
      <c r="N253" s="621"/>
      <c r="O253" s="621"/>
      <c r="P253" s="433"/>
    </row>
    <row r="254" spans="2:16" ht="13.5" customHeight="1">
      <c r="B254" s="621"/>
      <c r="C254" s="621"/>
      <c r="D254" s="621"/>
      <c r="E254" s="621"/>
      <c r="F254" s="621"/>
      <c r="G254" s="621"/>
      <c r="H254" s="621"/>
      <c r="I254" s="621"/>
      <c r="J254" s="621"/>
      <c r="K254" s="621"/>
      <c r="L254" s="621"/>
      <c r="M254" s="621"/>
      <c r="N254" s="621"/>
      <c r="O254" s="621"/>
      <c r="P254" s="433"/>
    </row>
    <row r="255" spans="2:16" ht="13.5" customHeight="1">
      <c r="B255" s="621"/>
      <c r="C255" s="621"/>
      <c r="D255" s="621"/>
      <c r="E255" s="621"/>
      <c r="F255" s="621"/>
      <c r="G255" s="621"/>
      <c r="H255" s="621"/>
      <c r="I255" s="621"/>
      <c r="J255" s="621"/>
      <c r="K255" s="621"/>
      <c r="L255" s="621"/>
      <c r="M255" s="621"/>
      <c r="N255" s="621"/>
      <c r="O255" s="621"/>
      <c r="P255" s="433"/>
    </row>
    <row r="256" spans="2:16" ht="13.5" customHeight="1">
      <c r="B256" s="621"/>
      <c r="C256" s="621"/>
      <c r="D256" s="621"/>
      <c r="E256" s="621"/>
      <c r="F256" s="621"/>
      <c r="G256" s="621"/>
      <c r="H256" s="621"/>
      <c r="I256" s="621"/>
      <c r="J256" s="621"/>
      <c r="K256" s="621"/>
      <c r="L256" s="621"/>
      <c r="M256" s="621"/>
      <c r="N256" s="621"/>
      <c r="O256" s="621"/>
      <c r="P256" s="433"/>
    </row>
    <row r="257" spans="2:16" ht="13.5" customHeight="1">
      <c r="B257" s="621"/>
      <c r="C257" s="621"/>
      <c r="D257" s="621"/>
      <c r="E257" s="621"/>
      <c r="F257" s="621"/>
      <c r="G257" s="621"/>
      <c r="H257" s="621"/>
      <c r="I257" s="621"/>
      <c r="J257" s="621"/>
      <c r="K257" s="621"/>
      <c r="L257" s="621"/>
      <c r="M257" s="621"/>
      <c r="N257" s="621"/>
      <c r="O257" s="621"/>
      <c r="P257" s="433"/>
    </row>
    <row r="258" spans="2:16" ht="13.5" customHeight="1">
      <c r="B258" s="621"/>
      <c r="C258" s="621"/>
      <c r="D258" s="621"/>
      <c r="E258" s="621"/>
      <c r="F258" s="621"/>
      <c r="G258" s="621"/>
      <c r="H258" s="621"/>
      <c r="I258" s="621"/>
      <c r="J258" s="621"/>
      <c r="K258" s="621"/>
      <c r="L258" s="621"/>
      <c r="M258" s="621"/>
      <c r="N258" s="621"/>
      <c r="O258" s="621"/>
      <c r="P258" s="433"/>
    </row>
    <row r="259" spans="2:16" ht="13.5" customHeight="1">
      <c r="B259" s="621"/>
      <c r="C259" s="621"/>
      <c r="D259" s="621"/>
      <c r="E259" s="621"/>
      <c r="F259" s="621"/>
      <c r="G259" s="621"/>
      <c r="H259" s="621"/>
      <c r="I259" s="621"/>
      <c r="J259" s="621"/>
      <c r="K259" s="621"/>
      <c r="L259" s="621"/>
      <c r="M259" s="621"/>
      <c r="N259" s="621"/>
      <c r="O259" s="621"/>
      <c r="P259" s="433"/>
    </row>
    <row r="260" spans="2:16" ht="13.5" customHeight="1">
      <c r="B260" s="621"/>
      <c r="C260" s="621"/>
      <c r="D260" s="621"/>
      <c r="E260" s="621"/>
      <c r="F260" s="621"/>
      <c r="G260" s="621"/>
      <c r="H260" s="621"/>
      <c r="I260" s="621"/>
      <c r="J260" s="621"/>
      <c r="K260" s="621"/>
      <c r="L260" s="621"/>
      <c r="M260" s="621"/>
      <c r="N260" s="621"/>
      <c r="O260" s="621"/>
      <c r="P260" s="433"/>
    </row>
    <row r="261" spans="2:16" ht="13.5" customHeight="1">
      <c r="B261" s="621"/>
      <c r="C261" s="621"/>
      <c r="D261" s="621"/>
      <c r="E261" s="621"/>
      <c r="F261" s="621"/>
      <c r="G261" s="621"/>
      <c r="H261" s="621"/>
      <c r="I261" s="621"/>
      <c r="J261" s="621"/>
      <c r="K261" s="621"/>
      <c r="L261" s="621"/>
      <c r="M261" s="621"/>
      <c r="N261" s="621"/>
      <c r="O261" s="621"/>
      <c r="P261" s="433"/>
    </row>
    <row r="262" spans="2:16" ht="13.5" customHeight="1">
      <c r="B262" s="621"/>
      <c r="C262" s="621"/>
      <c r="D262" s="621"/>
      <c r="E262" s="621"/>
      <c r="F262" s="621"/>
      <c r="G262" s="621"/>
      <c r="H262" s="621"/>
      <c r="I262" s="621"/>
      <c r="J262" s="621"/>
      <c r="K262" s="621"/>
      <c r="L262" s="621"/>
      <c r="M262" s="621"/>
      <c r="N262" s="621"/>
      <c r="O262" s="621"/>
      <c r="P262" s="433"/>
    </row>
    <row r="263" spans="2:16" ht="13.5" customHeight="1">
      <c r="B263" s="621"/>
      <c r="C263" s="621"/>
      <c r="D263" s="621"/>
      <c r="E263" s="621"/>
      <c r="F263" s="621"/>
      <c r="G263" s="621"/>
      <c r="H263" s="621"/>
      <c r="I263" s="621"/>
      <c r="J263" s="621"/>
      <c r="K263" s="621"/>
      <c r="L263" s="621"/>
      <c r="M263" s="621"/>
      <c r="N263" s="621"/>
      <c r="O263" s="621"/>
      <c r="P263" s="433"/>
    </row>
    <row r="264" spans="2:16" ht="13.5" customHeight="1">
      <c r="B264" s="621"/>
      <c r="C264" s="621"/>
      <c r="D264" s="621"/>
      <c r="E264" s="621"/>
      <c r="F264" s="621"/>
      <c r="G264" s="621"/>
      <c r="H264" s="621"/>
      <c r="I264" s="621"/>
      <c r="J264" s="621"/>
      <c r="K264" s="621"/>
      <c r="L264" s="621"/>
      <c r="M264" s="621"/>
      <c r="N264" s="621"/>
      <c r="O264" s="621"/>
      <c r="P264" s="433"/>
    </row>
    <row r="265" spans="2:16" ht="13.5" customHeight="1">
      <c r="B265" s="621"/>
      <c r="C265" s="621"/>
      <c r="D265" s="621"/>
      <c r="E265" s="621"/>
      <c r="F265" s="621"/>
      <c r="G265" s="621"/>
      <c r="H265" s="621"/>
      <c r="I265" s="621"/>
      <c r="J265" s="621"/>
      <c r="K265" s="621"/>
      <c r="L265" s="621"/>
      <c r="M265" s="621"/>
      <c r="N265" s="621"/>
      <c r="O265" s="621"/>
      <c r="P265" s="433"/>
    </row>
    <row r="266" spans="2:16" ht="13.5" customHeight="1">
      <c r="B266" s="621"/>
      <c r="C266" s="621"/>
      <c r="D266" s="621"/>
      <c r="E266" s="621"/>
      <c r="F266" s="621"/>
      <c r="G266" s="621"/>
      <c r="H266" s="621"/>
      <c r="I266" s="621"/>
      <c r="J266" s="621"/>
      <c r="K266" s="621"/>
      <c r="L266" s="621"/>
      <c r="M266" s="621"/>
      <c r="N266" s="621"/>
      <c r="O266" s="621"/>
      <c r="P266" s="433"/>
    </row>
    <row r="267" spans="2:16" ht="13.5" customHeight="1">
      <c r="B267" s="621"/>
      <c r="C267" s="621"/>
      <c r="D267" s="621"/>
      <c r="E267" s="621"/>
      <c r="F267" s="621"/>
      <c r="G267" s="621"/>
      <c r="H267" s="621"/>
      <c r="I267" s="621"/>
      <c r="J267" s="621"/>
      <c r="K267" s="621"/>
      <c r="L267" s="621"/>
      <c r="M267" s="621"/>
      <c r="N267" s="621"/>
      <c r="O267" s="621"/>
      <c r="P267" s="433"/>
    </row>
    <row r="268" spans="2:16" ht="13.5" customHeight="1">
      <c r="B268" s="621"/>
      <c r="C268" s="621"/>
      <c r="D268" s="621"/>
      <c r="E268" s="621"/>
      <c r="F268" s="621"/>
      <c r="G268" s="621"/>
      <c r="H268" s="621"/>
      <c r="I268" s="621"/>
      <c r="J268" s="621"/>
      <c r="K268" s="621"/>
      <c r="L268" s="621"/>
      <c r="M268" s="621"/>
      <c r="N268" s="621"/>
      <c r="O268" s="621"/>
      <c r="P268" s="433"/>
    </row>
    <row r="269" spans="2:16" ht="13.5" customHeight="1">
      <c r="B269" s="621"/>
      <c r="C269" s="621"/>
      <c r="D269" s="621"/>
      <c r="E269" s="621"/>
      <c r="F269" s="621"/>
      <c r="G269" s="621"/>
      <c r="H269" s="621"/>
      <c r="I269" s="621"/>
      <c r="J269" s="621"/>
      <c r="K269" s="621"/>
      <c r="L269" s="621"/>
      <c r="M269" s="621"/>
      <c r="N269" s="621"/>
      <c r="O269" s="621"/>
      <c r="P269" s="433"/>
    </row>
    <row r="270" spans="2:16" ht="13.5" customHeight="1">
      <c r="B270" s="621"/>
      <c r="C270" s="621"/>
      <c r="D270" s="621"/>
      <c r="E270" s="621"/>
      <c r="F270" s="621"/>
      <c r="G270" s="621"/>
      <c r="H270" s="621"/>
      <c r="I270" s="621"/>
      <c r="J270" s="621"/>
      <c r="K270" s="621"/>
      <c r="L270" s="621"/>
      <c r="M270" s="621"/>
      <c r="N270" s="621"/>
      <c r="O270" s="621"/>
      <c r="P270" s="433"/>
    </row>
    <row r="271" spans="2:16" ht="13.5" customHeight="1">
      <c r="B271" s="621"/>
      <c r="C271" s="621"/>
      <c r="D271" s="621"/>
      <c r="E271" s="621"/>
      <c r="F271" s="621"/>
      <c r="G271" s="621"/>
      <c r="H271" s="621"/>
      <c r="I271" s="621"/>
      <c r="J271" s="621"/>
      <c r="K271" s="621"/>
      <c r="L271" s="621"/>
      <c r="M271" s="621"/>
      <c r="N271" s="621"/>
      <c r="O271" s="621"/>
      <c r="P271" s="433"/>
    </row>
    <row r="272" spans="2:16" ht="13.5" customHeight="1">
      <c r="B272" s="621"/>
      <c r="C272" s="621"/>
      <c r="D272" s="621"/>
      <c r="E272" s="621"/>
      <c r="F272" s="621"/>
      <c r="G272" s="621"/>
      <c r="H272" s="621"/>
      <c r="I272" s="621"/>
      <c r="J272" s="621"/>
      <c r="K272" s="621"/>
      <c r="L272" s="621"/>
      <c r="M272" s="621"/>
      <c r="N272" s="621"/>
      <c r="O272" s="621"/>
      <c r="P272" s="433"/>
    </row>
    <row r="273" spans="2:16" ht="13.5" customHeight="1">
      <c r="B273" s="621"/>
      <c r="C273" s="621"/>
      <c r="D273" s="621"/>
      <c r="E273" s="621"/>
      <c r="F273" s="621"/>
      <c r="G273" s="621"/>
      <c r="H273" s="621"/>
      <c r="I273" s="621"/>
      <c r="J273" s="621"/>
      <c r="K273" s="621"/>
      <c r="L273" s="621"/>
      <c r="M273" s="621"/>
      <c r="N273" s="621"/>
      <c r="O273" s="621"/>
      <c r="P273" s="433"/>
    </row>
    <row r="274" spans="2:16" ht="13.5" customHeight="1">
      <c r="B274" s="621"/>
      <c r="C274" s="621"/>
      <c r="D274" s="621"/>
      <c r="E274" s="621"/>
      <c r="F274" s="621"/>
      <c r="G274" s="621"/>
      <c r="H274" s="621"/>
      <c r="I274" s="621"/>
      <c r="J274" s="621"/>
      <c r="K274" s="621"/>
      <c r="L274" s="621"/>
      <c r="M274" s="621"/>
      <c r="N274" s="621"/>
      <c r="O274" s="621"/>
      <c r="P274" s="433"/>
    </row>
    <row r="275" spans="2:16" ht="13.5" customHeight="1">
      <c r="B275" s="621"/>
      <c r="C275" s="621"/>
      <c r="D275" s="621"/>
      <c r="E275" s="621"/>
      <c r="F275" s="621"/>
      <c r="G275" s="621"/>
      <c r="H275" s="621"/>
      <c r="I275" s="621"/>
      <c r="J275" s="621"/>
      <c r="K275" s="621"/>
      <c r="L275" s="621"/>
      <c r="M275" s="621"/>
      <c r="N275" s="621"/>
      <c r="O275" s="621"/>
      <c r="P275" s="433"/>
    </row>
    <row r="276" spans="2:16" ht="13.5" customHeight="1">
      <c r="B276" s="621"/>
      <c r="C276" s="621"/>
      <c r="D276" s="621"/>
      <c r="E276" s="621"/>
      <c r="F276" s="621"/>
      <c r="G276" s="621"/>
      <c r="H276" s="621"/>
      <c r="I276" s="621"/>
      <c r="J276" s="621"/>
      <c r="K276" s="621"/>
      <c r="L276" s="621"/>
      <c r="M276" s="621"/>
      <c r="N276" s="621"/>
      <c r="O276" s="621"/>
      <c r="P276" s="433"/>
    </row>
    <row r="277" spans="2:16" ht="13.5" customHeight="1">
      <c r="B277" s="621"/>
      <c r="C277" s="621"/>
      <c r="D277" s="621"/>
      <c r="E277" s="621"/>
      <c r="F277" s="621"/>
      <c r="G277" s="621"/>
      <c r="H277" s="621"/>
      <c r="I277" s="621"/>
      <c r="J277" s="621"/>
      <c r="K277" s="621"/>
      <c r="L277" s="621"/>
      <c r="M277" s="621"/>
      <c r="N277" s="621"/>
      <c r="O277" s="621"/>
      <c r="P277" s="433"/>
    </row>
    <row r="278" spans="2:16" ht="13.5" customHeight="1">
      <c r="B278" s="621"/>
      <c r="C278" s="621"/>
      <c r="D278" s="621"/>
      <c r="E278" s="621"/>
      <c r="F278" s="621"/>
      <c r="G278" s="621"/>
      <c r="H278" s="621"/>
      <c r="I278" s="621"/>
      <c r="J278" s="621"/>
      <c r="K278" s="621"/>
      <c r="L278" s="621"/>
      <c r="M278" s="621"/>
      <c r="N278" s="621"/>
      <c r="O278" s="621"/>
      <c r="P278" s="433"/>
    </row>
    <row r="279" spans="2:16" ht="13.5" customHeight="1">
      <c r="B279" s="621"/>
      <c r="C279" s="621"/>
      <c r="D279" s="621"/>
      <c r="E279" s="621"/>
      <c r="F279" s="621"/>
      <c r="G279" s="621"/>
      <c r="H279" s="621"/>
      <c r="I279" s="621"/>
      <c r="J279" s="621"/>
      <c r="K279" s="621"/>
      <c r="L279" s="621"/>
      <c r="M279" s="621"/>
      <c r="N279" s="621"/>
      <c r="O279" s="621"/>
      <c r="P279" s="433"/>
    </row>
    <row r="280" spans="2:16" ht="13.5" customHeight="1">
      <c r="B280" s="621"/>
      <c r="C280" s="621"/>
      <c r="D280" s="621"/>
      <c r="E280" s="621"/>
      <c r="F280" s="621"/>
      <c r="G280" s="621"/>
      <c r="H280" s="621"/>
      <c r="I280" s="621"/>
      <c r="J280" s="621"/>
      <c r="K280" s="621"/>
      <c r="L280" s="621"/>
      <c r="M280" s="621"/>
      <c r="N280" s="621"/>
      <c r="O280" s="621"/>
      <c r="P280" s="433"/>
    </row>
  </sheetData>
  <sheetProtection/>
  <mergeCells count="1">
    <mergeCell ref="B3:P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2" r:id="rId1"/>
  <headerFooter alignWithMargins="0">
    <oddHeader>&amp;L16.melléklet a 2014. évi 4/2014.(II.28.) Önkormányzati költségvetési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R35"/>
  <sheetViews>
    <sheetView view="pageBreakPreview" zoomScale="60" zoomScalePageLayoutView="0" workbookViewId="0" topLeftCell="A1">
      <selection activeCell="K8" sqref="K8"/>
    </sheetView>
  </sheetViews>
  <sheetFormatPr defaultColWidth="9.140625" defaultRowHeight="12.75"/>
  <cols>
    <col min="1" max="1" width="3.7109375" style="0" customWidth="1"/>
    <col min="2" max="2" width="4.8515625" style="0" bestFit="1" customWidth="1"/>
    <col min="3" max="3" width="44.57421875" style="0" customWidth="1"/>
  </cols>
  <sheetData>
    <row r="1" spans="15:16" ht="12.75">
      <c r="O1" s="727"/>
      <c r="P1" s="727"/>
    </row>
    <row r="2" spans="2:16" ht="15.75">
      <c r="B2" s="728" t="s">
        <v>389</v>
      </c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</row>
    <row r="3" spans="2:16" ht="15.75">
      <c r="B3" s="728" t="s">
        <v>435</v>
      </c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</row>
    <row r="4" spans="2:16" ht="15.75"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</row>
    <row r="5" spans="2:16" ht="15.75">
      <c r="B5" s="730" t="s">
        <v>437</v>
      </c>
      <c r="C5" s="731"/>
      <c r="D5" s="731"/>
      <c r="E5" s="731"/>
      <c r="F5" s="731"/>
      <c r="G5" s="731"/>
      <c r="H5" s="731"/>
      <c r="I5" s="731"/>
      <c r="J5" s="731"/>
      <c r="K5" s="731"/>
      <c r="L5" s="731"/>
      <c r="M5" s="731"/>
      <c r="N5" s="731"/>
      <c r="O5" s="731"/>
      <c r="P5" s="731"/>
    </row>
    <row r="6" spans="2:16" ht="15.75">
      <c r="B6" s="560"/>
      <c r="C6" s="561"/>
      <c r="D6" s="561"/>
      <c r="E6" s="561"/>
      <c r="F6" s="561"/>
      <c r="G6" s="561"/>
      <c r="H6" s="561"/>
      <c r="I6" s="561"/>
      <c r="J6" s="561"/>
      <c r="K6" s="561"/>
      <c r="L6" s="561"/>
      <c r="M6" s="561"/>
      <c r="N6" s="561"/>
      <c r="O6" s="561"/>
      <c r="P6" s="389" t="s">
        <v>390</v>
      </c>
    </row>
    <row r="7" spans="1:16" s="278" customFormat="1" ht="16.5" thickBot="1">
      <c r="A7" s="278" t="s">
        <v>11</v>
      </c>
      <c r="B7" s="575" t="s">
        <v>469</v>
      </c>
      <c r="C7" s="576" t="s">
        <v>13</v>
      </c>
      <c r="D7" s="576" t="s">
        <v>14</v>
      </c>
      <c r="E7" s="576" t="s">
        <v>15</v>
      </c>
      <c r="F7" s="576" t="s">
        <v>16</v>
      </c>
      <c r="G7" s="576" t="s">
        <v>17</v>
      </c>
      <c r="H7" s="576" t="s">
        <v>18</v>
      </c>
      <c r="I7" s="576" t="s">
        <v>67</v>
      </c>
      <c r="J7" s="576" t="s">
        <v>481</v>
      </c>
      <c r="K7" s="576" t="s">
        <v>473</v>
      </c>
      <c r="L7" s="576" t="s">
        <v>474</v>
      </c>
      <c r="M7" s="576" t="s">
        <v>476</v>
      </c>
      <c r="N7" s="576" t="s">
        <v>482</v>
      </c>
      <c r="O7" s="576" t="s">
        <v>483</v>
      </c>
      <c r="P7" s="576" t="s">
        <v>484</v>
      </c>
    </row>
    <row r="8" spans="1:16" ht="24.75" thickBot="1">
      <c r="A8" t="s">
        <v>20</v>
      </c>
      <c r="B8" s="390" t="s">
        <v>391</v>
      </c>
      <c r="C8" s="391" t="s">
        <v>71</v>
      </c>
      <c r="D8" s="391" t="s">
        <v>392</v>
      </c>
      <c r="E8" s="391" t="s">
        <v>393</v>
      </c>
      <c r="F8" s="391" t="s">
        <v>394</v>
      </c>
      <c r="G8" s="391" t="s">
        <v>395</v>
      </c>
      <c r="H8" s="391" t="s">
        <v>396</v>
      </c>
      <c r="I8" s="391" t="s">
        <v>397</v>
      </c>
      <c r="J8" s="391" t="s">
        <v>398</v>
      </c>
      <c r="K8" s="391" t="s">
        <v>399</v>
      </c>
      <c r="L8" s="391" t="s">
        <v>400</v>
      </c>
      <c r="M8" s="391" t="s">
        <v>401</v>
      </c>
      <c r="N8" s="391" t="s">
        <v>402</v>
      </c>
      <c r="O8" s="391" t="s">
        <v>403</v>
      </c>
      <c r="P8" s="392" t="s">
        <v>404</v>
      </c>
    </row>
    <row r="9" spans="1:16" ht="13.5" thickBot="1">
      <c r="A9" t="s">
        <v>22</v>
      </c>
      <c r="B9" s="393" t="s">
        <v>20</v>
      </c>
      <c r="C9" s="723" t="s">
        <v>123</v>
      </c>
      <c r="D9" s="724"/>
      <c r="E9" s="724"/>
      <c r="F9" s="724"/>
      <c r="G9" s="724"/>
      <c r="H9" s="724"/>
      <c r="I9" s="724"/>
      <c r="J9" s="724"/>
      <c r="K9" s="724"/>
      <c r="L9" s="724"/>
      <c r="M9" s="724"/>
      <c r="N9" s="724"/>
      <c r="O9" s="724"/>
      <c r="P9" s="725"/>
    </row>
    <row r="10" spans="1:17" ht="12.75">
      <c r="A10" t="s">
        <v>24</v>
      </c>
      <c r="B10" s="396" t="s">
        <v>22</v>
      </c>
      <c r="C10" s="397" t="s">
        <v>405</v>
      </c>
      <c r="D10" s="398">
        <v>175</v>
      </c>
      <c r="E10" s="398">
        <f>+D10</f>
        <v>175</v>
      </c>
      <c r="F10" s="398">
        <f aca="true" t="shared" si="0" ref="F10:O10">+E10</f>
        <v>175</v>
      </c>
      <c r="G10" s="398">
        <f t="shared" si="0"/>
        <v>175</v>
      </c>
      <c r="H10" s="398">
        <f t="shared" si="0"/>
        <v>175</v>
      </c>
      <c r="I10" s="398">
        <f t="shared" si="0"/>
        <v>175</v>
      </c>
      <c r="J10" s="398">
        <f t="shared" si="0"/>
        <v>175</v>
      </c>
      <c r="K10" s="398">
        <f t="shared" si="0"/>
        <v>175</v>
      </c>
      <c r="L10" s="398">
        <f t="shared" si="0"/>
        <v>175</v>
      </c>
      <c r="M10" s="398">
        <f t="shared" si="0"/>
        <v>175</v>
      </c>
      <c r="N10" s="398">
        <f t="shared" si="0"/>
        <v>175</v>
      </c>
      <c r="O10" s="398">
        <f t="shared" si="0"/>
        <v>175</v>
      </c>
      <c r="P10" s="399">
        <f aca="true" t="shared" si="1" ref="P10:P18">SUM(D10:O10)</f>
        <v>2100</v>
      </c>
      <c r="Q10" s="185"/>
    </row>
    <row r="11" spans="1:16" ht="12.75">
      <c r="A11" t="s">
        <v>25</v>
      </c>
      <c r="B11" s="400" t="s">
        <v>24</v>
      </c>
      <c r="C11" s="401" t="s">
        <v>406</v>
      </c>
      <c r="D11" s="402">
        <v>54</v>
      </c>
      <c r="E11" s="402">
        <f>+D11</f>
        <v>54</v>
      </c>
      <c r="F11" s="402">
        <f aca="true" t="shared" si="2" ref="F11:N11">+E11</f>
        <v>54</v>
      </c>
      <c r="G11" s="402">
        <f t="shared" si="2"/>
        <v>54</v>
      </c>
      <c r="H11" s="402">
        <f t="shared" si="2"/>
        <v>54</v>
      </c>
      <c r="I11" s="402">
        <f t="shared" si="2"/>
        <v>54</v>
      </c>
      <c r="J11" s="402">
        <f t="shared" si="2"/>
        <v>54</v>
      </c>
      <c r="K11" s="402">
        <f t="shared" si="2"/>
        <v>54</v>
      </c>
      <c r="L11" s="402">
        <f t="shared" si="2"/>
        <v>54</v>
      </c>
      <c r="M11" s="402">
        <f t="shared" si="2"/>
        <v>54</v>
      </c>
      <c r="N11" s="402">
        <f t="shared" si="2"/>
        <v>54</v>
      </c>
      <c r="O11" s="402">
        <f>+N11-1+10</f>
        <v>63</v>
      </c>
      <c r="P11" s="403">
        <f t="shared" si="1"/>
        <v>657</v>
      </c>
    </row>
    <row r="12" spans="1:16" ht="12.75">
      <c r="A12" t="s">
        <v>26</v>
      </c>
      <c r="B12" s="400" t="s">
        <v>25</v>
      </c>
      <c r="C12" s="404" t="s">
        <v>407</v>
      </c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3">
        <f t="shared" si="1"/>
        <v>0</v>
      </c>
    </row>
    <row r="13" spans="1:16" ht="12.75">
      <c r="A13" t="s">
        <v>27</v>
      </c>
      <c r="B13" s="400" t="s">
        <v>26</v>
      </c>
      <c r="C13" s="401" t="s">
        <v>408</v>
      </c>
      <c r="D13" s="402">
        <v>2377</v>
      </c>
      <c r="E13" s="402">
        <f>+D13</f>
        <v>2377</v>
      </c>
      <c r="F13" s="402">
        <f aca="true" t="shared" si="3" ref="F13:N13">+E13</f>
        <v>2377</v>
      </c>
      <c r="G13" s="402">
        <f t="shared" si="3"/>
        <v>2377</v>
      </c>
      <c r="H13" s="402">
        <f t="shared" si="3"/>
        <v>2377</v>
      </c>
      <c r="I13" s="402">
        <f t="shared" si="3"/>
        <v>2377</v>
      </c>
      <c r="J13" s="402">
        <f t="shared" si="3"/>
        <v>2377</v>
      </c>
      <c r="K13" s="402">
        <f t="shared" si="3"/>
        <v>2377</v>
      </c>
      <c r="L13" s="402">
        <f t="shared" si="3"/>
        <v>2377</v>
      </c>
      <c r="M13" s="402">
        <f t="shared" si="3"/>
        <v>2377</v>
      </c>
      <c r="N13" s="402">
        <f t="shared" si="3"/>
        <v>2377</v>
      </c>
      <c r="O13" s="402">
        <f>+N13+6+1</f>
        <v>2384</v>
      </c>
      <c r="P13" s="403">
        <f t="shared" si="1"/>
        <v>28531</v>
      </c>
    </row>
    <row r="14" spans="1:16" ht="12.75">
      <c r="A14" t="s">
        <v>28</v>
      </c>
      <c r="B14" s="400" t="s">
        <v>27</v>
      </c>
      <c r="C14" s="401" t="s">
        <v>409</v>
      </c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3">
        <f t="shared" si="1"/>
        <v>0</v>
      </c>
    </row>
    <row r="15" spans="1:16" ht="12.75">
      <c r="A15" t="s">
        <v>29</v>
      </c>
      <c r="B15" s="400" t="s">
        <v>28</v>
      </c>
      <c r="C15" s="401" t="s">
        <v>410</v>
      </c>
      <c r="D15" s="402">
        <v>225</v>
      </c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3">
        <f t="shared" si="1"/>
        <v>225</v>
      </c>
    </row>
    <row r="16" spans="1:16" ht="12.75">
      <c r="A16" t="s">
        <v>30</v>
      </c>
      <c r="B16" s="400" t="s">
        <v>29</v>
      </c>
      <c r="C16" s="401" t="s">
        <v>411</v>
      </c>
      <c r="D16" s="402"/>
      <c r="E16" s="402"/>
      <c r="F16" s="402"/>
      <c r="G16" s="402">
        <v>144</v>
      </c>
      <c r="H16" s="402"/>
      <c r="I16" s="402"/>
      <c r="J16" s="402"/>
      <c r="K16" s="402"/>
      <c r="L16" s="402"/>
      <c r="M16" s="402"/>
      <c r="N16" s="402"/>
      <c r="O16" s="402"/>
      <c r="P16" s="403">
        <f t="shared" si="1"/>
        <v>144</v>
      </c>
    </row>
    <row r="17" spans="1:16" ht="12.75">
      <c r="A17" t="s">
        <v>31</v>
      </c>
      <c r="B17" s="400" t="s">
        <v>30</v>
      </c>
      <c r="C17" s="406" t="s">
        <v>412</v>
      </c>
      <c r="D17" s="402">
        <v>6610</v>
      </c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O17" s="402"/>
      <c r="P17" s="403">
        <f t="shared" si="1"/>
        <v>6610</v>
      </c>
    </row>
    <row r="18" spans="1:17" ht="13.5" thickBot="1">
      <c r="A18" t="s">
        <v>32</v>
      </c>
      <c r="B18" s="400" t="s">
        <v>31</v>
      </c>
      <c r="C18" s="401" t="s">
        <v>302</v>
      </c>
      <c r="D18" s="402">
        <f>+D32-D10-D11-D12-D13-D14-D15-D16-D17</f>
        <v>18960</v>
      </c>
      <c r="E18" s="402">
        <f aca="true" t="shared" si="4" ref="E18:O18">+E32-E10-E11-E12-E13-E14-E15-E16-E17</f>
        <v>25795</v>
      </c>
      <c r="F18" s="402">
        <f t="shared" si="4"/>
        <v>25795</v>
      </c>
      <c r="G18" s="402">
        <f t="shared" si="4"/>
        <v>25651</v>
      </c>
      <c r="H18" s="402">
        <f t="shared" si="4"/>
        <v>25795</v>
      </c>
      <c r="I18" s="402">
        <f t="shared" si="4"/>
        <v>25795</v>
      </c>
      <c r="J18" s="402">
        <f t="shared" si="4"/>
        <v>25795</v>
      </c>
      <c r="K18" s="402">
        <f t="shared" si="4"/>
        <v>25795</v>
      </c>
      <c r="L18" s="402">
        <f t="shared" si="4"/>
        <v>25795</v>
      </c>
      <c r="M18" s="402">
        <f t="shared" si="4"/>
        <v>25795</v>
      </c>
      <c r="N18" s="402">
        <f t="shared" si="4"/>
        <v>25795</v>
      </c>
      <c r="O18" s="402">
        <f t="shared" si="4"/>
        <v>28657</v>
      </c>
      <c r="P18" s="407">
        <f t="shared" si="1"/>
        <v>305423</v>
      </c>
      <c r="Q18" s="185"/>
    </row>
    <row r="19" spans="1:18" ht="13.5" thickBot="1">
      <c r="A19" t="s">
        <v>33</v>
      </c>
      <c r="B19" s="393" t="s">
        <v>32</v>
      </c>
      <c r="C19" s="408" t="s">
        <v>413</v>
      </c>
      <c r="D19" s="409">
        <f>SUM(D10:D18)</f>
        <v>28401</v>
      </c>
      <c r="E19" s="409">
        <f aca="true" t="shared" si="5" ref="E19:O19">SUM(E10:E18)</f>
        <v>28401</v>
      </c>
      <c r="F19" s="409">
        <f t="shared" si="5"/>
        <v>28401</v>
      </c>
      <c r="G19" s="409">
        <f t="shared" si="5"/>
        <v>28401</v>
      </c>
      <c r="H19" s="409">
        <f t="shared" si="5"/>
        <v>28401</v>
      </c>
      <c r="I19" s="409">
        <f t="shared" si="5"/>
        <v>28401</v>
      </c>
      <c r="J19" s="409">
        <f t="shared" si="5"/>
        <v>28401</v>
      </c>
      <c r="K19" s="409">
        <f t="shared" si="5"/>
        <v>28401</v>
      </c>
      <c r="L19" s="409">
        <f t="shared" si="5"/>
        <v>28401</v>
      </c>
      <c r="M19" s="409">
        <f t="shared" si="5"/>
        <v>28401</v>
      </c>
      <c r="N19" s="409">
        <f t="shared" si="5"/>
        <v>28401</v>
      </c>
      <c r="O19" s="409">
        <f t="shared" si="5"/>
        <v>31279</v>
      </c>
      <c r="P19" s="409">
        <f>SUM(P10:P18)</f>
        <v>343690</v>
      </c>
      <c r="Q19" s="605"/>
      <c r="R19" s="274"/>
    </row>
    <row r="20" spans="1:16" ht="13.5" thickBot="1">
      <c r="A20" t="s">
        <v>34</v>
      </c>
      <c r="B20" s="393" t="s">
        <v>33</v>
      </c>
      <c r="C20" s="723"/>
      <c r="D20" s="724"/>
      <c r="E20" s="724"/>
      <c r="F20" s="724"/>
      <c r="G20" s="724"/>
      <c r="H20" s="724"/>
      <c r="I20" s="724"/>
      <c r="J20" s="724"/>
      <c r="K20" s="724"/>
      <c r="L20" s="724"/>
      <c r="M20" s="724"/>
      <c r="N20" s="724"/>
      <c r="O20" s="724"/>
      <c r="P20" s="726"/>
    </row>
    <row r="21" spans="1:16" ht="12.75">
      <c r="A21" t="s">
        <v>35</v>
      </c>
      <c r="B21" s="411" t="s">
        <v>34</v>
      </c>
      <c r="C21" s="412" t="s">
        <v>295</v>
      </c>
      <c r="D21" s="405">
        <v>9522</v>
      </c>
      <c r="E21" s="405">
        <f>+D21</f>
        <v>9522</v>
      </c>
      <c r="F21" s="405">
        <f aca="true" t="shared" si="6" ref="F21:N21">+E21</f>
        <v>9522</v>
      </c>
      <c r="G21" s="405">
        <f t="shared" si="6"/>
        <v>9522</v>
      </c>
      <c r="H21" s="405">
        <f t="shared" si="6"/>
        <v>9522</v>
      </c>
      <c r="I21" s="405">
        <f t="shared" si="6"/>
        <v>9522</v>
      </c>
      <c r="J21" s="405">
        <f t="shared" si="6"/>
        <v>9522</v>
      </c>
      <c r="K21" s="405">
        <f t="shared" si="6"/>
        <v>9522</v>
      </c>
      <c r="L21" s="405">
        <f t="shared" si="6"/>
        <v>9522</v>
      </c>
      <c r="M21" s="405">
        <f t="shared" si="6"/>
        <v>9522</v>
      </c>
      <c r="N21" s="405">
        <f t="shared" si="6"/>
        <v>9522</v>
      </c>
      <c r="O21" s="405">
        <f>+N21-6</f>
        <v>9516</v>
      </c>
      <c r="P21" s="413">
        <f>SUM(D21:O21)</f>
        <v>114258</v>
      </c>
    </row>
    <row r="22" spans="1:16" ht="12.75">
      <c r="A22" t="s">
        <v>36</v>
      </c>
      <c r="B22" s="400" t="s">
        <v>35</v>
      </c>
      <c r="C22" s="406" t="s">
        <v>414</v>
      </c>
      <c r="D22" s="402">
        <v>2444</v>
      </c>
      <c r="E22" s="402">
        <f>+D22</f>
        <v>2444</v>
      </c>
      <c r="F22" s="402">
        <f aca="true" t="shared" si="7" ref="F22:N22">+E22</f>
        <v>2444</v>
      </c>
      <c r="G22" s="402">
        <f t="shared" si="7"/>
        <v>2444</v>
      </c>
      <c r="H22" s="402">
        <f t="shared" si="7"/>
        <v>2444</v>
      </c>
      <c r="I22" s="402">
        <f t="shared" si="7"/>
        <v>2444</v>
      </c>
      <c r="J22" s="402">
        <f t="shared" si="7"/>
        <v>2444</v>
      </c>
      <c r="K22" s="402">
        <f t="shared" si="7"/>
        <v>2444</v>
      </c>
      <c r="L22" s="402">
        <f t="shared" si="7"/>
        <v>2444</v>
      </c>
      <c r="M22" s="402">
        <f t="shared" si="7"/>
        <v>2444</v>
      </c>
      <c r="N22" s="402">
        <f t="shared" si="7"/>
        <v>2444</v>
      </c>
      <c r="O22" s="402">
        <f>+N22-2</f>
        <v>2442</v>
      </c>
      <c r="P22" s="413">
        <f>SUM(D22:O22)</f>
        <v>29326</v>
      </c>
    </row>
    <row r="23" spans="1:16" ht="12.75">
      <c r="A23" t="s">
        <v>37</v>
      </c>
      <c r="B23" s="400" t="s">
        <v>36</v>
      </c>
      <c r="C23" s="401" t="s">
        <v>338</v>
      </c>
      <c r="D23" s="402">
        <v>3562</v>
      </c>
      <c r="E23" s="402">
        <f>+D23</f>
        <v>3562</v>
      </c>
      <c r="F23" s="402">
        <f aca="true" t="shared" si="8" ref="F23:N23">+E23</f>
        <v>3562</v>
      </c>
      <c r="G23" s="402">
        <f t="shared" si="8"/>
        <v>3562</v>
      </c>
      <c r="H23" s="402">
        <f t="shared" si="8"/>
        <v>3562</v>
      </c>
      <c r="I23" s="402">
        <f t="shared" si="8"/>
        <v>3562</v>
      </c>
      <c r="J23" s="402">
        <f t="shared" si="8"/>
        <v>3562</v>
      </c>
      <c r="K23" s="402">
        <f t="shared" si="8"/>
        <v>3562</v>
      </c>
      <c r="L23" s="402">
        <f t="shared" si="8"/>
        <v>3562</v>
      </c>
      <c r="M23" s="402">
        <f t="shared" si="8"/>
        <v>3562</v>
      </c>
      <c r="N23" s="402">
        <f t="shared" si="8"/>
        <v>3562</v>
      </c>
      <c r="O23" s="402">
        <f>+N23+2</f>
        <v>3564</v>
      </c>
      <c r="P23" s="413">
        <f aca="true" t="shared" si="9" ref="P23:P30">SUM(D23:O23)</f>
        <v>42746</v>
      </c>
    </row>
    <row r="24" spans="1:16" ht="12.75">
      <c r="A24" t="s">
        <v>38</v>
      </c>
      <c r="B24" s="400" t="s">
        <v>37</v>
      </c>
      <c r="C24" s="401" t="s">
        <v>415</v>
      </c>
      <c r="D24" s="402"/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402"/>
      <c r="P24" s="413">
        <f t="shared" si="9"/>
        <v>0</v>
      </c>
    </row>
    <row r="25" spans="1:16" ht="12.75">
      <c r="A25" t="s">
        <v>39</v>
      </c>
      <c r="B25" s="400" t="s">
        <v>38</v>
      </c>
      <c r="C25" s="401" t="s">
        <v>416</v>
      </c>
      <c r="D25" s="402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13">
        <f t="shared" si="9"/>
        <v>0</v>
      </c>
    </row>
    <row r="26" spans="1:16" ht="12.75">
      <c r="A26" t="s">
        <v>42</v>
      </c>
      <c r="B26" s="400" t="s">
        <v>39</v>
      </c>
      <c r="C26" s="401" t="s">
        <v>417</v>
      </c>
      <c r="D26" s="402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13">
        <f t="shared" si="9"/>
        <v>0</v>
      </c>
    </row>
    <row r="27" spans="1:16" ht="12.75">
      <c r="A27" t="s">
        <v>45</v>
      </c>
      <c r="B27" s="400" t="s">
        <v>42</v>
      </c>
      <c r="C27" s="406" t="s">
        <v>418</v>
      </c>
      <c r="D27" s="402">
        <v>12873</v>
      </c>
      <c r="E27" s="402">
        <f>+D27</f>
        <v>12873</v>
      </c>
      <c r="F27" s="402">
        <f aca="true" t="shared" si="10" ref="F27:N27">+E27</f>
        <v>12873</v>
      </c>
      <c r="G27" s="402">
        <f t="shared" si="10"/>
        <v>12873</v>
      </c>
      <c r="H27" s="402">
        <f t="shared" si="10"/>
        <v>12873</v>
      </c>
      <c r="I27" s="402">
        <f t="shared" si="10"/>
        <v>12873</v>
      </c>
      <c r="J27" s="402">
        <f t="shared" si="10"/>
        <v>12873</v>
      </c>
      <c r="K27" s="402">
        <f t="shared" si="10"/>
        <v>12873</v>
      </c>
      <c r="L27" s="402">
        <f t="shared" si="10"/>
        <v>12873</v>
      </c>
      <c r="M27" s="402">
        <f t="shared" si="10"/>
        <v>12873</v>
      </c>
      <c r="N27" s="402">
        <f t="shared" si="10"/>
        <v>12873</v>
      </c>
      <c r="O27" s="402">
        <f>+N27-4+9</f>
        <v>12878</v>
      </c>
      <c r="P27" s="413">
        <f t="shared" si="9"/>
        <v>154481</v>
      </c>
    </row>
    <row r="28" spans="1:16" ht="12.75">
      <c r="A28" t="s">
        <v>46</v>
      </c>
      <c r="B28" s="400" t="s">
        <v>45</v>
      </c>
      <c r="C28" s="401" t="s">
        <v>419</v>
      </c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13">
        <f t="shared" si="9"/>
        <v>0</v>
      </c>
    </row>
    <row r="29" spans="1:16" ht="12.75">
      <c r="A29" t="s">
        <v>47</v>
      </c>
      <c r="B29" s="400" t="s">
        <v>46</v>
      </c>
      <c r="C29" s="401" t="s">
        <v>420</v>
      </c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13">
        <f t="shared" si="9"/>
        <v>0</v>
      </c>
    </row>
    <row r="30" spans="1:16" ht="12.75">
      <c r="A30" t="s">
        <v>48</v>
      </c>
      <c r="B30" s="400" t="s">
        <v>47</v>
      </c>
      <c r="C30" s="401" t="s">
        <v>421</v>
      </c>
      <c r="D30" s="402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402">
        <v>2879</v>
      </c>
      <c r="P30" s="413">
        <f t="shared" si="9"/>
        <v>2879</v>
      </c>
    </row>
    <row r="31" spans="1:16" ht="13.5" thickBot="1">
      <c r="A31" t="s">
        <v>49</v>
      </c>
      <c r="B31" s="400" t="s">
        <v>48</v>
      </c>
      <c r="C31" s="401" t="s">
        <v>422</v>
      </c>
      <c r="D31" s="402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2"/>
      <c r="P31" s="413">
        <f>SUM(D31:O31)</f>
        <v>0</v>
      </c>
    </row>
    <row r="32" spans="1:16" ht="13.5" thickBot="1">
      <c r="A32" t="s">
        <v>50</v>
      </c>
      <c r="B32" s="414" t="s">
        <v>49</v>
      </c>
      <c r="C32" s="408" t="s">
        <v>423</v>
      </c>
      <c r="D32" s="409">
        <f>SUM(D21:D31)</f>
        <v>28401</v>
      </c>
      <c r="E32" s="409">
        <f aca="true" t="shared" si="11" ref="E32:O32">SUM(E21:E31)</f>
        <v>28401</v>
      </c>
      <c r="F32" s="409">
        <f t="shared" si="11"/>
        <v>28401</v>
      </c>
      <c r="G32" s="409">
        <f t="shared" si="11"/>
        <v>28401</v>
      </c>
      <c r="H32" s="409">
        <f t="shared" si="11"/>
        <v>28401</v>
      </c>
      <c r="I32" s="409">
        <f t="shared" si="11"/>
        <v>28401</v>
      </c>
      <c r="J32" s="409">
        <f t="shared" si="11"/>
        <v>28401</v>
      </c>
      <c r="K32" s="409">
        <f t="shared" si="11"/>
        <v>28401</v>
      </c>
      <c r="L32" s="409">
        <f t="shared" si="11"/>
        <v>28401</v>
      </c>
      <c r="M32" s="409">
        <f t="shared" si="11"/>
        <v>28401</v>
      </c>
      <c r="N32" s="409">
        <f t="shared" si="11"/>
        <v>28401</v>
      </c>
      <c r="O32" s="409">
        <f t="shared" si="11"/>
        <v>31279</v>
      </c>
      <c r="P32" s="409">
        <f>SUM(P21:P31)</f>
        <v>343690</v>
      </c>
    </row>
    <row r="33" spans="1:16" ht="13.5" thickBot="1">
      <c r="A33" t="s">
        <v>51</v>
      </c>
      <c r="B33" s="414" t="s">
        <v>50</v>
      </c>
      <c r="C33" s="416" t="s">
        <v>424</v>
      </c>
      <c r="D33" s="417">
        <f>+D19-D32</f>
        <v>0</v>
      </c>
      <c r="E33" s="417">
        <f aca="true" t="shared" si="12" ref="E33:P33">+E19-E32</f>
        <v>0</v>
      </c>
      <c r="F33" s="417">
        <f t="shared" si="12"/>
        <v>0</v>
      </c>
      <c r="G33" s="417">
        <f t="shared" si="12"/>
        <v>0</v>
      </c>
      <c r="H33" s="417">
        <f t="shared" si="12"/>
        <v>0</v>
      </c>
      <c r="I33" s="417">
        <f t="shared" si="12"/>
        <v>0</v>
      </c>
      <c r="J33" s="417">
        <f t="shared" si="12"/>
        <v>0</v>
      </c>
      <c r="K33" s="417">
        <f t="shared" si="12"/>
        <v>0</v>
      </c>
      <c r="L33" s="417">
        <f t="shared" si="12"/>
        <v>0</v>
      </c>
      <c r="M33" s="417">
        <f t="shared" si="12"/>
        <v>0</v>
      </c>
      <c r="N33" s="417">
        <f t="shared" si="12"/>
        <v>0</v>
      </c>
      <c r="O33" s="417">
        <f t="shared" si="12"/>
        <v>0</v>
      </c>
      <c r="P33" s="417">
        <f t="shared" si="12"/>
        <v>0</v>
      </c>
    </row>
    <row r="34" spans="2:16" ht="15.75">
      <c r="B34" s="418"/>
      <c r="C34" s="388"/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8"/>
      <c r="O34" s="388"/>
      <c r="P34" s="558"/>
    </row>
    <row r="35" spans="2:16" ht="15.75">
      <c r="B35" s="387"/>
      <c r="C35" s="419"/>
      <c r="D35" s="420"/>
      <c r="E35" s="420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7"/>
    </row>
  </sheetData>
  <sheetProtection/>
  <mergeCells count="6">
    <mergeCell ref="C9:P9"/>
    <mergeCell ref="C20:P20"/>
    <mergeCell ref="O1:P1"/>
    <mergeCell ref="B2:P2"/>
    <mergeCell ref="B3:P3"/>
    <mergeCell ref="B5:P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  <headerFooter alignWithMargins="0">
    <oddHeader>&amp;L17.melléklet a 2014. évi 4/2014.( II.28.) ÖK számú költségvetési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7">
      <selection activeCell="E16" sqref="E16"/>
    </sheetView>
  </sheetViews>
  <sheetFormatPr defaultColWidth="9.140625" defaultRowHeight="12.75"/>
  <cols>
    <col min="1" max="1" width="5.28125" style="189" customWidth="1"/>
    <col min="2" max="2" width="5.00390625" style="40" customWidth="1"/>
    <col min="3" max="3" width="53.140625" style="40" customWidth="1"/>
    <col min="4" max="4" width="11.00390625" style="40" customWidth="1"/>
    <col min="5" max="5" width="14.7109375" style="40" customWidth="1"/>
    <col min="6" max="6" width="14.7109375" style="370" customWidth="1"/>
    <col min="7" max="9" width="14.7109375" style="40" customWidth="1"/>
    <col min="10" max="10" width="9.140625" style="40" customWidth="1"/>
    <col min="11" max="11" width="10.28125" style="40" bestFit="1" customWidth="1"/>
    <col min="13" max="13" width="9.140625" style="40" customWidth="1"/>
    <col min="14" max="14" width="10.421875" style="40" bestFit="1" customWidth="1"/>
    <col min="15" max="15" width="9.140625" style="40" customWidth="1"/>
    <col min="16" max="18" width="10.140625" style="40" bestFit="1" customWidth="1"/>
    <col min="19" max="16384" width="9.140625" style="40" customWidth="1"/>
  </cols>
  <sheetData>
    <row r="1" spans="2:9" ht="15.75">
      <c r="B1" s="44"/>
      <c r="C1" s="44"/>
      <c r="D1" s="42" t="s">
        <v>122</v>
      </c>
      <c r="E1" s="42" t="s">
        <v>122</v>
      </c>
      <c r="F1" s="581"/>
      <c r="G1" s="42"/>
      <c r="H1" s="42"/>
      <c r="I1" s="42"/>
    </row>
    <row r="2" spans="2:9" ht="15.75">
      <c r="B2" s="41"/>
      <c r="C2" s="41" t="s">
        <v>152</v>
      </c>
      <c r="D2" s="42" t="s">
        <v>72</v>
      </c>
      <c r="E2" s="42" t="s">
        <v>488</v>
      </c>
      <c r="F2" s="581"/>
      <c r="G2" s="42"/>
      <c r="H2" s="42"/>
      <c r="I2" s="42"/>
    </row>
    <row r="3" spans="1:9" s="1" customFormat="1" ht="15.75">
      <c r="A3" s="189" t="s">
        <v>11</v>
      </c>
      <c r="B3" s="41" t="s">
        <v>12</v>
      </c>
      <c r="C3" s="44" t="s">
        <v>13</v>
      </c>
      <c r="D3" s="9" t="s">
        <v>14</v>
      </c>
      <c r="E3" s="9" t="s">
        <v>15</v>
      </c>
      <c r="F3" s="582"/>
      <c r="G3" s="9"/>
      <c r="H3" s="9"/>
      <c r="I3" s="9"/>
    </row>
    <row r="4" spans="2:3" ht="15.75">
      <c r="B4" s="41"/>
      <c r="C4" s="39"/>
    </row>
    <row r="5" spans="1:9" ht="15.75">
      <c r="A5" s="189" t="s">
        <v>20</v>
      </c>
      <c r="B5" s="41"/>
      <c r="C5" s="41" t="s">
        <v>357</v>
      </c>
      <c r="D5" s="190">
        <f>SUM(D7:D12)</f>
        <v>535990</v>
      </c>
      <c r="E5" s="190">
        <f>SUM(E7:E12)</f>
        <v>990209</v>
      </c>
      <c r="F5" s="190"/>
      <c r="G5" s="190"/>
      <c r="H5" s="190"/>
      <c r="I5" s="190"/>
    </row>
    <row r="6" spans="2:3" ht="15.75">
      <c r="B6" s="41"/>
      <c r="C6" s="39"/>
    </row>
    <row r="7" spans="1:14" ht="18" customHeight="1">
      <c r="A7" s="189" t="s">
        <v>22</v>
      </c>
      <c r="B7" s="41" t="s">
        <v>157</v>
      </c>
      <c r="C7" s="39" t="s">
        <v>43</v>
      </c>
      <c r="D7" s="12">
        <f>+4_mell!G21</f>
        <v>70809</v>
      </c>
      <c r="E7" s="12">
        <f>+4_mell!G22</f>
        <v>399972</v>
      </c>
      <c r="F7" s="583"/>
      <c r="G7" s="12"/>
      <c r="H7" s="12"/>
      <c r="I7" s="12"/>
      <c r="N7" s="45"/>
    </row>
    <row r="8" spans="1:9" ht="18" customHeight="1">
      <c r="A8" s="189" t="s">
        <v>24</v>
      </c>
      <c r="B8" s="41" t="s">
        <v>192</v>
      </c>
      <c r="C8" s="39" t="s">
        <v>437</v>
      </c>
      <c r="D8" s="12">
        <f>+4_mell!G30</f>
        <v>145321</v>
      </c>
      <c r="E8" s="12">
        <f>+4_mell!G31</f>
        <v>186330</v>
      </c>
      <c r="F8" s="583"/>
      <c r="G8" s="12"/>
      <c r="H8" s="12"/>
      <c r="I8" s="12"/>
    </row>
    <row r="9" spans="1:9" ht="33" customHeight="1">
      <c r="A9" s="189" t="s">
        <v>25</v>
      </c>
      <c r="B9" s="41" t="s">
        <v>174</v>
      </c>
      <c r="C9" s="191" t="s">
        <v>193</v>
      </c>
      <c r="D9" s="12">
        <f>+4_mell!G11</f>
        <v>119002</v>
      </c>
      <c r="E9" s="12">
        <f>+4_mell!G12</f>
        <v>132304</v>
      </c>
      <c r="F9" s="583"/>
      <c r="G9" s="12"/>
      <c r="H9" s="12"/>
      <c r="I9" s="12"/>
    </row>
    <row r="10" spans="1:9" ht="18" customHeight="1">
      <c r="A10" s="189" t="s">
        <v>26</v>
      </c>
      <c r="B10" s="41" t="s">
        <v>187</v>
      </c>
      <c r="C10" s="39" t="str">
        <f>'[1]2mell_2'!A110</f>
        <v>Városellátó Szervezet</v>
      </c>
      <c r="D10" s="12">
        <f>+4_mell!G6</f>
        <v>182110</v>
      </c>
      <c r="E10" s="12">
        <f>+4_mell!G7</f>
        <v>240971</v>
      </c>
      <c r="F10" s="583"/>
      <c r="G10" s="12"/>
      <c r="H10" s="12"/>
      <c r="I10" s="12"/>
    </row>
    <row r="11" spans="1:9" ht="15.75">
      <c r="A11" s="189" t="s">
        <v>27</v>
      </c>
      <c r="B11" s="41" t="s">
        <v>194</v>
      </c>
      <c r="C11" s="191" t="str">
        <f>+'[2]kiadás'!B24</f>
        <v>Városi Művelődési Központ és Könyvtár</v>
      </c>
      <c r="D11" s="12">
        <f>+4_mell!G16</f>
        <v>18748</v>
      </c>
      <c r="E11" s="12">
        <f>+4_mell!G17</f>
        <v>30632</v>
      </c>
      <c r="F11" s="583"/>
      <c r="G11" s="12"/>
      <c r="H11" s="12"/>
      <c r="I11" s="12"/>
    </row>
    <row r="13" spans="1:9" ht="15.75">
      <c r="A13" s="189" t="s">
        <v>28</v>
      </c>
      <c r="B13" s="41" t="s">
        <v>195</v>
      </c>
      <c r="C13" s="41" t="s">
        <v>200</v>
      </c>
      <c r="D13" s="190">
        <f>SUM(D14:D15)</f>
        <v>184300</v>
      </c>
      <c r="E13" s="190">
        <f>SUM(E14:E15)</f>
        <v>175962</v>
      </c>
      <c r="F13" s="190"/>
      <c r="G13" s="190"/>
      <c r="H13" s="190"/>
      <c r="I13" s="190"/>
    </row>
    <row r="14" spans="1:9" ht="15.75">
      <c r="A14" s="189" t="s">
        <v>29</v>
      </c>
      <c r="B14" s="41"/>
      <c r="C14" s="39" t="s">
        <v>201</v>
      </c>
      <c r="D14" s="47">
        <f>+6_mell!F45</f>
        <v>37473.899999999994</v>
      </c>
      <c r="E14" s="47">
        <v>47652</v>
      </c>
      <c r="F14" s="190"/>
      <c r="G14" s="47"/>
      <c r="H14" s="47"/>
      <c r="I14" s="47"/>
    </row>
    <row r="15" spans="1:9" ht="15.75">
      <c r="A15" s="189" t="s">
        <v>30</v>
      </c>
      <c r="B15" s="41"/>
      <c r="C15" s="39" t="s">
        <v>202</v>
      </c>
      <c r="D15" s="47">
        <f>+6_mell!G45</f>
        <v>146826.1</v>
      </c>
      <c r="E15" s="47">
        <v>128310</v>
      </c>
      <c r="F15" s="190"/>
      <c r="G15" s="47"/>
      <c r="H15" s="47"/>
      <c r="I15" s="47"/>
    </row>
    <row r="16" spans="2:3" ht="15.75">
      <c r="B16" s="41"/>
      <c r="C16" s="39"/>
    </row>
    <row r="17" spans="1:9" ht="15.75">
      <c r="A17" s="189" t="s">
        <v>31</v>
      </c>
      <c r="B17" s="41" t="s">
        <v>196</v>
      </c>
      <c r="C17" s="41" t="s">
        <v>203</v>
      </c>
      <c r="D17" s="16">
        <f>+5_mell!C24</f>
        <v>18550</v>
      </c>
      <c r="E17" s="16">
        <f>+5_mell!D24</f>
        <v>46068</v>
      </c>
      <c r="F17" s="583"/>
      <c r="G17" s="16"/>
      <c r="H17" s="16"/>
      <c r="I17" s="16"/>
    </row>
    <row r="18" spans="2:3" ht="15.75">
      <c r="B18" s="41"/>
      <c r="C18" s="41"/>
    </row>
    <row r="19" spans="1:9" ht="15.75">
      <c r="A19" s="189" t="s">
        <v>32</v>
      </c>
      <c r="B19" s="41" t="s">
        <v>197</v>
      </c>
      <c r="C19" s="41" t="s">
        <v>204</v>
      </c>
      <c r="D19" s="16">
        <f>+5_mell!C28</f>
        <v>3000</v>
      </c>
      <c r="E19" s="16">
        <f>+5_mell!D28</f>
        <v>3000</v>
      </c>
      <c r="F19" s="583"/>
      <c r="G19" s="16"/>
      <c r="H19" s="16"/>
      <c r="I19" s="16"/>
    </row>
    <row r="20" spans="2:3" ht="15.75">
      <c r="B20" s="41"/>
      <c r="C20" s="39"/>
    </row>
    <row r="21" spans="1:9" ht="15.75">
      <c r="A21" s="189" t="s">
        <v>33</v>
      </c>
      <c r="B21" s="41" t="s">
        <v>198</v>
      </c>
      <c r="C21" s="41" t="s">
        <v>205</v>
      </c>
      <c r="D21" s="190">
        <f>SUM(D22:D23)</f>
        <v>0</v>
      </c>
      <c r="E21" s="590">
        <f>SUM(E22:E23)</f>
        <v>66544</v>
      </c>
      <c r="F21" s="190"/>
      <c r="G21" s="190"/>
      <c r="H21" s="190"/>
      <c r="I21" s="190"/>
    </row>
    <row r="22" spans="1:9" ht="15.75">
      <c r="A22" s="189" t="s">
        <v>34</v>
      </c>
      <c r="B22" s="41"/>
      <c r="C22" s="39" t="s">
        <v>206</v>
      </c>
      <c r="D22" s="45">
        <f>+7_mell!C51</f>
        <v>0</v>
      </c>
      <c r="E22" s="45">
        <f>+7_mell!D51</f>
        <v>56738</v>
      </c>
      <c r="G22" s="45"/>
      <c r="H22" s="45"/>
      <c r="I22" s="45"/>
    </row>
    <row r="23" spans="1:5" ht="15.75">
      <c r="A23" s="189" t="s">
        <v>35</v>
      </c>
      <c r="B23" s="41"/>
      <c r="C23" s="39" t="s">
        <v>207</v>
      </c>
      <c r="D23" s="40">
        <f>+7_mell!C52</f>
        <v>0</v>
      </c>
      <c r="E23" s="40">
        <f>+7_mell!D52</f>
        <v>9806</v>
      </c>
    </row>
    <row r="24" spans="2:3" ht="15.75">
      <c r="B24" s="41"/>
      <c r="C24" s="39"/>
    </row>
    <row r="25" spans="1:9" s="1" customFormat="1" ht="15.75">
      <c r="A25" s="189" t="s">
        <v>36</v>
      </c>
      <c r="C25" s="41" t="s">
        <v>209</v>
      </c>
      <c r="D25" s="13">
        <f>+D21+D19+D17+D13+D5</f>
        <v>741840</v>
      </c>
      <c r="E25" s="13">
        <f>+E21+E19+E17+E13+E5</f>
        <v>1281783</v>
      </c>
      <c r="F25" s="18"/>
      <c r="G25" s="13"/>
      <c r="H25" s="13"/>
      <c r="I25" s="13"/>
    </row>
    <row r="26" ht="13.5" customHeight="1"/>
    <row r="27" spans="1:9" ht="15.75">
      <c r="A27" s="189" t="s">
        <v>37</v>
      </c>
      <c r="B27" s="1" t="s">
        <v>199</v>
      </c>
      <c r="C27" s="41" t="s">
        <v>238</v>
      </c>
      <c r="D27" s="16">
        <f>SUM(D28:D30)</f>
        <v>25458</v>
      </c>
      <c r="E27" s="16">
        <f>SUM(E28:E30)</f>
        <v>25458</v>
      </c>
      <c r="F27" s="583"/>
      <c r="G27" s="16"/>
      <c r="H27" s="16"/>
      <c r="I27" s="16"/>
    </row>
    <row r="28" spans="1:18" ht="15.75">
      <c r="A28" s="189" t="s">
        <v>38</v>
      </c>
      <c r="B28" s="1"/>
      <c r="C28" s="39" t="s">
        <v>239</v>
      </c>
      <c r="D28" s="45">
        <f>+'11_mell'!G8</f>
        <v>1050</v>
      </c>
      <c r="E28" s="45">
        <f>+D28</f>
        <v>1050</v>
      </c>
      <c r="G28" s="45"/>
      <c r="H28" s="45"/>
      <c r="I28" s="45"/>
      <c r="R28" s="45"/>
    </row>
    <row r="29" spans="1:11" ht="15.75">
      <c r="A29" s="189" t="s">
        <v>39</v>
      </c>
      <c r="B29" s="12"/>
      <c r="C29" s="189" t="s">
        <v>489</v>
      </c>
      <c r="D29" s="45">
        <f>+'11_mell'!H6</f>
        <v>16272</v>
      </c>
      <c r="E29" s="45">
        <f>+D29</f>
        <v>16272</v>
      </c>
      <c r="G29" s="45"/>
      <c r="H29" s="45"/>
      <c r="I29" s="45"/>
      <c r="K29" s="45"/>
    </row>
    <row r="30" spans="1:9" ht="15">
      <c r="A30" s="189" t="s">
        <v>42</v>
      </c>
      <c r="C30" s="189" t="s">
        <v>490</v>
      </c>
      <c r="D30" s="45">
        <v>8136</v>
      </c>
      <c r="E30" s="45">
        <f>+D30</f>
        <v>8136</v>
      </c>
      <c r="G30" s="45"/>
      <c r="H30" s="45"/>
      <c r="I30" s="45"/>
    </row>
    <row r="31" spans="3:9" ht="15">
      <c r="C31" s="189"/>
      <c r="D31" s="45"/>
      <c r="E31" s="45"/>
      <c r="G31" s="45"/>
      <c r="H31" s="45"/>
      <c r="I31" s="45"/>
    </row>
    <row r="32" spans="1:9" ht="15.75">
      <c r="A32" s="189" t="s">
        <v>45</v>
      </c>
      <c r="B32" s="12" t="s">
        <v>495</v>
      </c>
      <c r="C32" s="12" t="s">
        <v>496</v>
      </c>
      <c r="D32" s="45"/>
      <c r="E32" s="16">
        <v>400</v>
      </c>
      <c r="G32" s="45"/>
      <c r="H32" s="45"/>
      <c r="I32" s="45"/>
    </row>
    <row r="34" spans="1:11" ht="15.75">
      <c r="A34" s="189" t="s">
        <v>46</v>
      </c>
      <c r="B34" s="41"/>
      <c r="C34" s="41" t="s">
        <v>40</v>
      </c>
      <c r="D34" s="47">
        <f>+D27+D25</f>
        <v>767298</v>
      </c>
      <c r="E34" s="47">
        <f>+E27+E25+E32</f>
        <v>1307641</v>
      </c>
      <c r="F34" s="190"/>
      <c r="G34" s="47"/>
      <c r="H34" s="47"/>
      <c r="I34" s="47"/>
      <c r="K34" s="45"/>
    </row>
    <row r="35" spans="1:9" ht="15.75">
      <c r="A35" s="189" t="s">
        <v>47</v>
      </c>
      <c r="B35" s="41"/>
      <c r="C35" s="39" t="s">
        <v>210</v>
      </c>
      <c r="D35" s="45">
        <f>+1_mell!D115</f>
        <v>767297.524</v>
      </c>
      <c r="E35" s="45">
        <f>+1_mell!E115</f>
        <v>1307640.524</v>
      </c>
      <c r="G35" s="45"/>
      <c r="H35" s="45"/>
      <c r="I35" s="45"/>
    </row>
    <row r="37" spans="4:9" ht="15">
      <c r="D37" s="370">
        <f>+D35-D34</f>
        <v>-0.4760000000242144</v>
      </c>
      <c r="E37" s="370">
        <f>+E35-E34</f>
        <v>-0.4760000000242144</v>
      </c>
      <c r="G37" s="370"/>
      <c r="H37" s="370"/>
      <c r="I37" s="370"/>
    </row>
    <row r="39" spans="5:9" ht="15">
      <c r="E39" s="45"/>
      <c r="G39" s="45"/>
      <c r="H39" s="45"/>
      <c r="I39" s="4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&amp;L2. melléklet a 2014. évi 4/2014.(II.28.) Önkormányzati költségvetési rendelethez&amp;R&amp;D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P33"/>
  <sheetViews>
    <sheetView view="pageBreakPreview" zoomScale="60" zoomScalePageLayoutView="0" workbookViewId="0" topLeftCell="A1">
      <selection activeCell="T19" sqref="T19"/>
    </sheetView>
  </sheetViews>
  <sheetFormatPr defaultColWidth="9.140625" defaultRowHeight="12.75"/>
  <cols>
    <col min="1" max="1" width="3.421875" style="0" customWidth="1"/>
    <col min="2" max="2" width="4.8515625" style="0" bestFit="1" customWidth="1"/>
    <col min="3" max="3" width="35.57421875" style="0" customWidth="1"/>
  </cols>
  <sheetData>
    <row r="1" spans="15:16" ht="12.75">
      <c r="O1" s="727"/>
      <c r="P1" s="727"/>
    </row>
    <row r="2" spans="2:16" ht="15.75">
      <c r="B2" s="728" t="s">
        <v>464</v>
      </c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</row>
    <row r="3" spans="2:16" ht="15.75">
      <c r="B3" s="728" t="s">
        <v>435</v>
      </c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</row>
    <row r="4" spans="2:16" ht="15.75"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9" t="s">
        <v>390</v>
      </c>
    </row>
    <row r="5" spans="1:16" ht="16.5" thickBot="1">
      <c r="A5" t="s">
        <v>11</v>
      </c>
      <c r="B5" s="573" t="s">
        <v>12</v>
      </c>
      <c r="C5" s="574" t="s">
        <v>13</v>
      </c>
      <c r="D5" s="574" t="s">
        <v>14</v>
      </c>
      <c r="E5" s="574" t="s">
        <v>15</v>
      </c>
      <c r="F5" s="574" t="s">
        <v>16</v>
      </c>
      <c r="G5" s="574" t="s">
        <v>17</v>
      </c>
      <c r="H5" s="574" t="s">
        <v>18</v>
      </c>
      <c r="I5" s="574" t="s">
        <v>67</v>
      </c>
      <c r="J5" s="574" t="s">
        <v>481</v>
      </c>
      <c r="K5" s="574" t="s">
        <v>473</v>
      </c>
      <c r="L5" s="574" t="s">
        <v>474</v>
      </c>
      <c r="M5" s="574" t="s">
        <v>476</v>
      </c>
      <c r="N5" s="574" t="s">
        <v>482</v>
      </c>
      <c r="O5" s="574" t="s">
        <v>483</v>
      </c>
      <c r="P5" s="574" t="s">
        <v>484</v>
      </c>
    </row>
    <row r="6" spans="1:16" ht="24.75" thickBot="1">
      <c r="A6" t="s">
        <v>20</v>
      </c>
      <c r="B6" s="390" t="s">
        <v>391</v>
      </c>
      <c r="C6" s="391" t="s">
        <v>71</v>
      </c>
      <c r="D6" s="391" t="s">
        <v>392</v>
      </c>
      <c r="E6" s="391" t="s">
        <v>393</v>
      </c>
      <c r="F6" s="391" t="s">
        <v>394</v>
      </c>
      <c r="G6" s="391" t="s">
        <v>395</v>
      </c>
      <c r="H6" s="391" t="s">
        <v>396</v>
      </c>
      <c r="I6" s="391" t="s">
        <v>397</v>
      </c>
      <c r="J6" s="391" t="s">
        <v>398</v>
      </c>
      <c r="K6" s="391" t="s">
        <v>399</v>
      </c>
      <c r="L6" s="391" t="s">
        <v>400</v>
      </c>
      <c r="M6" s="391" t="s">
        <v>401</v>
      </c>
      <c r="N6" s="391" t="s">
        <v>402</v>
      </c>
      <c r="O6" s="391" t="s">
        <v>403</v>
      </c>
      <c r="P6" s="392" t="s">
        <v>404</v>
      </c>
    </row>
    <row r="7" spans="1:16" ht="13.5" thickBot="1">
      <c r="A7" t="s">
        <v>22</v>
      </c>
      <c r="B7" s="393" t="s">
        <v>20</v>
      </c>
      <c r="C7" s="723" t="s">
        <v>123</v>
      </c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5"/>
    </row>
    <row r="8" spans="1:16" ht="12.75">
      <c r="A8" t="s">
        <v>24</v>
      </c>
      <c r="B8" s="396" t="s">
        <v>22</v>
      </c>
      <c r="C8" s="397" t="s">
        <v>405</v>
      </c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9">
        <f>SUM(D8:O8)</f>
        <v>0</v>
      </c>
    </row>
    <row r="9" spans="1:16" ht="12.75">
      <c r="A9" t="s">
        <v>25</v>
      </c>
      <c r="B9" s="400" t="s">
        <v>24</v>
      </c>
      <c r="C9" s="401" t="s">
        <v>406</v>
      </c>
      <c r="D9" s="402">
        <v>985</v>
      </c>
      <c r="E9" s="402">
        <f>+D9</f>
        <v>985</v>
      </c>
      <c r="F9" s="402">
        <f aca="true" t="shared" si="0" ref="F9:N9">+E9</f>
        <v>985</v>
      </c>
      <c r="G9" s="402">
        <f t="shared" si="0"/>
        <v>985</v>
      </c>
      <c r="H9" s="402">
        <f t="shared" si="0"/>
        <v>985</v>
      </c>
      <c r="I9" s="402">
        <f t="shared" si="0"/>
        <v>985</v>
      </c>
      <c r="J9" s="402">
        <f t="shared" si="0"/>
        <v>985</v>
      </c>
      <c r="K9" s="402">
        <f t="shared" si="0"/>
        <v>985</v>
      </c>
      <c r="L9" s="402">
        <f t="shared" si="0"/>
        <v>985</v>
      </c>
      <c r="M9" s="402">
        <f t="shared" si="0"/>
        <v>985</v>
      </c>
      <c r="N9" s="402">
        <f t="shared" si="0"/>
        <v>985</v>
      </c>
      <c r="O9" s="402">
        <f>+N9-1</f>
        <v>984</v>
      </c>
      <c r="P9" s="403">
        <f aca="true" t="shared" si="1" ref="P9:P15">SUM(D9:O9)</f>
        <v>11819</v>
      </c>
    </row>
    <row r="10" spans="1:16" ht="12.75">
      <c r="A10" t="s">
        <v>26</v>
      </c>
      <c r="B10" s="400" t="s">
        <v>25</v>
      </c>
      <c r="C10" s="404" t="s">
        <v>407</v>
      </c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03">
        <f t="shared" si="1"/>
        <v>0</v>
      </c>
    </row>
    <row r="11" spans="1:16" ht="12.75">
      <c r="A11" t="s">
        <v>27</v>
      </c>
      <c r="B11" s="400" t="s">
        <v>26</v>
      </c>
      <c r="C11" s="401" t="s">
        <v>408</v>
      </c>
      <c r="D11" s="402">
        <v>2904</v>
      </c>
      <c r="E11" s="402">
        <f>+D11</f>
        <v>2904</v>
      </c>
      <c r="F11" s="402">
        <f aca="true" t="shared" si="2" ref="F11:N11">+E11</f>
        <v>2904</v>
      </c>
      <c r="G11" s="402">
        <f t="shared" si="2"/>
        <v>2904</v>
      </c>
      <c r="H11" s="402">
        <f t="shared" si="2"/>
        <v>2904</v>
      </c>
      <c r="I11" s="402">
        <f t="shared" si="2"/>
        <v>2904</v>
      </c>
      <c r="J11" s="402">
        <f t="shared" si="2"/>
        <v>2904</v>
      </c>
      <c r="K11" s="402">
        <f t="shared" si="2"/>
        <v>2904</v>
      </c>
      <c r="L11" s="402">
        <f t="shared" si="2"/>
        <v>2904</v>
      </c>
      <c r="M11" s="402">
        <f t="shared" si="2"/>
        <v>2904</v>
      </c>
      <c r="N11" s="402">
        <f t="shared" si="2"/>
        <v>2904</v>
      </c>
      <c r="O11" s="402">
        <f>+N11</f>
        <v>2904</v>
      </c>
      <c r="P11" s="403">
        <f t="shared" si="1"/>
        <v>34848</v>
      </c>
    </row>
    <row r="12" spans="1:16" ht="12.75">
      <c r="A12" t="s">
        <v>28</v>
      </c>
      <c r="B12" s="400" t="s">
        <v>27</v>
      </c>
      <c r="C12" s="401" t="s">
        <v>409</v>
      </c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3">
        <f t="shared" si="1"/>
        <v>0</v>
      </c>
    </row>
    <row r="13" spans="1:16" ht="12.75">
      <c r="A13" t="s">
        <v>29</v>
      </c>
      <c r="B13" s="400" t="s">
        <v>28</v>
      </c>
      <c r="C13" s="401" t="s">
        <v>410</v>
      </c>
      <c r="D13" s="402"/>
      <c r="E13" s="402">
        <v>1349</v>
      </c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403">
        <f t="shared" si="1"/>
        <v>1349</v>
      </c>
    </row>
    <row r="14" spans="1:16" ht="12.75">
      <c r="A14" t="s">
        <v>30</v>
      </c>
      <c r="B14" s="400" t="s">
        <v>29</v>
      </c>
      <c r="C14" s="401" t="s">
        <v>411</v>
      </c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3">
        <f t="shared" si="1"/>
        <v>0</v>
      </c>
    </row>
    <row r="15" spans="1:16" ht="22.5">
      <c r="A15" t="s">
        <v>31</v>
      </c>
      <c r="B15" s="400" t="s">
        <v>30</v>
      </c>
      <c r="C15" s="406" t="s">
        <v>412</v>
      </c>
      <c r="D15" s="402">
        <v>4065</v>
      </c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3">
        <f t="shared" si="1"/>
        <v>4065</v>
      </c>
    </row>
    <row r="16" spans="1:16" ht="13.5" thickBot="1">
      <c r="A16" t="s">
        <v>32</v>
      </c>
      <c r="B16" s="400" t="s">
        <v>31</v>
      </c>
      <c r="C16" s="401" t="s">
        <v>302</v>
      </c>
      <c r="D16" s="402">
        <f>+D30-D8-D9-D10-D11-D12-D13-D14-D15</f>
        <v>3070</v>
      </c>
      <c r="E16" s="402">
        <f aca="true" t="shared" si="3" ref="E16:O16">+E30-E8-E9-E10-E11-E12-E13-E14-E15</f>
        <v>5786</v>
      </c>
      <c r="F16" s="402">
        <f t="shared" si="3"/>
        <v>7832</v>
      </c>
      <c r="G16" s="402">
        <f t="shared" si="3"/>
        <v>7135</v>
      </c>
      <c r="H16" s="402">
        <f t="shared" si="3"/>
        <v>7135</v>
      </c>
      <c r="I16" s="402">
        <f t="shared" si="3"/>
        <v>7135</v>
      </c>
      <c r="J16" s="402">
        <f t="shared" si="3"/>
        <v>7135</v>
      </c>
      <c r="K16" s="402">
        <f t="shared" si="3"/>
        <v>7135</v>
      </c>
      <c r="L16" s="402">
        <f t="shared" si="3"/>
        <v>7352</v>
      </c>
      <c r="M16" s="402">
        <f t="shared" si="3"/>
        <v>7135</v>
      </c>
      <c r="N16" s="402">
        <f t="shared" si="3"/>
        <v>7135</v>
      </c>
      <c r="O16" s="402">
        <f t="shared" si="3"/>
        <v>7152</v>
      </c>
      <c r="P16" s="407">
        <f>SUM(D16:O16)</f>
        <v>81137</v>
      </c>
    </row>
    <row r="17" spans="1:16" ht="13.5" thickBot="1">
      <c r="A17" t="s">
        <v>33</v>
      </c>
      <c r="B17" s="393" t="s">
        <v>32</v>
      </c>
      <c r="C17" s="408" t="s">
        <v>413</v>
      </c>
      <c r="D17" s="409">
        <f>SUM(D8:D16)</f>
        <v>11024</v>
      </c>
      <c r="E17" s="409">
        <f aca="true" t="shared" si="4" ref="E17:P17">SUM(E8:E16)</f>
        <v>11024</v>
      </c>
      <c r="F17" s="409">
        <f t="shared" si="4"/>
        <v>11721</v>
      </c>
      <c r="G17" s="409">
        <f t="shared" si="4"/>
        <v>11024</v>
      </c>
      <c r="H17" s="409">
        <f t="shared" si="4"/>
        <v>11024</v>
      </c>
      <c r="I17" s="409">
        <f t="shared" si="4"/>
        <v>11024</v>
      </c>
      <c r="J17" s="409">
        <f t="shared" si="4"/>
        <v>11024</v>
      </c>
      <c r="K17" s="409">
        <f t="shared" si="4"/>
        <v>11024</v>
      </c>
      <c r="L17" s="409">
        <f t="shared" si="4"/>
        <v>11241</v>
      </c>
      <c r="M17" s="409">
        <f t="shared" si="4"/>
        <v>11024</v>
      </c>
      <c r="N17" s="409">
        <f t="shared" si="4"/>
        <v>11024</v>
      </c>
      <c r="O17" s="409">
        <f t="shared" si="4"/>
        <v>11040</v>
      </c>
      <c r="P17" s="409">
        <f t="shared" si="4"/>
        <v>133218</v>
      </c>
    </row>
    <row r="18" spans="1:16" ht="13.5" thickBot="1">
      <c r="A18" t="s">
        <v>34</v>
      </c>
      <c r="B18" s="393" t="s">
        <v>33</v>
      </c>
      <c r="C18" s="723" t="s">
        <v>152</v>
      </c>
      <c r="D18" s="724"/>
      <c r="E18" s="724"/>
      <c r="F18" s="724"/>
      <c r="G18" s="724"/>
      <c r="H18" s="724"/>
      <c r="I18" s="724"/>
      <c r="J18" s="724"/>
      <c r="K18" s="724"/>
      <c r="L18" s="724"/>
      <c r="M18" s="724"/>
      <c r="N18" s="724"/>
      <c r="O18" s="724"/>
      <c r="P18" s="726"/>
    </row>
    <row r="19" spans="1:16" ht="12.75">
      <c r="A19" t="s">
        <v>35</v>
      </c>
      <c r="B19" s="411" t="s">
        <v>34</v>
      </c>
      <c r="C19" s="412" t="s">
        <v>295</v>
      </c>
      <c r="D19" s="405">
        <v>5410</v>
      </c>
      <c r="E19" s="405">
        <f>+D19</f>
        <v>5410</v>
      </c>
      <c r="F19" s="405">
        <f aca="true" t="shared" si="5" ref="F19:N19">+E19</f>
        <v>5410</v>
      </c>
      <c r="G19" s="405">
        <f t="shared" si="5"/>
        <v>5410</v>
      </c>
      <c r="H19" s="405">
        <f t="shared" si="5"/>
        <v>5410</v>
      </c>
      <c r="I19" s="405">
        <f t="shared" si="5"/>
        <v>5410</v>
      </c>
      <c r="J19" s="405">
        <f t="shared" si="5"/>
        <v>5410</v>
      </c>
      <c r="K19" s="405">
        <f t="shared" si="5"/>
        <v>5410</v>
      </c>
      <c r="L19" s="405">
        <f t="shared" si="5"/>
        <v>5410</v>
      </c>
      <c r="M19" s="405">
        <f t="shared" si="5"/>
        <v>5410</v>
      </c>
      <c r="N19" s="405">
        <f t="shared" si="5"/>
        <v>5410</v>
      </c>
      <c r="O19" s="405">
        <f>+N19+7</f>
        <v>5417</v>
      </c>
      <c r="P19" s="413">
        <f>SUM(D19:O19)</f>
        <v>64927</v>
      </c>
    </row>
    <row r="20" spans="1:16" ht="24.75" customHeight="1">
      <c r="A20" t="s">
        <v>36</v>
      </c>
      <c r="B20" s="400" t="s">
        <v>35</v>
      </c>
      <c r="C20" s="406" t="s">
        <v>414</v>
      </c>
      <c r="D20" s="402">
        <v>1432</v>
      </c>
      <c r="E20" s="402">
        <f>+D20</f>
        <v>1432</v>
      </c>
      <c r="F20" s="402">
        <f aca="true" t="shared" si="6" ref="F20:N20">+E20</f>
        <v>1432</v>
      </c>
      <c r="G20" s="402">
        <f t="shared" si="6"/>
        <v>1432</v>
      </c>
      <c r="H20" s="402">
        <f t="shared" si="6"/>
        <v>1432</v>
      </c>
      <c r="I20" s="402">
        <f t="shared" si="6"/>
        <v>1432</v>
      </c>
      <c r="J20" s="402">
        <f t="shared" si="6"/>
        <v>1432</v>
      </c>
      <c r="K20" s="402">
        <f t="shared" si="6"/>
        <v>1432</v>
      </c>
      <c r="L20" s="402">
        <f t="shared" si="6"/>
        <v>1432</v>
      </c>
      <c r="M20" s="402">
        <f t="shared" si="6"/>
        <v>1432</v>
      </c>
      <c r="N20" s="402">
        <f t="shared" si="6"/>
        <v>1432</v>
      </c>
      <c r="O20" s="402">
        <f>+N20+4-1</f>
        <v>1435</v>
      </c>
      <c r="P20" s="413">
        <f aca="true" t="shared" si="7" ref="P20:P28">SUM(D20:O20)</f>
        <v>17187</v>
      </c>
    </row>
    <row r="21" spans="1:16" ht="12.75">
      <c r="A21" t="s">
        <v>37</v>
      </c>
      <c r="B21" s="400" t="s">
        <v>36</v>
      </c>
      <c r="C21" s="401" t="s">
        <v>338</v>
      </c>
      <c r="D21" s="402">
        <v>4182</v>
      </c>
      <c r="E21" s="402">
        <f>+D21</f>
        <v>4182</v>
      </c>
      <c r="F21" s="402">
        <f aca="true" t="shared" si="8" ref="F21:N21">+E21</f>
        <v>4182</v>
      </c>
      <c r="G21" s="402">
        <f t="shared" si="8"/>
        <v>4182</v>
      </c>
      <c r="H21" s="402">
        <f t="shared" si="8"/>
        <v>4182</v>
      </c>
      <c r="I21" s="402">
        <f t="shared" si="8"/>
        <v>4182</v>
      </c>
      <c r="J21" s="402">
        <f t="shared" si="8"/>
        <v>4182</v>
      </c>
      <c r="K21" s="402">
        <f t="shared" si="8"/>
        <v>4182</v>
      </c>
      <c r="L21" s="402">
        <f t="shared" si="8"/>
        <v>4182</v>
      </c>
      <c r="M21" s="402">
        <f t="shared" si="8"/>
        <v>4182</v>
      </c>
      <c r="N21" s="402">
        <f t="shared" si="8"/>
        <v>4182</v>
      </c>
      <c r="O21" s="402">
        <f>+N21+6</f>
        <v>4188</v>
      </c>
      <c r="P21" s="413">
        <f t="shared" si="7"/>
        <v>50190</v>
      </c>
    </row>
    <row r="22" spans="1:16" ht="12.75">
      <c r="A22" t="s">
        <v>38</v>
      </c>
      <c r="B22" s="400" t="s">
        <v>37</v>
      </c>
      <c r="C22" s="401" t="s">
        <v>415</v>
      </c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2"/>
      <c r="P22" s="413">
        <f t="shared" si="7"/>
        <v>0</v>
      </c>
    </row>
    <row r="23" spans="1:16" ht="12.75">
      <c r="A23" t="s">
        <v>39</v>
      </c>
      <c r="B23" s="400" t="s">
        <v>38</v>
      </c>
      <c r="C23" s="401" t="s">
        <v>416</v>
      </c>
      <c r="D23" s="402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13">
        <f t="shared" si="7"/>
        <v>0</v>
      </c>
    </row>
    <row r="24" spans="1:16" ht="12.75">
      <c r="A24" t="s">
        <v>42</v>
      </c>
      <c r="B24" s="400" t="s">
        <v>39</v>
      </c>
      <c r="C24" s="401" t="s">
        <v>417</v>
      </c>
      <c r="D24" s="402"/>
      <c r="E24" s="402"/>
      <c r="F24" s="402">
        <v>697</v>
      </c>
      <c r="G24" s="402"/>
      <c r="H24" s="402"/>
      <c r="I24" s="402"/>
      <c r="J24" s="402"/>
      <c r="K24" s="402"/>
      <c r="L24" s="402"/>
      <c r="M24" s="402"/>
      <c r="N24" s="402"/>
      <c r="O24" s="402"/>
      <c r="P24" s="413">
        <f t="shared" si="7"/>
        <v>697</v>
      </c>
    </row>
    <row r="25" spans="1:16" ht="21" customHeight="1">
      <c r="A25" t="s">
        <v>45</v>
      </c>
      <c r="B25" s="400" t="s">
        <v>42</v>
      </c>
      <c r="C25" s="406" t="s">
        <v>418</v>
      </c>
      <c r="D25" s="402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13">
        <f t="shared" si="7"/>
        <v>0</v>
      </c>
    </row>
    <row r="26" spans="1:16" ht="12.75">
      <c r="A26" t="s">
        <v>46</v>
      </c>
      <c r="B26" s="400" t="s">
        <v>45</v>
      </c>
      <c r="C26" s="401" t="s">
        <v>419</v>
      </c>
      <c r="D26" s="402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13">
        <f t="shared" si="7"/>
        <v>0</v>
      </c>
    </row>
    <row r="27" spans="1:16" ht="12.75">
      <c r="A27" t="s">
        <v>47</v>
      </c>
      <c r="B27" s="400" t="s">
        <v>46</v>
      </c>
      <c r="C27" s="401" t="s">
        <v>420</v>
      </c>
      <c r="D27" s="402"/>
      <c r="E27" s="402"/>
      <c r="F27" s="402"/>
      <c r="G27" s="402"/>
      <c r="H27" s="402"/>
      <c r="I27" s="402"/>
      <c r="J27" s="402"/>
      <c r="K27" s="402"/>
      <c r="L27" s="402"/>
      <c r="M27" s="402"/>
      <c r="N27" s="402"/>
      <c r="O27" s="402"/>
      <c r="P27" s="413">
        <f t="shared" si="7"/>
        <v>0</v>
      </c>
    </row>
    <row r="28" spans="1:16" ht="12.75">
      <c r="A28" t="s">
        <v>48</v>
      </c>
      <c r="B28" s="400" t="s">
        <v>47</v>
      </c>
      <c r="C28" s="401" t="s">
        <v>421</v>
      </c>
      <c r="D28" s="402"/>
      <c r="E28" s="402"/>
      <c r="F28" s="402"/>
      <c r="G28" s="402"/>
      <c r="H28" s="402"/>
      <c r="I28" s="402"/>
      <c r="J28" s="402"/>
      <c r="K28" s="402"/>
      <c r="L28" s="402">
        <v>217</v>
      </c>
      <c r="M28" s="402"/>
      <c r="N28" s="402"/>
      <c r="O28" s="402"/>
      <c r="P28" s="413">
        <f t="shared" si="7"/>
        <v>217</v>
      </c>
    </row>
    <row r="29" spans="1:16" ht="13.5" thickBot="1">
      <c r="A29" t="s">
        <v>49</v>
      </c>
      <c r="B29" s="400" t="s">
        <v>48</v>
      </c>
      <c r="C29" s="401" t="s">
        <v>422</v>
      </c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13">
        <f>SUM(D29:O29)</f>
        <v>0</v>
      </c>
    </row>
    <row r="30" spans="1:16" ht="13.5" thickBot="1">
      <c r="A30" t="s">
        <v>50</v>
      </c>
      <c r="B30" s="414" t="s">
        <v>49</v>
      </c>
      <c r="C30" s="408" t="s">
        <v>423</v>
      </c>
      <c r="D30" s="409">
        <f>SUM(D19:D29)</f>
        <v>11024</v>
      </c>
      <c r="E30" s="409">
        <f aca="true" t="shared" si="9" ref="E30:O30">SUM(E19:E29)</f>
        <v>11024</v>
      </c>
      <c r="F30" s="409">
        <f t="shared" si="9"/>
        <v>11721</v>
      </c>
      <c r="G30" s="409">
        <f t="shared" si="9"/>
        <v>11024</v>
      </c>
      <c r="H30" s="409">
        <f t="shared" si="9"/>
        <v>11024</v>
      </c>
      <c r="I30" s="409">
        <f t="shared" si="9"/>
        <v>11024</v>
      </c>
      <c r="J30" s="409">
        <f t="shared" si="9"/>
        <v>11024</v>
      </c>
      <c r="K30" s="409">
        <f t="shared" si="9"/>
        <v>11024</v>
      </c>
      <c r="L30" s="409">
        <f t="shared" si="9"/>
        <v>11241</v>
      </c>
      <c r="M30" s="409">
        <f t="shared" si="9"/>
        <v>11024</v>
      </c>
      <c r="N30" s="409">
        <f t="shared" si="9"/>
        <v>11024</v>
      </c>
      <c r="O30" s="409">
        <f t="shared" si="9"/>
        <v>11040</v>
      </c>
      <c r="P30" s="415">
        <f>SUM(P19:P29)</f>
        <v>133218</v>
      </c>
    </row>
    <row r="31" spans="1:16" ht="13.5" thickBot="1">
      <c r="A31" t="s">
        <v>51</v>
      </c>
      <c r="B31" s="414" t="s">
        <v>50</v>
      </c>
      <c r="C31" s="416" t="s">
        <v>424</v>
      </c>
      <c r="D31" s="417">
        <f>+D30-D17</f>
        <v>0</v>
      </c>
      <c r="E31" s="417">
        <f aca="true" t="shared" si="10" ref="E31:P31">+E30-E17</f>
        <v>0</v>
      </c>
      <c r="F31" s="417">
        <f t="shared" si="10"/>
        <v>0</v>
      </c>
      <c r="G31" s="417">
        <f t="shared" si="10"/>
        <v>0</v>
      </c>
      <c r="H31" s="417">
        <f t="shared" si="10"/>
        <v>0</v>
      </c>
      <c r="I31" s="417">
        <f t="shared" si="10"/>
        <v>0</v>
      </c>
      <c r="J31" s="417">
        <f t="shared" si="10"/>
        <v>0</v>
      </c>
      <c r="K31" s="417">
        <f t="shared" si="10"/>
        <v>0</v>
      </c>
      <c r="L31" s="417">
        <f t="shared" si="10"/>
        <v>0</v>
      </c>
      <c r="M31" s="417">
        <f t="shared" si="10"/>
        <v>0</v>
      </c>
      <c r="N31" s="417">
        <f t="shared" si="10"/>
        <v>0</v>
      </c>
      <c r="O31" s="417">
        <f t="shared" si="10"/>
        <v>0</v>
      </c>
      <c r="P31" s="417">
        <f t="shared" si="10"/>
        <v>0</v>
      </c>
    </row>
    <row r="32" spans="2:16" ht="15.75">
      <c r="B32" s="41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7"/>
    </row>
    <row r="33" spans="2:16" ht="15.75">
      <c r="B33" s="387"/>
      <c r="C33" s="419"/>
      <c r="D33" s="421"/>
      <c r="E33" s="420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7"/>
    </row>
  </sheetData>
  <sheetProtection/>
  <mergeCells count="5">
    <mergeCell ref="C7:P7"/>
    <mergeCell ref="C18:P18"/>
    <mergeCell ref="O1:P1"/>
    <mergeCell ref="B2:P2"/>
    <mergeCell ref="B3:P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1"/>
  <headerFooter alignWithMargins="0">
    <oddHeader>&amp;L18.melléklet a 2014. évi 4/2013.(II.28.) Önkormányzati költségvetési rendelethez&amp;R&amp;D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P33"/>
  <sheetViews>
    <sheetView view="pageBreakPreview" zoomScale="60" zoomScalePageLayoutView="0" workbookViewId="0" topLeftCell="B1">
      <selection activeCell="T20" sqref="T20"/>
    </sheetView>
  </sheetViews>
  <sheetFormatPr defaultColWidth="9.140625" defaultRowHeight="12.75"/>
  <cols>
    <col min="1" max="1" width="5.57421875" style="0" customWidth="1"/>
    <col min="2" max="2" width="4.8515625" style="0" bestFit="1" customWidth="1"/>
    <col min="3" max="3" width="35.57421875" style="0" customWidth="1"/>
  </cols>
  <sheetData>
    <row r="1" spans="15:16" ht="12.75">
      <c r="O1" s="727"/>
      <c r="P1" s="727"/>
    </row>
    <row r="2" spans="2:16" ht="15.75">
      <c r="B2" s="728" t="s">
        <v>465</v>
      </c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</row>
    <row r="3" spans="2:16" ht="15.75">
      <c r="B3" s="728" t="s">
        <v>435</v>
      </c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</row>
    <row r="4" spans="2:16" ht="15.75"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9" t="s">
        <v>390</v>
      </c>
    </row>
    <row r="5" spans="1:16" ht="16.5" thickBot="1">
      <c r="A5" t="s">
        <v>11</v>
      </c>
      <c r="B5" s="573" t="s">
        <v>12</v>
      </c>
      <c r="C5" s="574" t="s">
        <v>13</v>
      </c>
      <c r="D5" s="574" t="s">
        <v>14</v>
      </c>
      <c r="E5" s="574" t="s">
        <v>15</v>
      </c>
      <c r="F5" s="574" t="s">
        <v>16</v>
      </c>
      <c r="G5" s="574" t="s">
        <v>17</v>
      </c>
      <c r="H5" s="574" t="s">
        <v>18</v>
      </c>
      <c r="I5" s="574" t="s">
        <v>67</v>
      </c>
      <c r="J5" s="574" t="s">
        <v>481</v>
      </c>
      <c r="K5" s="574" t="s">
        <v>473</v>
      </c>
      <c r="L5" s="574" t="s">
        <v>474</v>
      </c>
      <c r="M5" s="574" t="s">
        <v>476</v>
      </c>
      <c r="N5" s="574" t="s">
        <v>482</v>
      </c>
      <c r="O5" s="574" t="s">
        <v>483</v>
      </c>
      <c r="P5" s="574" t="s">
        <v>484</v>
      </c>
    </row>
    <row r="6" spans="1:16" ht="24.75" thickBot="1">
      <c r="A6" t="s">
        <v>20</v>
      </c>
      <c r="B6" s="390" t="s">
        <v>391</v>
      </c>
      <c r="C6" s="391" t="s">
        <v>71</v>
      </c>
      <c r="D6" s="391" t="s">
        <v>392</v>
      </c>
      <c r="E6" s="391" t="s">
        <v>393</v>
      </c>
      <c r="F6" s="391" t="s">
        <v>394</v>
      </c>
      <c r="G6" s="391" t="s">
        <v>395</v>
      </c>
      <c r="H6" s="391" t="s">
        <v>396</v>
      </c>
      <c r="I6" s="391" t="s">
        <v>397</v>
      </c>
      <c r="J6" s="391" t="s">
        <v>398</v>
      </c>
      <c r="K6" s="391" t="s">
        <v>399</v>
      </c>
      <c r="L6" s="391" t="s">
        <v>400</v>
      </c>
      <c r="M6" s="391" t="s">
        <v>401</v>
      </c>
      <c r="N6" s="391" t="s">
        <v>402</v>
      </c>
      <c r="O6" s="391" t="s">
        <v>403</v>
      </c>
      <c r="P6" s="392" t="s">
        <v>404</v>
      </c>
    </row>
    <row r="7" spans="1:16" ht="13.5" thickBot="1">
      <c r="A7" t="s">
        <v>22</v>
      </c>
      <c r="B7" s="393" t="s">
        <v>20</v>
      </c>
      <c r="C7" s="723" t="s">
        <v>123</v>
      </c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5"/>
    </row>
    <row r="8" spans="1:16" ht="12.75">
      <c r="A8" t="s">
        <v>24</v>
      </c>
      <c r="B8" s="396" t="s">
        <v>22</v>
      </c>
      <c r="C8" s="397" t="s">
        <v>405</v>
      </c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9">
        <f>SUM(D8:O8)</f>
        <v>0</v>
      </c>
    </row>
    <row r="9" spans="1:16" ht="12.75">
      <c r="A9" t="s">
        <v>25</v>
      </c>
      <c r="B9" s="400" t="s">
        <v>24</v>
      </c>
      <c r="C9" s="401" t="s">
        <v>406</v>
      </c>
      <c r="D9" s="402">
        <v>7900</v>
      </c>
      <c r="E9" s="402">
        <f>+D9</f>
        <v>7900</v>
      </c>
      <c r="F9" s="402">
        <f aca="true" t="shared" si="0" ref="F9:N9">+E9</f>
        <v>7900</v>
      </c>
      <c r="G9" s="402">
        <f t="shared" si="0"/>
        <v>7900</v>
      </c>
      <c r="H9" s="402">
        <f t="shared" si="0"/>
        <v>7900</v>
      </c>
      <c r="I9" s="402">
        <f t="shared" si="0"/>
        <v>7900</v>
      </c>
      <c r="J9" s="402">
        <f t="shared" si="0"/>
        <v>7900</v>
      </c>
      <c r="K9" s="402">
        <f t="shared" si="0"/>
        <v>7900</v>
      </c>
      <c r="L9" s="402">
        <f t="shared" si="0"/>
        <v>7900</v>
      </c>
      <c r="M9" s="402">
        <f t="shared" si="0"/>
        <v>7900</v>
      </c>
      <c r="N9" s="402">
        <f t="shared" si="0"/>
        <v>7900</v>
      </c>
      <c r="O9" s="402">
        <f>+N9+2-577</f>
        <v>7325</v>
      </c>
      <c r="P9" s="403">
        <f>SUM(D9:O9)</f>
        <v>94225</v>
      </c>
    </row>
    <row r="10" spans="1:16" ht="12.75">
      <c r="A10" t="s">
        <v>26</v>
      </c>
      <c r="B10" s="400" t="s">
        <v>25</v>
      </c>
      <c r="C10" s="404" t="s">
        <v>407</v>
      </c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03">
        <f aca="true" t="shared" si="1" ref="P10:P16">SUM(D10:O10)</f>
        <v>0</v>
      </c>
    </row>
    <row r="11" spans="1:16" ht="12.75">
      <c r="A11" t="s">
        <v>27</v>
      </c>
      <c r="B11" s="400" t="s">
        <v>26</v>
      </c>
      <c r="C11" s="401" t="s">
        <v>408</v>
      </c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3">
        <f t="shared" si="1"/>
        <v>0</v>
      </c>
    </row>
    <row r="12" spans="1:16" ht="12.75">
      <c r="A12" t="s">
        <v>28</v>
      </c>
      <c r="B12" s="400" t="s">
        <v>27</v>
      </c>
      <c r="C12" s="401" t="s">
        <v>409</v>
      </c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3">
        <f t="shared" si="1"/>
        <v>0</v>
      </c>
    </row>
    <row r="13" spans="1:16" ht="12.75">
      <c r="A13" t="s">
        <v>29</v>
      </c>
      <c r="B13" s="400" t="s">
        <v>28</v>
      </c>
      <c r="C13" s="401" t="s">
        <v>410</v>
      </c>
      <c r="D13" s="402"/>
      <c r="E13" s="402">
        <f>+3_mell!G7</f>
        <v>1346</v>
      </c>
      <c r="F13" s="402"/>
      <c r="G13" s="402"/>
      <c r="H13" s="402"/>
      <c r="I13" s="402"/>
      <c r="J13" s="402"/>
      <c r="K13" s="402">
        <v>2037</v>
      </c>
      <c r="L13" s="402"/>
      <c r="M13" s="402"/>
      <c r="N13" s="402"/>
      <c r="O13" s="402"/>
      <c r="P13" s="403">
        <f t="shared" si="1"/>
        <v>3383</v>
      </c>
    </row>
    <row r="14" spans="1:16" ht="12.75">
      <c r="A14" t="s">
        <v>30</v>
      </c>
      <c r="B14" s="400" t="s">
        <v>29</v>
      </c>
      <c r="C14" s="401" t="s">
        <v>411</v>
      </c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3">
        <f t="shared" si="1"/>
        <v>0</v>
      </c>
    </row>
    <row r="15" spans="1:16" ht="22.5">
      <c r="A15" t="s">
        <v>31</v>
      </c>
      <c r="B15" s="400" t="s">
        <v>30</v>
      </c>
      <c r="C15" s="406" t="s">
        <v>412</v>
      </c>
      <c r="D15" s="402">
        <v>1294</v>
      </c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3">
        <f t="shared" si="1"/>
        <v>1294</v>
      </c>
    </row>
    <row r="16" spans="1:16" ht="13.5" thickBot="1">
      <c r="A16" t="s">
        <v>32</v>
      </c>
      <c r="B16" s="400" t="s">
        <v>31</v>
      </c>
      <c r="C16" s="401" t="s">
        <v>302</v>
      </c>
      <c r="D16" s="402">
        <f>+D30-D8-D9-D10-D11-D12-D13-D14-D15</f>
        <v>18514</v>
      </c>
      <c r="E16" s="402">
        <f aca="true" t="shared" si="2" ref="E16:O16">+E30-E8-E9-E10-E11-E12-E13-E14</f>
        <v>10096</v>
      </c>
      <c r="F16" s="402">
        <f t="shared" si="2"/>
        <v>11442</v>
      </c>
      <c r="G16" s="402">
        <f t="shared" si="2"/>
        <v>11442</v>
      </c>
      <c r="H16" s="402">
        <f t="shared" si="2"/>
        <v>11442</v>
      </c>
      <c r="I16" s="402">
        <f t="shared" si="2"/>
        <v>11442</v>
      </c>
      <c r="J16" s="402">
        <f t="shared" si="2"/>
        <v>11442</v>
      </c>
      <c r="K16" s="402">
        <f t="shared" si="2"/>
        <v>9405</v>
      </c>
      <c r="L16" s="402">
        <f t="shared" si="2"/>
        <v>11442</v>
      </c>
      <c r="M16" s="402">
        <f t="shared" si="2"/>
        <v>11442</v>
      </c>
      <c r="N16" s="402">
        <f t="shared" si="2"/>
        <v>11442</v>
      </c>
      <c r="O16" s="402">
        <f t="shared" si="2"/>
        <v>13015</v>
      </c>
      <c r="P16" s="403">
        <f t="shared" si="1"/>
        <v>142566</v>
      </c>
    </row>
    <row r="17" spans="1:16" ht="13.5" thickBot="1">
      <c r="A17" t="s">
        <v>33</v>
      </c>
      <c r="B17" s="393" t="s">
        <v>32</v>
      </c>
      <c r="C17" s="408" t="s">
        <v>413</v>
      </c>
      <c r="D17" s="409">
        <f>SUM(D8:D16)</f>
        <v>27708</v>
      </c>
      <c r="E17" s="409">
        <f aca="true" t="shared" si="3" ref="E17:P17">SUM(E8:E16)</f>
        <v>19342</v>
      </c>
      <c r="F17" s="409">
        <f t="shared" si="3"/>
        <v>19342</v>
      </c>
      <c r="G17" s="409">
        <f t="shared" si="3"/>
        <v>19342</v>
      </c>
      <c r="H17" s="409">
        <f t="shared" si="3"/>
        <v>19342</v>
      </c>
      <c r="I17" s="409">
        <f t="shared" si="3"/>
        <v>19342</v>
      </c>
      <c r="J17" s="409">
        <f t="shared" si="3"/>
        <v>19342</v>
      </c>
      <c r="K17" s="409">
        <f t="shared" si="3"/>
        <v>19342</v>
      </c>
      <c r="L17" s="409">
        <f t="shared" si="3"/>
        <v>19342</v>
      </c>
      <c r="M17" s="409">
        <f t="shared" si="3"/>
        <v>19342</v>
      </c>
      <c r="N17" s="409">
        <f t="shared" si="3"/>
        <v>19342</v>
      </c>
      <c r="O17" s="409">
        <f t="shared" si="3"/>
        <v>20340</v>
      </c>
      <c r="P17" s="409">
        <f t="shared" si="3"/>
        <v>241468</v>
      </c>
    </row>
    <row r="18" spans="1:16" ht="13.5" thickBot="1">
      <c r="A18" t="s">
        <v>34</v>
      </c>
      <c r="B18" s="393" t="s">
        <v>33</v>
      </c>
      <c r="C18" s="723" t="s">
        <v>152</v>
      </c>
      <c r="D18" s="724"/>
      <c r="E18" s="724"/>
      <c r="F18" s="724"/>
      <c r="G18" s="724"/>
      <c r="H18" s="724"/>
      <c r="I18" s="724"/>
      <c r="J18" s="724"/>
      <c r="K18" s="724"/>
      <c r="L18" s="724"/>
      <c r="M18" s="724"/>
      <c r="N18" s="724"/>
      <c r="O18" s="724"/>
      <c r="P18" s="726"/>
    </row>
    <row r="19" spans="1:16" ht="12.75">
      <c r="A19" t="s">
        <v>35</v>
      </c>
      <c r="B19" s="411" t="s">
        <v>34</v>
      </c>
      <c r="C19" s="412" t="s">
        <v>295</v>
      </c>
      <c r="D19" s="405">
        <f>3492+6400</f>
        <v>9892</v>
      </c>
      <c r="E19" s="405">
        <v>3492</v>
      </c>
      <c r="F19" s="405">
        <f aca="true" t="shared" si="4" ref="F19:N19">+E19</f>
        <v>3492</v>
      </c>
      <c r="G19" s="405">
        <f t="shared" si="4"/>
        <v>3492</v>
      </c>
      <c r="H19" s="405">
        <f t="shared" si="4"/>
        <v>3492</v>
      </c>
      <c r="I19" s="405">
        <f t="shared" si="4"/>
        <v>3492</v>
      </c>
      <c r="J19" s="405">
        <f t="shared" si="4"/>
        <v>3492</v>
      </c>
      <c r="K19" s="405">
        <f t="shared" si="4"/>
        <v>3492</v>
      </c>
      <c r="L19" s="405">
        <f t="shared" si="4"/>
        <v>3492</v>
      </c>
      <c r="M19" s="405">
        <f t="shared" si="4"/>
        <v>3492</v>
      </c>
      <c r="N19" s="405">
        <f t="shared" si="4"/>
        <v>3492</v>
      </c>
      <c r="O19" s="405">
        <f>+N19+1+490</f>
        <v>3983</v>
      </c>
      <c r="P19" s="413">
        <f>SUM(D19:O19)</f>
        <v>48795</v>
      </c>
    </row>
    <row r="20" spans="1:16" ht="24.75" customHeight="1">
      <c r="A20" t="s">
        <v>36</v>
      </c>
      <c r="B20" s="400" t="s">
        <v>35</v>
      </c>
      <c r="C20" s="406" t="s">
        <v>414</v>
      </c>
      <c r="D20" s="402">
        <f>936+1966</f>
        <v>2902</v>
      </c>
      <c r="E20" s="402">
        <v>936</v>
      </c>
      <c r="F20" s="402">
        <f aca="true" t="shared" si="5" ref="F20:N20">+E20</f>
        <v>936</v>
      </c>
      <c r="G20" s="402">
        <f t="shared" si="5"/>
        <v>936</v>
      </c>
      <c r="H20" s="402">
        <f t="shared" si="5"/>
        <v>936</v>
      </c>
      <c r="I20" s="402">
        <f t="shared" si="5"/>
        <v>936</v>
      </c>
      <c r="J20" s="402">
        <f t="shared" si="5"/>
        <v>936</v>
      </c>
      <c r="K20" s="402">
        <f t="shared" si="5"/>
        <v>936</v>
      </c>
      <c r="L20" s="402">
        <f t="shared" si="5"/>
        <v>936</v>
      </c>
      <c r="M20" s="402">
        <f t="shared" si="5"/>
        <v>936</v>
      </c>
      <c r="N20" s="402">
        <f t="shared" si="5"/>
        <v>936</v>
      </c>
      <c r="O20" s="402">
        <f>+N20+6</f>
        <v>942</v>
      </c>
      <c r="P20" s="413">
        <f>SUM(D20:O20)</f>
        <v>13204</v>
      </c>
    </row>
    <row r="21" spans="1:16" ht="12.75">
      <c r="A21" t="s">
        <v>37</v>
      </c>
      <c r="B21" s="400" t="s">
        <v>36</v>
      </c>
      <c r="C21" s="401" t="s">
        <v>338</v>
      </c>
      <c r="D21" s="402">
        <f>10747+4167</f>
        <v>14914</v>
      </c>
      <c r="E21" s="402">
        <f>+D21</f>
        <v>14914</v>
      </c>
      <c r="F21" s="402">
        <f aca="true" t="shared" si="6" ref="F21:N21">+E21</f>
        <v>14914</v>
      </c>
      <c r="G21" s="402">
        <f t="shared" si="6"/>
        <v>14914</v>
      </c>
      <c r="H21" s="402">
        <f t="shared" si="6"/>
        <v>14914</v>
      </c>
      <c r="I21" s="402">
        <f t="shared" si="6"/>
        <v>14914</v>
      </c>
      <c r="J21" s="402">
        <f t="shared" si="6"/>
        <v>14914</v>
      </c>
      <c r="K21" s="402">
        <f t="shared" si="6"/>
        <v>14914</v>
      </c>
      <c r="L21" s="402">
        <f t="shared" si="6"/>
        <v>14914</v>
      </c>
      <c r="M21" s="402">
        <f t="shared" si="6"/>
        <v>14914</v>
      </c>
      <c r="N21" s="402">
        <f t="shared" si="6"/>
        <v>14914</v>
      </c>
      <c r="O21" s="402">
        <f>+N21+3+1</f>
        <v>14918</v>
      </c>
      <c r="P21" s="413">
        <f aca="true" t="shared" si="7" ref="P21:P28">SUM(D21:O21)</f>
        <v>178972</v>
      </c>
    </row>
    <row r="22" spans="1:16" ht="12.75">
      <c r="A22" t="s">
        <v>38</v>
      </c>
      <c r="B22" s="400" t="s">
        <v>37</v>
      </c>
      <c r="C22" s="401" t="s">
        <v>415</v>
      </c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2"/>
      <c r="P22" s="413">
        <f t="shared" si="7"/>
        <v>0</v>
      </c>
    </row>
    <row r="23" spans="1:16" ht="12.75">
      <c r="A23" t="s">
        <v>39</v>
      </c>
      <c r="B23" s="400" t="s">
        <v>38</v>
      </c>
      <c r="C23" s="401" t="s">
        <v>416</v>
      </c>
      <c r="D23" s="402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13">
        <f t="shared" si="7"/>
        <v>0</v>
      </c>
    </row>
    <row r="24" spans="1:16" ht="12.75">
      <c r="A24" t="s">
        <v>42</v>
      </c>
      <c r="B24" s="400" t="s">
        <v>39</v>
      </c>
      <c r="C24" s="401" t="s">
        <v>417</v>
      </c>
      <c r="D24" s="402"/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402"/>
      <c r="P24" s="413">
        <f t="shared" si="7"/>
        <v>0</v>
      </c>
    </row>
    <row r="25" spans="1:16" ht="21" customHeight="1">
      <c r="A25" t="s">
        <v>45</v>
      </c>
      <c r="B25" s="400" t="s">
        <v>42</v>
      </c>
      <c r="C25" s="406" t="s">
        <v>418</v>
      </c>
      <c r="D25" s="402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13">
        <f t="shared" si="7"/>
        <v>0</v>
      </c>
    </row>
    <row r="26" spans="1:16" ht="12.75">
      <c r="A26" t="s">
        <v>46</v>
      </c>
      <c r="B26" s="400" t="s">
        <v>45</v>
      </c>
      <c r="C26" s="401" t="s">
        <v>419</v>
      </c>
      <c r="D26" s="402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13">
        <f t="shared" si="7"/>
        <v>0</v>
      </c>
    </row>
    <row r="27" spans="1:16" ht="12.75">
      <c r="A27" t="s">
        <v>47</v>
      </c>
      <c r="B27" s="400" t="s">
        <v>46</v>
      </c>
      <c r="C27" s="401" t="s">
        <v>420</v>
      </c>
      <c r="D27" s="402"/>
      <c r="E27" s="402"/>
      <c r="F27" s="402"/>
      <c r="G27" s="402"/>
      <c r="H27" s="402"/>
      <c r="I27" s="402"/>
      <c r="J27" s="402"/>
      <c r="K27" s="402"/>
      <c r="L27" s="402"/>
      <c r="M27" s="402"/>
      <c r="N27" s="402"/>
      <c r="O27" s="402"/>
      <c r="P27" s="413">
        <f t="shared" si="7"/>
        <v>0</v>
      </c>
    </row>
    <row r="28" spans="1:16" ht="12.75">
      <c r="A28" t="s">
        <v>48</v>
      </c>
      <c r="B28" s="400" t="s">
        <v>47</v>
      </c>
      <c r="C28" s="401" t="s">
        <v>421</v>
      </c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>
        <v>497</v>
      </c>
      <c r="P28" s="413">
        <f t="shared" si="7"/>
        <v>497</v>
      </c>
    </row>
    <row r="29" spans="1:16" ht="13.5" thickBot="1">
      <c r="A29" t="s">
        <v>49</v>
      </c>
      <c r="B29" s="400" t="s">
        <v>48</v>
      </c>
      <c r="C29" s="401" t="s">
        <v>422</v>
      </c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13">
        <f>SUM(D29:O29)</f>
        <v>0</v>
      </c>
    </row>
    <row r="30" spans="1:16" ht="13.5" thickBot="1">
      <c r="A30" t="s">
        <v>50</v>
      </c>
      <c r="B30" s="414" t="s">
        <v>49</v>
      </c>
      <c r="C30" s="408" t="s">
        <v>423</v>
      </c>
      <c r="D30" s="409">
        <f>SUM(D19:D29)</f>
        <v>27708</v>
      </c>
      <c r="E30" s="409">
        <f aca="true" t="shared" si="8" ref="E30:O30">SUM(E19:E29)</f>
        <v>19342</v>
      </c>
      <c r="F30" s="409">
        <f t="shared" si="8"/>
        <v>19342</v>
      </c>
      <c r="G30" s="409">
        <f t="shared" si="8"/>
        <v>19342</v>
      </c>
      <c r="H30" s="409">
        <f t="shared" si="8"/>
        <v>19342</v>
      </c>
      <c r="I30" s="409">
        <f t="shared" si="8"/>
        <v>19342</v>
      </c>
      <c r="J30" s="409">
        <f t="shared" si="8"/>
        <v>19342</v>
      </c>
      <c r="K30" s="409">
        <f t="shared" si="8"/>
        <v>19342</v>
      </c>
      <c r="L30" s="409">
        <f t="shared" si="8"/>
        <v>19342</v>
      </c>
      <c r="M30" s="409">
        <f t="shared" si="8"/>
        <v>19342</v>
      </c>
      <c r="N30" s="409">
        <f t="shared" si="8"/>
        <v>19342</v>
      </c>
      <c r="O30" s="409">
        <f t="shared" si="8"/>
        <v>20340</v>
      </c>
      <c r="P30" s="415">
        <f>SUM(P19:P29)</f>
        <v>241468</v>
      </c>
    </row>
    <row r="31" spans="1:16" ht="13.5" thickBot="1">
      <c r="A31" t="s">
        <v>51</v>
      </c>
      <c r="B31" s="414" t="s">
        <v>50</v>
      </c>
      <c r="C31" s="416" t="s">
        <v>424</v>
      </c>
      <c r="D31" s="417">
        <f>+D30-D17</f>
        <v>0</v>
      </c>
      <c r="E31" s="417">
        <f aca="true" t="shared" si="9" ref="E31:P31">+E30-E17</f>
        <v>0</v>
      </c>
      <c r="F31" s="417">
        <f t="shared" si="9"/>
        <v>0</v>
      </c>
      <c r="G31" s="417">
        <f t="shared" si="9"/>
        <v>0</v>
      </c>
      <c r="H31" s="417">
        <f t="shared" si="9"/>
        <v>0</v>
      </c>
      <c r="I31" s="417">
        <f t="shared" si="9"/>
        <v>0</v>
      </c>
      <c r="J31" s="417">
        <f t="shared" si="9"/>
        <v>0</v>
      </c>
      <c r="K31" s="417">
        <f t="shared" si="9"/>
        <v>0</v>
      </c>
      <c r="L31" s="417">
        <f t="shared" si="9"/>
        <v>0</v>
      </c>
      <c r="M31" s="417">
        <f t="shared" si="9"/>
        <v>0</v>
      </c>
      <c r="N31" s="417">
        <f t="shared" si="9"/>
        <v>0</v>
      </c>
      <c r="O31" s="417">
        <f t="shared" si="9"/>
        <v>0</v>
      </c>
      <c r="P31" s="417">
        <f t="shared" si="9"/>
        <v>0</v>
      </c>
    </row>
    <row r="32" spans="2:16" ht="15.75">
      <c r="B32" s="41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7"/>
    </row>
    <row r="33" spans="2:16" ht="15.75">
      <c r="B33" s="387"/>
      <c r="C33" s="419"/>
      <c r="D33" s="421">
        <f>-D31</f>
        <v>0</v>
      </c>
      <c r="E33" s="420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7"/>
    </row>
  </sheetData>
  <sheetProtection/>
  <mergeCells count="5">
    <mergeCell ref="C7:P7"/>
    <mergeCell ref="C18:P18"/>
    <mergeCell ref="O1:P1"/>
    <mergeCell ref="B2:P2"/>
    <mergeCell ref="B3:P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1"/>
  <headerFooter alignWithMargins="0">
    <oddHeader>&amp;L19.melléklet a 2014. évi 4/2013.(II.28.) Önkormányzati költségvetési rendelethez&amp;R&amp;D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P33"/>
  <sheetViews>
    <sheetView view="pageBreakPreview" zoomScale="60" zoomScalePageLayoutView="0" workbookViewId="0" topLeftCell="A1">
      <selection activeCell="K21" sqref="K21"/>
    </sheetView>
  </sheetViews>
  <sheetFormatPr defaultColWidth="9.140625" defaultRowHeight="12.75"/>
  <cols>
    <col min="1" max="1" width="4.8515625" style="0" customWidth="1"/>
    <col min="2" max="2" width="4.8515625" style="0" bestFit="1" customWidth="1"/>
    <col min="3" max="3" width="35.57421875" style="0" customWidth="1"/>
  </cols>
  <sheetData>
    <row r="1" spans="15:16" ht="12.75">
      <c r="O1" s="727"/>
      <c r="P1" s="727"/>
    </row>
    <row r="2" spans="2:16" ht="15.75">
      <c r="B2" s="728" t="s">
        <v>466</v>
      </c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</row>
    <row r="3" spans="2:16" ht="15.75">
      <c r="B3" s="728" t="s">
        <v>435</v>
      </c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</row>
    <row r="4" spans="2:16" ht="15.75"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9" t="s">
        <v>390</v>
      </c>
    </row>
    <row r="5" spans="1:16" ht="16.5" thickBot="1">
      <c r="A5" t="s">
        <v>11</v>
      </c>
      <c r="B5" s="573" t="s">
        <v>12</v>
      </c>
      <c r="C5" s="574" t="s">
        <v>13</v>
      </c>
      <c r="D5" s="574" t="s">
        <v>14</v>
      </c>
      <c r="E5" s="574" t="s">
        <v>15</v>
      </c>
      <c r="F5" s="574" t="s">
        <v>16</v>
      </c>
      <c r="G5" s="574" t="s">
        <v>17</v>
      </c>
      <c r="H5" s="574" t="s">
        <v>18</v>
      </c>
      <c r="I5" s="574" t="s">
        <v>67</v>
      </c>
      <c r="J5" s="574" t="s">
        <v>485</v>
      </c>
      <c r="K5" s="574" t="s">
        <v>473</v>
      </c>
      <c r="L5" s="574" t="s">
        <v>474</v>
      </c>
      <c r="M5" s="574" t="s">
        <v>476</v>
      </c>
      <c r="N5" s="574" t="s">
        <v>482</v>
      </c>
      <c r="O5" s="574" t="s">
        <v>483</v>
      </c>
      <c r="P5" s="574" t="s">
        <v>484</v>
      </c>
    </row>
    <row r="6" spans="1:16" ht="24.75" thickBot="1">
      <c r="A6" t="s">
        <v>20</v>
      </c>
      <c r="B6" s="390" t="s">
        <v>391</v>
      </c>
      <c r="C6" s="391" t="s">
        <v>71</v>
      </c>
      <c r="D6" s="391" t="s">
        <v>392</v>
      </c>
      <c r="E6" s="391" t="s">
        <v>393</v>
      </c>
      <c r="F6" s="391" t="s">
        <v>394</v>
      </c>
      <c r="G6" s="391" t="s">
        <v>395</v>
      </c>
      <c r="H6" s="391" t="s">
        <v>396</v>
      </c>
      <c r="I6" s="391" t="s">
        <v>397</v>
      </c>
      <c r="J6" s="391" t="s">
        <v>398</v>
      </c>
      <c r="K6" s="391" t="s">
        <v>399</v>
      </c>
      <c r="L6" s="391" t="s">
        <v>400</v>
      </c>
      <c r="M6" s="391" t="s">
        <v>401</v>
      </c>
      <c r="N6" s="391" t="s">
        <v>402</v>
      </c>
      <c r="O6" s="391" t="s">
        <v>403</v>
      </c>
      <c r="P6" s="392" t="s">
        <v>404</v>
      </c>
    </row>
    <row r="7" spans="1:16" ht="13.5" thickBot="1">
      <c r="A7" t="s">
        <v>22</v>
      </c>
      <c r="B7" s="393" t="s">
        <v>20</v>
      </c>
      <c r="C7" s="723" t="s">
        <v>123</v>
      </c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5"/>
    </row>
    <row r="8" spans="1:16" ht="12.75">
      <c r="A8" t="s">
        <v>24</v>
      </c>
      <c r="B8" s="396" t="s">
        <v>22</v>
      </c>
      <c r="C8" s="397" t="s">
        <v>405</v>
      </c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9">
        <f>SUM(D8:O8)</f>
        <v>0</v>
      </c>
    </row>
    <row r="9" spans="1:16" ht="12.75">
      <c r="A9" t="s">
        <v>25</v>
      </c>
      <c r="B9" s="400" t="s">
        <v>24</v>
      </c>
      <c r="C9" s="401" t="s">
        <v>406</v>
      </c>
      <c r="D9" s="402">
        <v>208</v>
      </c>
      <c r="E9" s="402">
        <f>+D9</f>
        <v>208</v>
      </c>
      <c r="F9" s="402">
        <f aca="true" t="shared" si="0" ref="F9:N9">+E9</f>
        <v>208</v>
      </c>
      <c r="G9" s="402">
        <f t="shared" si="0"/>
        <v>208</v>
      </c>
      <c r="H9" s="402">
        <f t="shared" si="0"/>
        <v>208</v>
      </c>
      <c r="I9" s="402">
        <f t="shared" si="0"/>
        <v>208</v>
      </c>
      <c r="J9" s="402">
        <f t="shared" si="0"/>
        <v>208</v>
      </c>
      <c r="K9" s="402">
        <f t="shared" si="0"/>
        <v>208</v>
      </c>
      <c r="L9" s="402">
        <f t="shared" si="0"/>
        <v>208</v>
      </c>
      <c r="M9" s="402">
        <f t="shared" si="0"/>
        <v>208</v>
      </c>
      <c r="N9" s="402">
        <f t="shared" si="0"/>
        <v>208</v>
      </c>
      <c r="O9" s="402">
        <v>215</v>
      </c>
      <c r="P9" s="403">
        <f aca="true" t="shared" si="1" ref="P9:P15">SUM(D9:O9)</f>
        <v>2503</v>
      </c>
    </row>
    <row r="10" spans="1:16" ht="12.75">
      <c r="A10" t="s">
        <v>26</v>
      </c>
      <c r="B10" s="400" t="s">
        <v>25</v>
      </c>
      <c r="C10" s="404" t="s">
        <v>407</v>
      </c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03">
        <f t="shared" si="1"/>
        <v>0</v>
      </c>
    </row>
    <row r="11" spans="1:16" ht="12.75">
      <c r="A11" t="s">
        <v>27</v>
      </c>
      <c r="B11" s="400" t="s">
        <v>26</v>
      </c>
      <c r="C11" s="401" t="s">
        <v>408</v>
      </c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3">
        <f t="shared" si="1"/>
        <v>0</v>
      </c>
    </row>
    <row r="12" spans="1:16" ht="12.75">
      <c r="A12" t="s">
        <v>28</v>
      </c>
      <c r="B12" s="400" t="s">
        <v>27</v>
      </c>
      <c r="C12" s="401" t="s">
        <v>409</v>
      </c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3">
        <f t="shared" si="1"/>
        <v>0</v>
      </c>
    </row>
    <row r="13" spans="1:16" ht="12.75">
      <c r="A13" t="s">
        <v>29</v>
      </c>
      <c r="B13" s="400" t="s">
        <v>28</v>
      </c>
      <c r="C13" s="401" t="s">
        <v>410</v>
      </c>
      <c r="D13" s="402"/>
      <c r="E13" s="402">
        <v>806</v>
      </c>
      <c r="F13" s="402"/>
      <c r="G13" s="402"/>
      <c r="H13" s="402"/>
      <c r="I13" s="402"/>
      <c r="J13" s="402"/>
      <c r="K13" s="402"/>
      <c r="L13" s="402"/>
      <c r="M13" s="402">
        <v>3500</v>
      </c>
      <c r="N13" s="402">
        <v>5000</v>
      </c>
      <c r="O13" s="402">
        <v>1093</v>
      </c>
      <c r="P13" s="403">
        <f t="shared" si="1"/>
        <v>10399</v>
      </c>
    </row>
    <row r="14" spans="1:16" ht="12.75">
      <c r="A14" t="s">
        <v>30</v>
      </c>
      <c r="B14" s="400" t="s">
        <v>29</v>
      </c>
      <c r="C14" s="401" t="s">
        <v>411</v>
      </c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3">
        <f t="shared" si="1"/>
        <v>0</v>
      </c>
    </row>
    <row r="15" spans="1:16" ht="22.5">
      <c r="A15" t="s">
        <v>31</v>
      </c>
      <c r="B15" s="400" t="s">
        <v>30</v>
      </c>
      <c r="C15" s="406" t="s">
        <v>412</v>
      </c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3">
        <f t="shared" si="1"/>
        <v>0</v>
      </c>
    </row>
    <row r="16" spans="1:16" ht="13.5" thickBot="1">
      <c r="A16" t="s">
        <v>32</v>
      </c>
      <c r="B16" s="400" t="s">
        <v>31</v>
      </c>
      <c r="C16" s="401" t="s">
        <v>302</v>
      </c>
      <c r="D16" s="402">
        <f>+D30-D8-D9-D10-D11-D12-D13-D14-D15</f>
        <v>1354</v>
      </c>
      <c r="E16" s="402">
        <f aca="true" t="shared" si="2" ref="E16:O16">+E30-E8-E9-E10-E11-E12-E13-E14-E15</f>
        <v>548</v>
      </c>
      <c r="F16" s="402">
        <f t="shared" si="2"/>
        <v>1354</v>
      </c>
      <c r="G16" s="402">
        <f t="shared" si="2"/>
        <v>1354</v>
      </c>
      <c r="H16" s="402">
        <f t="shared" si="2"/>
        <v>1354</v>
      </c>
      <c r="I16" s="402">
        <f t="shared" si="2"/>
        <v>1354</v>
      </c>
      <c r="J16" s="402">
        <f t="shared" si="2"/>
        <v>1354</v>
      </c>
      <c r="K16" s="402">
        <f t="shared" si="2"/>
        <v>2252</v>
      </c>
      <c r="L16" s="402">
        <f t="shared" si="2"/>
        <v>2252</v>
      </c>
      <c r="M16" s="402">
        <f t="shared" si="2"/>
        <v>6632</v>
      </c>
      <c r="N16" s="402">
        <f t="shared" si="2"/>
        <v>-598</v>
      </c>
      <c r="O16" s="402">
        <f t="shared" si="2"/>
        <v>2050</v>
      </c>
      <c r="P16" s="407">
        <f>SUM(D16:O16)</f>
        <v>21260</v>
      </c>
    </row>
    <row r="17" spans="1:16" ht="13.5" thickBot="1">
      <c r="A17" t="s">
        <v>33</v>
      </c>
      <c r="B17" s="393" t="s">
        <v>32</v>
      </c>
      <c r="C17" s="408" t="s">
        <v>413</v>
      </c>
      <c r="D17" s="409">
        <f>SUM(D8:D16)</f>
        <v>1562</v>
      </c>
      <c r="E17" s="409">
        <f aca="true" t="shared" si="3" ref="E17:P17">SUM(E8:E16)</f>
        <v>1562</v>
      </c>
      <c r="F17" s="409">
        <f t="shared" si="3"/>
        <v>1562</v>
      </c>
      <c r="G17" s="409">
        <f t="shared" si="3"/>
        <v>1562</v>
      </c>
      <c r="H17" s="409">
        <f t="shared" si="3"/>
        <v>1562</v>
      </c>
      <c r="I17" s="409">
        <f t="shared" si="3"/>
        <v>1562</v>
      </c>
      <c r="J17" s="409">
        <f t="shared" si="3"/>
        <v>1562</v>
      </c>
      <c r="K17" s="409">
        <f t="shared" si="3"/>
        <v>2460</v>
      </c>
      <c r="L17" s="409">
        <f t="shared" si="3"/>
        <v>2460</v>
      </c>
      <c r="M17" s="409">
        <f t="shared" si="3"/>
        <v>10340</v>
      </c>
      <c r="N17" s="409">
        <f t="shared" si="3"/>
        <v>4610</v>
      </c>
      <c r="O17" s="409">
        <f t="shared" si="3"/>
        <v>3358</v>
      </c>
      <c r="P17" s="409">
        <f t="shared" si="3"/>
        <v>34162</v>
      </c>
    </row>
    <row r="18" spans="1:16" ht="13.5" thickBot="1">
      <c r="A18" t="s">
        <v>34</v>
      </c>
      <c r="B18" s="393" t="s">
        <v>33</v>
      </c>
      <c r="C18" s="723" t="s">
        <v>152</v>
      </c>
      <c r="D18" s="724"/>
      <c r="E18" s="724"/>
      <c r="F18" s="724"/>
      <c r="G18" s="724"/>
      <c r="H18" s="724"/>
      <c r="I18" s="724"/>
      <c r="J18" s="724"/>
      <c r="K18" s="724"/>
      <c r="L18" s="724"/>
      <c r="M18" s="724"/>
      <c r="N18" s="724"/>
      <c r="O18" s="724"/>
      <c r="P18" s="726"/>
    </row>
    <row r="19" spans="1:16" ht="12.75">
      <c r="A19" t="s">
        <v>35</v>
      </c>
      <c r="B19" s="411" t="s">
        <v>34</v>
      </c>
      <c r="C19" s="412" t="s">
        <v>295</v>
      </c>
      <c r="D19" s="405">
        <v>776</v>
      </c>
      <c r="E19" s="405">
        <f>+D19</f>
        <v>776</v>
      </c>
      <c r="F19" s="405">
        <f aca="true" t="shared" si="4" ref="F19:N19">+E19</f>
        <v>776</v>
      </c>
      <c r="G19" s="405">
        <f t="shared" si="4"/>
        <v>776</v>
      </c>
      <c r="H19" s="405">
        <f t="shared" si="4"/>
        <v>776</v>
      </c>
      <c r="I19" s="405">
        <f t="shared" si="4"/>
        <v>776</v>
      </c>
      <c r="J19" s="405">
        <f t="shared" si="4"/>
        <v>776</v>
      </c>
      <c r="K19" s="405">
        <v>1100</v>
      </c>
      <c r="L19" s="405">
        <f>+K19</f>
        <v>1100</v>
      </c>
      <c r="M19" s="405">
        <f t="shared" si="4"/>
        <v>1100</v>
      </c>
      <c r="N19" s="405">
        <f t="shared" si="4"/>
        <v>1100</v>
      </c>
      <c r="O19" s="405">
        <f>+N19+1+204</f>
        <v>1305</v>
      </c>
      <c r="P19" s="413">
        <f>SUM(D19:O19)</f>
        <v>11137</v>
      </c>
    </row>
    <row r="20" spans="1:16" ht="24.75" customHeight="1">
      <c r="A20" t="s">
        <v>36</v>
      </c>
      <c r="B20" s="400" t="s">
        <v>35</v>
      </c>
      <c r="C20" s="406" t="s">
        <v>414</v>
      </c>
      <c r="D20" s="402">
        <v>209</v>
      </c>
      <c r="E20" s="402">
        <f>+D20</f>
        <v>209</v>
      </c>
      <c r="F20" s="402">
        <f aca="true" t="shared" si="5" ref="F20:N20">+E20</f>
        <v>209</v>
      </c>
      <c r="G20" s="402">
        <f t="shared" si="5"/>
        <v>209</v>
      </c>
      <c r="H20" s="402">
        <f t="shared" si="5"/>
        <v>209</v>
      </c>
      <c r="I20" s="402">
        <f t="shared" si="5"/>
        <v>209</v>
      </c>
      <c r="J20" s="402">
        <f t="shared" si="5"/>
        <v>209</v>
      </c>
      <c r="K20" s="402">
        <v>310</v>
      </c>
      <c r="L20" s="402">
        <f t="shared" si="5"/>
        <v>310</v>
      </c>
      <c r="M20" s="402">
        <f t="shared" si="5"/>
        <v>310</v>
      </c>
      <c r="N20" s="402">
        <f t="shared" si="5"/>
        <v>310</v>
      </c>
      <c r="O20" s="402">
        <f>+N20+6-12</f>
        <v>304</v>
      </c>
      <c r="P20" s="413">
        <f aca="true" t="shared" si="6" ref="P20:P28">SUM(D20:O20)</f>
        <v>3007</v>
      </c>
    </row>
    <row r="21" spans="1:16" ht="12.75">
      <c r="A21" t="s">
        <v>37</v>
      </c>
      <c r="B21" s="400" t="s">
        <v>36</v>
      </c>
      <c r="C21" s="401" t="s">
        <v>338</v>
      </c>
      <c r="D21" s="402">
        <v>577</v>
      </c>
      <c r="E21" s="402">
        <f>+D21</f>
        <v>577</v>
      </c>
      <c r="F21" s="402">
        <f aca="true" t="shared" si="7" ref="F21:L21">+E21</f>
        <v>577</v>
      </c>
      <c r="G21" s="402">
        <f t="shared" si="7"/>
        <v>577</v>
      </c>
      <c r="H21" s="402">
        <f t="shared" si="7"/>
        <v>577</v>
      </c>
      <c r="I21" s="402">
        <f t="shared" si="7"/>
        <v>577</v>
      </c>
      <c r="J21" s="402">
        <f t="shared" si="7"/>
        <v>577</v>
      </c>
      <c r="K21" s="402">
        <v>1050</v>
      </c>
      <c r="L21" s="402">
        <f t="shared" si="7"/>
        <v>1050</v>
      </c>
      <c r="M21" s="402">
        <v>5400</v>
      </c>
      <c r="N21" s="402">
        <v>3200</v>
      </c>
      <c r="O21" s="402">
        <v>1749</v>
      </c>
      <c r="P21" s="413">
        <f t="shared" si="6"/>
        <v>16488</v>
      </c>
    </row>
    <row r="22" spans="1:16" ht="12.75">
      <c r="A22" t="s">
        <v>38</v>
      </c>
      <c r="B22" s="400" t="s">
        <v>37</v>
      </c>
      <c r="C22" s="401" t="s">
        <v>415</v>
      </c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2"/>
      <c r="P22" s="413">
        <f t="shared" si="6"/>
        <v>0</v>
      </c>
    </row>
    <row r="23" spans="1:16" ht="12.75">
      <c r="A23" t="s">
        <v>39</v>
      </c>
      <c r="B23" s="400" t="s">
        <v>38</v>
      </c>
      <c r="C23" s="401" t="s">
        <v>416</v>
      </c>
      <c r="D23" s="402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13">
        <f t="shared" si="6"/>
        <v>0</v>
      </c>
    </row>
    <row r="24" spans="1:16" ht="12.75">
      <c r="A24" t="s">
        <v>42</v>
      </c>
      <c r="B24" s="400" t="s">
        <v>39</v>
      </c>
      <c r="C24" s="401" t="s">
        <v>417</v>
      </c>
      <c r="D24" s="402"/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402"/>
      <c r="P24" s="413">
        <f t="shared" si="6"/>
        <v>0</v>
      </c>
    </row>
    <row r="25" spans="1:16" ht="21" customHeight="1">
      <c r="A25" t="s">
        <v>45</v>
      </c>
      <c r="B25" s="400" t="s">
        <v>42</v>
      </c>
      <c r="C25" s="406" t="s">
        <v>418</v>
      </c>
      <c r="D25" s="402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13">
        <f t="shared" si="6"/>
        <v>0</v>
      </c>
    </row>
    <row r="26" spans="1:16" ht="12.75">
      <c r="A26" t="s">
        <v>46</v>
      </c>
      <c r="B26" s="400" t="s">
        <v>45</v>
      </c>
      <c r="C26" s="401" t="s">
        <v>419</v>
      </c>
      <c r="D26" s="402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13">
        <f t="shared" si="6"/>
        <v>0</v>
      </c>
    </row>
    <row r="27" spans="1:16" ht="12.75">
      <c r="A27" t="s">
        <v>47</v>
      </c>
      <c r="B27" s="400" t="s">
        <v>46</v>
      </c>
      <c r="C27" s="401" t="s">
        <v>420</v>
      </c>
      <c r="D27" s="402"/>
      <c r="E27" s="402"/>
      <c r="F27" s="402"/>
      <c r="G27" s="402"/>
      <c r="H27" s="402"/>
      <c r="I27" s="402"/>
      <c r="J27" s="402"/>
      <c r="K27" s="402"/>
      <c r="L27" s="402"/>
      <c r="M27" s="402"/>
      <c r="N27" s="402"/>
      <c r="O27" s="402"/>
      <c r="P27" s="413">
        <f t="shared" si="6"/>
        <v>0</v>
      </c>
    </row>
    <row r="28" spans="1:16" ht="12.75">
      <c r="A28" t="s">
        <v>48</v>
      </c>
      <c r="B28" s="400" t="s">
        <v>47</v>
      </c>
      <c r="C28" s="401" t="s">
        <v>421</v>
      </c>
      <c r="D28" s="402"/>
      <c r="E28" s="402"/>
      <c r="F28" s="402"/>
      <c r="G28" s="402"/>
      <c r="H28" s="402"/>
      <c r="I28" s="402"/>
      <c r="J28" s="402"/>
      <c r="K28" s="402"/>
      <c r="L28" s="402"/>
      <c r="M28" s="402">
        <v>3530</v>
      </c>
      <c r="N28" s="402"/>
      <c r="O28" s="402"/>
      <c r="P28" s="413">
        <f t="shared" si="6"/>
        <v>3530</v>
      </c>
    </row>
    <row r="29" spans="1:16" ht="13.5" thickBot="1">
      <c r="A29" t="s">
        <v>49</v>
      </c>
      <c r="B29" s="400" t="s">
        <v>48</v>
      </c>
      <c r="C29" s="401" t="s">
        <v>422</v>
      </c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13">
        <f>SUM(D29:O29)</f>
        <v>0</v>
      </c>
    </row>
    <row r="30" spans="1:16" ht="13.5" thickBot="1">
      <c r="A30" t="s">
        <v>50</v>
      </c>
      <c r="B30" s="414" t="s">
        <v>49</v>
      </c>
      <c r="C30" s="408" t="s">
        <v>423</v>
      </c>
      <c r="D30" s="409">
        <f>SUM(D19:D29)</f>
        <v>1562</v>
      </c>
      <c r="E30" s="409">
        <f aca="true" t="shared" si="8" ref="E30:O30">SUM(E19:E29)</f>
        <v>1562</v>
      </c>
      <c r="F30" s="409">
        <f t="shared" si="8"/>
        <v>1562</v>
      </c>
      <c r="G30" s="409">
        <f t="shared" si="8"/>
        <v>1562</v>
      </c>
      <c r="H30" s="409">
        <f t="shared" si="8"/>
        <v>1562</v>
      </c>
      <c r="I30" s="409">
        <f t="shared" si="8"/>
        <v>1562</v>
      </c>
      <c r="J30" s="409">
        <f t="shared" si="8"/>
        <v>1562</v>
      </c>
      <c r="K30" s="409">
        <f t="shared" si="8"/>
        <v>2460</v>
      </c>
      <c r="L30" s="409">
        <f t="shared" si="8"/>
        <v>2460</v>
      </c>
      <c r="M30" s="409">
        <f t="shared" si="8"/>
        <v>10340</v>
      </c>
      <c r="N30" s="409">
        <f t="shared" si="8"/>
        <v>4610</v>
      </c>
      <c r="O30" s="409">
        <f t="shared" si="8"/>
        <v>3358</v>
      </c>
      <c r="P30" s="415">
        <f>SUM(P19:P29)</f>
        <v>34162</v>
      </c>
    </row>
    <row r="31" spans="1:16" ht="13.5" thickBot="1">
      <c r="A31" t="s">
        <v>51</v>
      </c>
      <c r="B31" s="414" t="s">
        <v>50</v>
      </c>
      <c r="C31" s="416" t="s">
        <v>424</v>
      </c>
      <c r="D31" s="417">
        <f>+D30-D17</f>
        <v>0</v>
      </c>
      <c r="E31" s="417">
        <f aca="true" t="shared" si="9" ref="E31:P31">+E30-E17</f>
        <v>0</v>
      </c>
      <c r="F31" s="417">
        <f t="shared" si="9"/>
        <v>0</v>
      </c>
      <c r="G31" s="417">
        <f t="shared" si="9"/>
        <v>0</v>
      </c>
      <c r="H31" s="417">
        <f t="shared" si="9"/>
        <v>0</v>
      </c>
      <c r="I31" s="417">
        <f t="shared" si="9"/>
        <v>0</v>
      </c>
      <c r="J31" s="417">
        <f t="shared" si="9"/>
        <v>0</v>
      </c>
      <c r="K31" s="417">
        <f t="shared" si="9"/>
        <v>0</v>
      </c>
      <c r="L31" s="417">
        <f t="shared" si="9"/>
        <v>0</v>
      </c>
      <c r="M31" s="417">
        <f t="shared" si="9"/>
        <v>0</v>
      </c>
      <c r="N31" s="417">
        <f t="shared" si="9"/>
        <v>0</v>
      </c>
      <c r="O31" s="417">
        <f t="shared" si="9"/>
        <v>0</v>
      </c>
      <c r="P31" s="417">
        <f t="shared" si="9"/>
        <v>0</v>
      </c>
    </row>
    <row r="32" spans="2:16" ht="15.75">
      <c r="B32" s="41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7"/>
    </row>
    <row r="33" spans="2:16" ht="15.75">
      <c r="B33" s="387"/>
      <c r="C33" s="419"/>
      <c r="D33" s="421"/>
      <c r="E33" s="420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7"/>
    </row>
  </sheetData>
  <sheetProtection/>
  <mergeCells count="5">
    <mergeCell ref="C7:P7"/>
    <mergeCell ref="C18:P18"/>
    <mergeCell ref="O1:P1"/>
    <mergeCell ref="B2:P2"/>
    <mergeCell ref="B3:P3"/>
  </mergeCells>
  <printOptions/>
  <pageMargins left="0.75" right="0.75" top="1" bottom="1" header="0.5" footer="0.5"/>
  <pageSetup horizontalDpi="600" verticalDpi="600" orientation="landscape" paperSize="9" scale="78" r:id="rId1"/>
  <headerFooter alignWithMargins="0">
    <oddHeader>&amp;L20.melléklet a 2014. évi 4/2014.(II.28.) Önkormányzati költségvetési rendelethez&amp;R&amp;D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="60" zoomScalePageLayoutView="0" workbookViewId="0" topLeftCell="A1">
      <selection activeCell="Q30" sqref="Q30"/>
    </sheetView>
  </sheetViews>
  <sheetFormatPr defaultColWidth="9.140625" defaultRowHeight="15" customHeight="1"/>
  <cols>
    <col min="1" max="1" width="4.57421875" style="19" bestFit="1" customWidth="1"/>
    <col min="2" max="2" width="25.421875" style="19" customWidth="1"/>
    <col min="3" max="3" width="13.28125" style="19" customWidth="1"/>
    <col min="4" max="5" width="9.28125" style="19" customWidth="1"/>
    <col min="6" max="6" width="11.00390625" style="19" customWidth="1"/>
    <col min="7" max="7" width="10.00390625" style="19" bestFit="1" customWidth="1"/>
    <col min="8" max="8" width="10.7109375" style="19" customWidth="1"/>
    <col min="9" max="9" width="8.28125" style="19" hidden="1" customWidth="1"/>
    <col min="10" max="10" width="13.8515625" style="19" customWidth="1"/>
    <col min="11" max="11" width="11.421875" style="19" customWidth="1"/>
    <col min="12" max="12" width="11.7109375" style="19" customWidth="1"/>
    <col min="13" max="13" width="12.421875" style="19" customWidth="1"/>
    <col min="14" max="16384" width="9.140625" style="19" customWidth="1"/>
  </cols>
  <sheetData>
    <row r="1" spans="2:13" ht="15" customHeight="1">
      <c r="B1" s="20" t="s">
        <v>0</v>
      </c>
      <c r="C1" s="21"/>
      <c r="D1" s="22" t="s">
        <v>1</v>
      </c>
      <c r="E1" s="22" t="s">
        <v>2</v>
      </c>
      <c r="F1" s="677" t="s">
        <v>3</v>
      </c>
      <c r="G1" s="677"/>
      <c r="H1" s="677"/>
      <c r="I1" s="24" t="e">
        <f>+#REF!</f>
        <v>#REF!</v>
      </c>
      <c r="J1" s="22" t="s">
        <v>4</v>
      </c>
      <c r="K1" s="22"/>
      <c r="L1" s="22" t="s">
        <v>5</v>
      </c>
      <c r="M1" s="22" t="s">
        <v>6</v>
      </c>
    </row>
    <row r="2" spans="2:13" ht="15" customHeight="1">
      <c r="B2" s="25"/>
      <c r="C2" s="26"/>
      <c r="D2" s="27"/>
      <c r="E2" s="27"/>
      <c r="F2" s="23" t="s">
        <v>7</v>
      </c>
      <c r="G2" s="23" t="s">
        <v>8</v>
      </c>
      <c r="H2" s="23" t="s">
        <v>9</v>
      </c>
      <c r="I2" s="24"/>
      <c r="J2" s="27"/>
      <c r="K2" s="27"/>
      <c r="L2" s="27"/>
      <c r="M2" s="27"/>
    </row>
    <row r="3" spans="2:13" s="28" customFormat="1" ht="18.75" customHeight="1">
      <c r="B3" s="20" t="s">
        <v>12</v>
      </c>
      <c r="C3" s="21" t="s">
        <v>13</v>
      </c>
      <c r="D3" s="22" t="s">
        <v>14</v>
      </c>
      <c r="E3" s="22" t="s">
        <v>15</v>
      </c>
      <c r="F3" s="22" t="s">
        <v>16</v>
      </c>
      <c r="G3" s="22" t="s">
        <v>17</v>
      </c>
      <c r="H3" s="22" t="s">
        <v>18</v>
      </c>
      <c r="I3" s="29"/>
      <c r="J3" s="22" t="s">
        <v>67</v>
      </c>
      <c r="K3" s="22" t="s">
        <v>19</v>
      </c>
      <c r="L3" s="22" t="s">
        <v>473</v>
      </c>
      <c r="M3" s="22" t="s">
        <v>474</v>
      </c>
    </row>
    <row r="4" spans="1:13" ht="15" customHeight="1">
      <c r="A4" s="19" t="s">
        <v>20</v>
      </c>
      <c r="B4" s="30" t="str">
        <f>+'[1]2mell 1ápr'!A28</f>
        <v>Városellátó  Szervezet</v>
      </c>
      <c r="C4" s="31" t="s">
        <v>21</v>
      </c>
      <c r="D4" s="31">
        <v>50487</v>
      </c>
      <c r="E4" s="31"/>
      <c r="F4" s="31"/>
      <c r="G4" s="31"/>
      <c r="H4" s="31"/>
      <c r="I4" s="31"/>
      <c r="J4" s="31">
        <f>+M4-I4-H4-F4-E4-D4</f>
        <v>167340</v>
      </c>
      <c r="K4" s="31"/>
      <c r="L4" s="31">
        <f>SUM(D4:J4)</f>
        <v>217827</v>
      </c>
      <c r="M4" s="31">
        <f>+'[2]kiadás'!M16</f>
        <v>217827</v>
      </c>
    </row>
    <row r="5" spans="1:13" ht="15" customHeight="1">
      <c r="A5" s="19" t="s">
        <v>22</v>
      </c>
      <c r="B5" s="30"/>
      <c r="C5" s="19" t="s">
        <v>23</v>
      </c>
      <c r="D5" s="31">
        <f>+D4</f>
        <v>50487</v>
      </c>
      <c r="E5" s="19">
        <v>2166</v>
      </c>
      <c r="F5" s="19">
        <f>+F4</f>
        <v>0</v>
      </c>
      <c r="H5" s="19">
        <f>+H4</f>
        <v>0</v>
      </c>
      <c r="I5" s="19">
        <f>+I4</f>
        <v>0</v>
      </c>
      <c r="J5" s="31">
        <f>+M5-I5-H5-F5-E5-D5-G5</f>
        <v>169179</v>
      </c>
      <c r="K5" s="31"/>
      <c r="L5" s="31">
        <f>SUM(D5:J5)</f>
        <v>221832</v>
      </c>
      <c r="M5" s="31">
        <f>+'[2]kiadás'!M17</f>
        <v>221832</v>
      </c>
    </row>
    <row r="6" spans="1:13" ht="32.25" customHeight="1">
      <c r="A6" s="19" t="s">
        <v>24</v>
      </c>
      <c r="B6" s="30"/>
      <c r="C6" s="30" t="s">
        <v>58</v>
      </c>
      <c r="D6" s="31">
        <v>87890</v>
      </c>
      <c r="J6" s="31">
        <f>+M6-D6-E6-F6-G6-H6-K6</f>
        <v>94220</v>
      </c>
      <c r="K6" s="31"/>
      <c r="L6" s="31">
        <f>SUM(D6:J6)</f>
        <v>182110</v>
      </c>
      <c r="M6" s="31">
        <f>+4_mell!M6</f>
        <v>182110</v>
      </c>
    </row>
    <row r="7" spans="1:13" ht="15">
      <c r="A7" s="19" t="s">
        <v>25</v>
      </c>
      <c r="B7" s="30"/>
      <c r="C7" s="30" t="s">
        <v>497</v>
      </c>
      <c r="D7" s="31">
        <f>+D6+6256+79</f>
        <v>94225</v>
      </c>
      <c r="E7" s="31">
        <f>1114+180</f>
        <v>1294</v>
      </c>
      <c r="F7" s="31">
        <f>+F6+1787+250</f>
        <v>2037</v>
      </c>
      <c r="G7" s="31">
        <v>1346</v>
      </c>
      <c r="H7" s="31">
        <f>+H6</f>
        <v>0</v>
      </c>
      <c r="J7" s="31">
        <f>+M7-D7-E7-F7-G7-H7-K7</f>
        <v>142566</v>
      </c>
      <c r="K7" s="31"/>
      <c r="L7" s="31">
        <f>SUM(D7:J7)</f>
        <v>241468</v>
      </c>
      <c r="M7" s="31">
        <f>+4_mell!M7</f>
        <v>241468</v>
      </c>
    </row>
    <row r="8" spans="7:10" ht="15">
      <c r="G8" s="19">
        <f>SUM(F7:G7)</f>
        <v>3383</v>
      </c>
      <c r="J8" s="31"/>
    </row>
    <row r="9" spans="1:13" ht="47.25" customHeight="1">
      <c r="A9" s="19" t="s">
        <v>26</v>
      </c>
      <c r="B9" s="30" t="str">
        <f>+'[1]2mell 1ápr'!A32</f>
        <v>Egészségügyi és Szociális Ellátó Szervezet</v>
      </c>
      <c r="C9" s="31" t="s">
        <v>21</v>
      </c>
      <c r="D9" s="31">
        <v>13764</v>
      </c>
      <c r="E9" s="31"/>
      <c r="F9" s="31">
        <v>34000</v>
      </c>
      <c r="G9" s="31"/>
      <c r="H9" s="31"/>
      <c r="I9" s="31"/>
      <c r="J9" s="31">
        <f>+M9-I9-H9-F9-E9-D9</f>
        <v>65487</v>
      </c>
      <c r="K9" s="31"/>
      <c r="L9" s="31">
        <f>SUM(D9:J9)</f>
        <v>113251</v>
      </c>
      <c r="M9" s="31">
        <f>+'[2]kiadás'!M20</f>
        <v>113251</v>
      </c>
    </row>
    <row r="10" spans="1:13" ht="15" customHeight="1">
      <c r="A10" s="19" t="s">
        <v>27</v>
      </c>
      <c r="B10" s="30"/>
      <c r="C10" s="19" t="s">
        <v>23</v>
      </c>
      <c r="D10" s="31">
        <f>+D9</f>
        <v>13764</v>
      </c>
      <c r="F10" s="31">
        <f>+F9+70+13424+124</f>
        <v>47618</v>
      </c>
      <c r="G10" s="19">
        <v>11962</v>
      </c>
      <c r="H10" s="19">
        <f>+H9</f>
        <v>0</v>
      </c>
      <c r="J10" s="31">
        <f>+M10-I10-H10-F10-E10-D10-G10</f>
        <v>74007</v>
      </c>
      <c r="K10" s="31"/>
      <c r="L10" s="31">
        <f>SUM(D10:J10)</f>
        <v>147351</v>
      </c>
      <c r="M10" s="31">
        <f>+'[2]kiadás'!M21</f>
        <v>147351</v>
      </c>
    </row>
    <row r="11" spans="1:13" ht="30" customHeight="1">
      <c r="A11" s="19" t="s">
        <v>28</v>
      </c>
      <c r="B11" s="30"/>
      <c r="C11" s="30" t="s">
        <v>58</v>
      </c>
      <c r="D11" s="31">
        <v>19283</v>
      </c>
      <c r="F11" s="35">
        <f>+1_mell!D67+1_mell!D71+1_mell!D72</f>
        <v>47671</v>
      </c>
      <c r="J11" s="31">
        <f>+M11-D11-E11-F11-G11-H11-K11</f>
        <v>52048</v>
      </c>
      <c r="K11" s="31"/>
      <c r="L11" s="31">
        <f>SUM(D11:J11)</f>
        <v>119002</v>
      </c>
      <c r="M11" s="31">
        <f>+4_mell!M11</f>
        <v>119002</v>
      </c>
    </row>
    <row r="12" spans="1:13" ht="15">
      <c r="A12" s="19" t="s">
        <v>29</v>
      </c>
      <c r="B12" s="30"/>
      <c r="C12" s="30" t="s">
        <v>497</v>
      </c>
      <c r="D12" s="31">
        <f>+D11-7464</f>
        <v>11819</v>
      </c>
      <c r="E12" s="31">
        <v>4065</v>
      </c>
      <c r="F12" s="35">
        <f>+F11-5671+224+2227-8000-1603</f>
        <v>34848</v>
      </c>
      <c r="G12" s="31">
        <v>1349</v>
      </c>
      <c r="H12" s="31">
        <f>+H11</f>
        <v>0</v>
      </c>
      <c r="I12" s="31">
        <f>+I11</f>
        <v>0</v>
      </c>
      <c r="J12" s="31">
        <f>+M12-D12-E12-F12-G12-H12-K12</f>
        <v>81137</v>
      </c>
      <c r="K12" s="31"/>
      <c r="L12" s="31">
        <f>SUM(D12:J12)</f>
        <v>133218</v>
      </c>
      <c r="M12" s="31">
        <f>+4_mell!M12</f>
        <v>133218</v>
      </c>
    </row>
    <row r="13" ht="15">
      <c r="G13" s="32"/>
    </row>
    <row r="14" spans="1:13" ht="38.25" customHeight="1">
      <c r="A14" s="19" t="s">
        <v>30</v>
      </c>
      <c r="B14" s="30" t="str">
        <f>+'[2]kiadás'!B24</f>
        <v>Városi Művelődési Központ és Könyvtár</v>
      </c>
      <c r="C14" s="31" t="s">
        <v>21</v>
      </c>
      <c r="D14" s="31">
        <v>1290</v>
      </c>
      <c r="E14" s="31"/>
      <c r="F14" s="31"/>
      <c r="G14" s="31"/>
      <c r="H14" s="31"/>
      <c r="I14" s="31"/>
      <c r="J14" s="31">
        <f>+M14-I14-H14-F14-E14-D14</f>
        <v>21340</v>
      </c>
      <c r="K14" s="31"/>
      <c r="L14" s="31">
        <f>SUM(D14:J14)</f>
        <v>22630</v>
      </c>
      <c r="M14" s="31">
        <f>+'[2]kiadás'!M24</f>
        <v>22630</v>
      </c>
    </row>
    <row r="15" spans="1:13" ht="15" customHeight="1">
      <c r="A15" s="19" t="s">
        <v>31</v>
      </c>
      <c r="C15" s="19" t="s">
        <v>23</v>
      </c>
      <c r="D15" s="31">
        <f>+D14+258</f>
        <v>1548</v>
      </c>
      <c r="F15" s="19">
        <f>+F14+1373+34</f>
        <v>1407</v>
      </c>
      <c r="G15" s="19">
        <v>397</v>
      </c>
      <c r="H15" s="19">
        <f>+H14</f>
        <v>0</v>
      </c>
      <c r="J15" s="31">
        <f>+M15-I15-H15-F15-E15-D15-G15</f>
        <v>22953</v>
      </c>
      <c r="K15" s="31"/>
      <c r="L15" s="31">
        <f>SUM(D15:J15)</f>
        <v>26305</v>
      </c>
      <c r="M15" s="31">
        <f>+'[2]kiadás'!M25</f>
        <v>26305</v>
      </c>
    </row>
    <row r="16" spans="1:13" ht="28.5" customHeight="1">
      <c r="A16" s="19" t="s">
        <v>32</v>
      </c>
      <c r="C16" s="30" t="s">
        <v>58</v>
      </c>
      <c r="D16" s="31">
        <v>1290</v>
      </c>
      <c r="J16" s="31">
        <f>+M16-D16-E16-F16-G16-H16-K16</f>
        <v>17458</v>
      </c>
      <c r="K16" s="31"/>
      <c r="L16" s="31">
        <f>SUM(D16:J16)</f>
        <v>18748</v>
      </c>
      <c r="M16" s="31">
        <f>+4_mell!M16</f>
        <v>18748</v>
      </c>
    </row>
    <row r="17" spans="1:13" ht="28.5" customHeight="1">
      <c r="A17" s="19" t="s">
        <v>33</v>
      </c>
      <c r="C17" s="30" t="s">
        <v>497</v>
      </c>
      <c r="D17" s="31">
        <f>+D16+1213</f>
        <v>2503</v>
      </c>
      <c r="E17" s="31">
        <f>+E16</f>
        <v>0</v>
      </c>
      <c r="F17" s="31">
        <f>+F16+4878+744+395+454</f>
        <v>6471</v>
      </c>
      <c r="G17" s="31">
        <v>806</v>
      </c>
      <c r="H17" s="35">
        <f>+1_mell!E97</f>
        <v>3122</v>
      </c>
      <c r="J17" s="31">
        <f>+M17-D17-E17-F17-G17-H17-K17</f>
        <v>21260</v>
      </c>
      <c r="K17" s="31"/>
      <c r="L17" s="31">
        <f>SUM(D17:J17)</f>
        <v>34162</v>
      </c>
      <c r="M17" s="31">
        <f>+4_mell!M17</f>
        <v>34162</v>
      </c>
    </row>
    <row r="18" spans="2:13" ht="15">
      <c r="B18" s="32"/>
      <c r="C18" s="33"/>
      <c r="D18" s="33"/>
      <c r="E18" s="33"/>
      <c r="F18" s="33"/>
      <c r="G18" s="33"/>
      <c r="H18" s="33">
        <f>SUM(F17:H17)</f>
        <v>10399</v>
      </c>
      <c r="I18" s="33"/>
      <c r="J18" s="33"/>
      <c r="K18" s="33"/>
      <c r="L18" s="33"/>
      <c r="M18" s="33"/>
    </row>
    <row r="19" spans="1:13" ht="31.5" customHeight="1">
      <c r="A19" s="19" t="s">
        <v>34</v>
      </c>
      <c r="B19" s="30" t="s">
        <v>43</v>
      </c>
      <c r="C19" s="31" t="s">
        <v>44</v>
      </c>
      <c r="D19" s="33">
        <v>0</v>
      </c>
      <c r="E19" s="33"/>
      <c r="F19" s="34">
        <f>+'[2]pfbevétel'!H60-'[2]pfbevétel'!H61-'[2]pfbevétel'!H71-'[2]pfbevétel'!H67</f>
        <v>192271</v>
      </c>
      <c r="G19" s="34"/>
      <c r="H19" s="34">
        <f>+'[2]pfbevétel'!H99+'[2]pfbevétel'!H100+'[2]pfbevétel'!H101</f>
        <v>32137</v>
      </c>
      <c r="I19" s="33"/>
      <c r="J19" s="34">
        <f>+'[2]pfbevétel'!H5-'[2]pfbevétel'!H6+'[2]pfbevétel'!H22+'[2]pfbevétel'!H29</f>
        <v>625707</v>
      </c>
      <c r="L19" s="33">
        <f>SUM(D19:J19)</f>
        <v>850115</v>
      </c>
      <c r="M19" s="33">
        <f>+'[2]kiadás'!M35</f>
        <v>252973</v>
      </c>
    </row>
    <row r="20" spans="1:13" ht="15" customHeight="1">
      <c r="A20" s="19" t="s">
        <v>35</v>
      </c>
      <c r="B20" s="32">
        <f>9134+282647+4825+3+937+2000</f>
        <v>299546</v>
      </c>
      <c r="C20" s="19" t="s">
        <v>23</v>
      </c>
      <c r="D20" s="33">
        <f>+D19</f>
        <v>0</v>
      </c>
      <c r="E20" s="33">
        <v>40788</v>
      </c>
      <c r="F20" s="34">
        <f>+F19+44195+2376+3892+847+19+585-49020-57168-7604+4317+1548-5864+47+263+385+1+6908-4317-54596+7615-4505+902-1</f>
        <v>83096</v>
      </c>
      <c r="G20" s="33">
        <v>6177</v>
      </c>
      <c r="H20" s="34">
        <f>+H19+5000-644</f>
        <v>36493</v>
      </c>
      <c r="I20" s="33">
        <f>+I19</f>
        <v>0</v>
      </c>
      <c r="J20" s="34">
        <f>+'[2]pfbevétel'!I5-'[2]pfbevétel'!I6+'[2]pfbevétel'!I22+'[2]pfbevétel'!I29</f>
        <v>759060</v>
      </c>
      <c r="L20" s="33">
        <f>SUM(D20:J20)</f>
        <v>925614</v>
      </c>
      <c r="M20" s="33">
        <f>+'[2]kiadás'!M37</f>
        <v>252973</v>
      </c>
    </row>
    <row r="21" spans="1:13" ht="28.5" customHeight="1">
      <c r="A21" s="19" t="s">
        <v>36</v>
      </c>
      <c r="B21" s="32">
        <f>27915+12898</f>
        <v>40813</v>
      </c>
      <c r="C21" s="30" t="s">
        <v>58</v>
      </c>
      <c r="D21" s="33">
        <f>122+2014+2061+48-1</f>
        <v>4244</v>
      </c>
      <c r="E21" s="33"/>
      <c r="F21" s="34">
        <f>+1_mell!D69+1_mell!D70+1_mell!D71+1_mell!D72</f>
        <v>17271</v>
      </c>
      <c r="G21" s="33"/>
      <c r="H21" s="34"/>
      <c r="I21" s="33"/>
      <c r="J21" s="34"/>
      <c r="L21" s="33">
        <f>SUM(D21:J21)</f>
        <v>21515</v>
      </c>
      <c r="M21" s="33">
        <f>+4_mell!M21</f>
        <v>98187</v>
      </c>
    </row>
    <row r="22" spans="1:13" ht="15">
      <c r="A22" s="19" t="s">
        <v>37</v>
      </c>
      <c r="C22" s="30" t="s">
        <v>497</v>
      </c>
      <c r="D22" s="33">
        <f>+D21+13001+38</f>
        <v>17283</v>
      </c>
      <c r="E22" s="33">
        <v>40813</v>
      </c>
      <c r="F22" s="34">
        <f>+F21-8000-5671+420+2000+384+93588+39-6500+66445+19+3248+150+1825+129114+8000-3248+21+858+3-420</f>
        <v>299546</v>
      </c>
      <c r="G22" s="33">
        <f>+G21</f>
        <v>0</v>
      </c>
      <c r="H22" s="34">
        <f>+1_mell!E94+1_mell!E95+1_mell!E96</f>
        <v>36643</v>
      </c>
      <c r="I22" s="33"/>
      <c r="J22" s="34"/>
      <c r="L22" s="33">
        <f>SUM(D22:J22)</f>
        <v>394285</v>
      </c>
      <c r="M22" s="33">
        <f>+4_mell!M22</f>
        <v>529245</v>
      </c>
    </row>
    <row r="23" spans="2:13" ht="15" customHeight="1">
      <c r="B23" s="20" t="s">
        <v>0</v>
      </c>
      <c r="C23" s="21"/>
      <c r="D23" s="22" t="s">
        <v>1</v>
      </c>
      <c r="E23" s="22" t="s">
        <v>2</v>
      </c>
      <c r="F23" s="677" t="s">
        <v>3</v>
      </c>
      <c r="G23" s="677"/>
      <c r="H23" s="677"/>
      <c r="I23" s="24" t="e">
        <f>+#REF!</f>
        <v>#REF!</v>
      </c>
      <c r="J23" s="22" t="s">
        <v>4</v>
      </c>
      <c r="K23" s="22"/>
      <c r="L23" s="22" t="s">
        <v>5</v>
      </c>
      <c r="M23" s="22" t="s">
        <v>6</v>
      </c>
    </row>
    <row r="24" spans="2:13" ht="15" customHeight="1">
      <c r="B24" s="25"/>
      <c r="C24" s="26"/>
      <c r="D24" s="27"/>
      <c r="E24" s="27"/>
      <c r="F24" s="23" t="s">
        <v>7</v>
      </c>
      <c r="G24" s="23" t="s">
        <v>8</v>
      </c>
      <c r="H24" s="23" t="s">
        <v>9</v>
      </c>
      <c r="I24" s="24"/>
      <c r="J24" s="27"/>
      <c r="K24" s="27"/>
      <c r="L24" s="27"/>
      <c r="M24" s="27"/>
    </row>
    <row r="25" spans="2:13" s="28" customFormat="1" ht="18.75" customHeight="1">
      <c r="B25" s="20" t="s">
        <v>12</v>
      </c>
      <c r="C25" s="21" t="s">
        <v>13</v>
      </c>
      <c r="D25" s="22" t="s">
        <v>14</v>
      </c>
      <c r="E25" s="22" t="s">
        <v>15</v>
      </c>
      <c r="F25" s="22" t="s">
        <v>16</v>
      </c>
      <c r="G25" s="22" t="s">
        <v>17</v>
      </c>
      <c r="H25" s="22" t="s">
        <v>18</v>
      </c>
      <c r="I25" s="29"/>
      <c r="J25" s="22" t="s">
        <v>67</v>
      </c>
      <c r="K25" s="22" t="s">
        <v>19</v>
      </c>
      <c r="L25" s="22" t="s">
        <v>473</v>
      </c>
      <c r="M25" s="22" t="s">
        <v>474</v>
      </c>
    </row>
    <row r="27" spans="1:13" ht="35.25" customHeight="1">
      <c r="A27" s="19" t="s">
        <v>38</v>
      </c>
      <c r="B27" s="30" t="s">
        <v>437</v>
      </c>
      <c r="C27" s="31" t="s">
        <v>21</v>
      </c>
      <c r="D27" s="31">
        <v>27500</v>
      </c>
      <c r="E27" s="31"/>
      <c r="F27" s="35">
        <v>0</v>
      </c>
      <c r="G27" s="35"/>
      <c r="H27" s="35">
        <v>0</v>
      </c>
      <c r="I27" s="31"/>
      <c r="J27" s="35">
        <v>0</v>
      </c>
      <c r="K27" s="34">
        <v>399778</v>
      </c>
      <c r="L27" s="31">
        <f>SUM(D27:K27)</f>
        <v>427278</v>
      </c>
      <c r="M27" s="31">
        <f>+'[2]kiadás'!M40</f>
        <v>226809</v>
      </c>
    </row>
    <row r="28" spans="1:13" ht="15" customHeight="1">
      <c r="A28" s="19" t="s">
        <v>39</v>
      </c>
      <c r="C28" s="19" t="s">
        <v>23</v>
      </c>
      <c r="D28" s="31">
        <f aca="true" t="shared" si="0" ref="D28:J28">+D27</f>
        <v>27500</v>
      </c>
      <c r="E28" s="19">
        <v>0</v>
      </c>
      <c r="F28" s="32">
        <f>630+13878</f>
        <v>14508</v>
      </c>
      <c r="H28" s="19">
        <f t="shared" si="0"/>
        <v>0</v>
      </c>
      <c r="I28" s="19">
        <f t="shared" si="0"/>
        <v>0</v>
      </c>
      <c r="J28" s="19">
        <f t="shared" si="0"/>
        <v>0</v>
      </c>
      <c r="K28" s="34">
        <f>410059+8411+6560</f>
        <v>425030</v>
      </c>
      <c r="L28" s="31">
        <f>SUM(D28:K28)</f>
        <v>467038</v>
      </c>
      <c r="M28" s="31">
        <f>+'[2]kiadás'!M42</f>
        <v>462276</v>
      </c>
    </row>
    <row r="29" spans="1:13" ht="31.5" customHeight="1">
      <c r="A29" s="19" t="s">
        <v>42</v>
      </c>
      <c r="C29" s="30" t="s">
        <v>58</v>
      </c>
      <c r="D29" s="31">
        <f>216+1375-1</f>
        <v>1590</v>
      </c>
      <c r="F29" s="32">
        <f>+1_mell!D68</f>
        <v>146826</v>
      </c>
      <c r="J29" s="35">
        <f>+M29-D29-E29-F29-G29-H29-K29</f>
        <v>175377</v>
      </c>
      <c r="K29" s="34"/>
      <c r="L29" s="31">
        <f>SUM(D29:J29)</f>
        <v>323793</v>
      </c>
      <c r="M29" s="31">
        <f>+4_mell!M30</f>
        <v>323793</v>
      </c>
    </row>
    <row r="30" spans="1:13" ht="31.5" customHeight="1">
      <c r="A30" s="19" t="s">
        <v>45</v>
      </c>
      <c r="C30" s="30" t="s">
        <v>497</v>
      </c>
      <c r="D30" s="31">
        <f>+D29+1167</f>
        <v>2757</v>
      </c>
      <c r="E30" s="31">
        <v>6610</v>
      </c>
      <c r="F30" s="35">
        <f>+F29-84005+9981-26912-16962+11548+3861+2397+744-18947</f>
        <v>28531</v>
      </c>
      <c r="G30" s="31">
        <v>225</v>
      </c>
      <c r="H30" s="31">
        <f>+H29</f>
        <v>0</v>
      </c>
      <c r="J30" s="35">
        <f>+4_mell!M31-3_mell!D30-3_mell!E30-3_mell!F30-3_mell!G30-3_mell!H30-K30</f>
        <v>305423</v>
      </c>
      <c r="K30" s="34">
        <v>144</v>
      </c>
      <c r="L30" s="31">
        <f>SUM(D30:K30)</f>
        <v>343690</v>
      </c>
      <c r="M30" s="31">
        <f>+4_mell!M31</f>
        <v>343690</v>
      </c>
    </row>
    <row r="31" spans="6:12" ht="15" customHeight="1">
      <c r="F31" s="32"/>
      <c r="G31" s="32"/>
      <c r="L31" s="31"/>
    </row>
    <row r="32" spans="1:13" ht="15" customHeight="1">
      <c r="A32" s="19" t="s">
        <v>46</v>
      </c>
      <c r="B32" s="36" t="s">
        <v>57</v>
      </c>
      <c r="C32" s="31" t="s">
        <v>21</v>
      </c>
      <c r="D32" s="33">
        <f aca="true" t="shared" si="1" ref="D32:M32">+D27+D19+D14+D9+D4</f>
        <v>93041</v>
      </c>
      <c r="E32" s="33">
        <f t="shared" si="1"/>
        <v>0</v>
      </c>
      <c r="F32" s="33">
        <f t="shared" si="1"/>
        <v>226271</v>
      </c>
      <c r="G32" s="33">
        <f t="shared" si="1"/>
        <v>0</v>
      </c>
      <c r="H32" s="33">
        <f t="shared" si="1"/>
        <v>32137</v>
      </c>
      <c r="I32" s="33">
        <f t="shared" si="1"/>
        <v>0</v>
      </c>
      <c r="J32" s="33">
        <f t="shared" si="1"/>
        <v>879874</v>
      </c>
      <c r="K32" s="33">
        <f t="shared" si="1"/>
        <v>399778</v>
      </c>
      <c r="L32" s="33">
        <f t="shared" si="1"/>
        <v>1631101</v>
      </c>
      <c r="M32" s="33">
        <f t="shared" si="1"/>
        <v>833490</v>
      </c>
    </row>
    <row r="33" spans="1:13" ht="15" customHeight="1">
      <c r="A33" s="19" t="s">
        <v>47</v>
      </c>
      <c r="B33" s="33"/>
      <c r="C33" s="19" t="s">
        <v>23</v>
      </c>
      <c r="D33" s="33">
        <f aca="true" t="shared" si="2" ref="D33:M33">+D28+D20+D15+D10+D5</f>
        <v>93299</v>
      </c>
      <c r="E33" s="33">
        <f t="shared" si="2"/>
        <v>42954</v>
      </c>
      <c r="F33" s="33">
        <f t="shared" si="2"/>
        <v>146629</v>
      </c>
      <c r="G33" s="33">
        <f t="shared" si="2"/>
        <v>18536</v>
      </c>
      <c r="H33" s="33">
        <f t="shared" si="2"/>
        <v>36493</v>
      </c>
      <c r="I33" s="33">
        <f t="shared" si="2"/>
        <v>0</v>
      </c>
      <c r="J33" s="33">
        <f t="shared" si="2"/>
        <v>1025199</v>
      </c>
      <c r="K33" s="33">
        <f t="shared" si="2"/>
        <v>425030</v>
      </c>
      <c r="L33" s="33">
        <f t="shared" si="2"/>
        <v>1788140</v>
      </c>
      <c r="M33" s="33">
        <f t="shared" si="2"/>
        <v>1110737</v>
      </c>
    </row>
    <row r="34" spans="1:13" ht="32.25" customHeight="1">
      <c r="A34" s="19" t="s">
        <v>48</v>
      </c>
      <c r="B34" s="33"/>
      <c r="C34" s="30" t="s">
        <v>58</v>
      </c>
      <c r="D34" s="33">
        <f aca="true" t="shared" si="3" ref="D34:M34">+D29+D21+D16+D11+D6</f>
        <v>114297</v>
      </c>
      <c r="E34" s="33">
        <f t="shared" si="3"/>
        <v>0</v>
      </c>
      <c r="F34" s="33">
        <f t="shared" si="3"/>
        <v>211768</v>
      </c>
      <c r="G34" s="33">
        <f t="shared" si="3"/>
        <v>0</v>
      </c>
      <c r="H34" s="33">
        <f t="shared" si="3"/>
        <v>0</v>
      </c>
      <c r="I34" s="33">
        <f t="shared" si="3"/>
        <v>0</v>
      </c>
      <c r="J34" s="34">
        <f t="shared" si="3"/>
        <v>339103</v>
      </c>
      <c r="K34" s="33">
        <f t="shared" si="3"/>
        <v>0</v>
      </c>
      <c r="L34" s="33">
        <f t="shared" si="3"/>
        <v>665168</v>
      </c>
      <c r="M34" s="33">
        <f t="shared" si="3"/>
        <v>741840</v>
      </c>
    </row>
    <row r="35" spans="1:13" ht="15">
      <c r="A35" s="19" t="s">
        <v>49</v>
      </c>
      <c r="B35" s="33"/>
      <c r="C35" s="30" t="s">
        <v>497</v>
      </c>
      <c r="D35" s="33">
        <f aca="true" t="shared" si="4" ref="D35:M35">+D30+D22+D17+D12+D7</f>
        <v>128587</v>
      </c>
      <c r="E35" s="33">
        <f t="shared" si="4"/>
        <v>52782</v>
      </c>
      <c r="F35" s="34">
        <f>+F30+F22+F17+F12+F7</f>
        <v>371433</v>
      </c>
      <c r="G35" s="33">
        <f t="shared" si="4"/>
        <v>3726</v>
      </c>
      <c r="H35" s="34">
        <f>+H30+H22+H17+H12+H7</f>
        <v>39765</v>
      </c>
      <c r="I35" s="33">
        <f t="shared" si="4"/>
        <v>0</v>
      </c>
      <c r="J35" s="33">
        <f t="shared" si="4"/>
        <v>550386</v>
      </c>
      <c r="K35" s="33">
        <f t="shared" si="4"/>
        <v>144</v>
      </c>
      <c r="L35" s="33">
        <f t="shared" si="4"/>
        <v>1146823</v>
      </c>
      <c r="M35" s="33">
        <f t="shared" si="4"/>
        <v>1281783</v>
      </c>
    </row>
    <row r="36" spans="2:13" ht="15">
      <c r="B36" s="33"/>
      <c r="C36" s="30"/>
      <c r="D36" s="33"/>
      <c r="E36" s="33"/>
      <c r="F36" s="33"/>
      <c r="G36" s="33"/>
      <c r="H36" s="33"/>
      <c r="I36" s="33"/>
      <c r="J36" s="34"/>
      <c r="K36" s="33"/>
      <c r="L36" s="33"/>
      <c r="M36" s="33"/>
    </row>
  </sheetData>
  <sheetProtection/>
  <mergeCells count="2">
    <mergeCell ref="F23:H23"/>
    <mergeCell ref="F1:H1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5" r:id="rId1"/>
  <headerFooter alignWithMargins="0">
    <oddHeader>&amp;L3. melléklet a 2014. évi 4/2014.(II.28.) Önkormányzati költségvetési rendelethez&amp;R&amp;D</oddHeader>
  </headerFooter>
  <rowBreaks count="1" manualBreakCount="1">
    <brk id="2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="60" zoomScalePageLayoutView="0" workbookViewId="0" topLeftCell="A13">
      <selection activeCell="F33" sqref="F33"/>
    </sheetView>
  </sheetViews>
  <sheetFormatPr defaultColWidth="9.140625" defaultRowHeight="15" customHeight="1"/>
  <cols>
    <col min="1" max="1" width="4.57421875" style="9" bestFit="1" customWidth="1"/>
    <col min="2" max="2" width="25.57421875" style="1" customWidth="1"/>
    <col min="3" max="3" width="15.140625" style="1" bestFit="1" customWidth="1"/>
    <col min="4" max="4" width="11.421875" style="1" customWidth="1"/>
    <col min="5" max="5" width="10.140625" style="1" customWidth="1"/>
    <col min="6" max="6" width="10.28125" style="1" bestFit="1" customWidth="1"/>
    <col min="7" max="7" width="12.8515625" style="1" customWidth="1"/>
    <col min="8" max="8" width="9.57421875" style="1" bestFit="1" customWidth="1"/>
    <col min="9" max="9" width="11.00390625" style="1" customWidth="1"/>
    <col min="10" max="10" width="10.8515625" style="1" customWidth="1"/>
    <col min="11" max="11" width="9.00390625" style="1" customWidth="1"/>
    <col min="12" max="12" width="11.140625" style="1" bestFit="1" customWidth="1"/>
    <col min="13" max="13" width="11.8515625" style="1" customWidth="1"/>
    <col min="14" max="16384" width="9.140625" style="1" customWidth="1"/>
  </cols>
  <sheetData>
    <row r="1" spans="2:13" ht="15" customHeight="1">
      <c r="B1" s="2" t="s">
        <v>0</v>
      </c>
      <c r="C1" s="3" t="s">
        <v>59</v>
      </c>
      <c r="D1" s="10" t="s">
        <v>60</v>
      </c>
      <c r="E1" s="4" t="s">
        <v>61</v>
      </c>
      <c r="F1" s="37" t="s">
        <v>62</v>
      </c>
      <c r="G1" s="5" t="s">
        <v>63</v>
      </c>
      <c r="H1" s="678" t="s">
        <v>64</v>
      </c>
      <c r="I1" s="678"/>
      <c r="J1" s="678"/>
      <c r="K1" s="678"/>
      <c r="L1" s="4" t="s">
        <v>41</v>
      </c>
      <c r="M1" s="4" t="s">
        <v>65</v>
      </c>
    </row>
    <row r="2" spans="2:13" ht="15" customHeight="1">
      <c r="B2" s="6"/>
      <c r="C2" s="7"/>
      <c r="D2" s="8"/>
      <c r="E2" s="8"/>
      <c r="F2" s="8"/>
      <c r="G2" s="8"/>
      <c r="H2" s="8" t="s">
        <v>7</v>
      </c>
      <c r="I2" s="8" t="s">
        <v>66</v>
      </c>
      <c r="J2" s="8" t="s">
        <v>8</v>
      </c>
      <c r="K2" s="8" t="s">
        <v>9</v>
      </c>
      <c r="L2" s="8"/>
      <c r="M2" s="8"/>
    </row>
    <row r="3" spans="1:13" s="9" customFormat="1" ht="20.25" customHeight="1">
      <c r="A3" s="9" t="s">
        <v>475</v>
      </c>
      <c r="B3" s="2" t="s">
        <v>12</v>
      </c>
      <c r="C3" s="3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18</v>
      </c>
      <c r="I3" s="4" t="s">
        <v>67</v>
      </c>
      <c r="J3" s="4" t="s">
        <v>19</v>
      </c>
      <c r="K3" s="4" t="s">
        <v>473</v>
      </c>
      <c r="L3" s="4" t="s">
        <v>474</v>
      </c>
      <c r="M3" s="4" t="s">
        <v>476</v>
      </c>
    </row>
    <row r="4" spans="1:13" ht="31.5">
      <c r="A4" s="9" t="s">
        <v>20</v>
      </c>
      <c r="B4" s="11" t="str">
        <f>+'[1]2mell 1ápr'!A28</f>
        <v>Városellátó  Szervezet</v>
      </c>
      <c r="C4" s="189" t="s">
        <v>21</v>
      </c>
      <c r="D4" s="189">
        <v>61747</v>
      </c>
      <c r="E4" s="189">
        <v>16503</v>
      </c>
      <c r="F4" s="189">
        <v>139577</v>
      </c>
      <c r="G4" s="189">
        <f>SUM(D4:F4)</f>
        <v>217827</v>
      </c>
      <c r="H4" s="189"/>
      <c r="I4" s="189"/>
      <c r="J4" s="189"/>
      <c r="K4" s="189"/>
      <c r="L4" s="189"/>
      <c r="M4" s="189">
        <f>SUM(G4:L4)</f>
        <v>217827</v>
      </c>
    </row>
    <row r="5" spans="1:13" ht="15" customHeight="1">
      <c r="A5" s="9" t="s">
        <v>22</v>
      </c>
      <c r="B5" s="11"/>
      <c r="C5" s="189" t="s">
        <v>23</v>
      </c>
      <c r="D5" s="189">
        <f>+D4+667+781</f>
        <v>63195</v>
      </c>
      <c r="E5" s="189">
        <f>+E4+180+211</f>
        <v>16894</v>
      </c>
      <c r="F5" s="189">
        <f>+F4</f>
        <v>139577</v>
      </c>
      <c r="G5" s="189">
        <f>SUM(D5:F5)</f>
        <v>219666</v>
      </c>
      <c r="H5" s="189"/>
      <c r="I5" s="189"/>
      <c r="J5" s="189">
        <v>2166</v>
      </c>
      <c r="K5" s="189"/>
      <c r="L5" s="189"/>
      <c r="M5" s="189">
        <f>SUM(G5:L5)</f>
        <v>221832</v>
      </c>
    </row>
    <row r="6" spans="1:13" ht="31.5" customHeight="1">
      <c r="A6" s="9" t="s">
        <v>24</v>
      </c>
      <c r="B6" s="11"/>
      <c r="C6" s="586" t="s">
        <v>58</v>
      </c>
      <c r="D6" s="189">
        <v>41905</v>
      </c>
      <c r="E6" s="189">
        <v>11238</v>
      </c>
      <c r="F6" s="189">
        <f>130967-4000+2000</f>
        <v>128967</v>
      </c>
      <c r="G6" s="189">
        <f>SUM(D6:F6)</f>
        <v>182110</v>
      </c>
      <c r="H6" s="189"/>
      <c r="I6" s="189"/>
      <c r="J6" s="189"/>
      <c r="K6" s="189"/>
      <c r="L6" s="189"/>
      <c r="M6" s="189">
        <f>SUM(G6:L6)</f>
        <v>182110</v>
      </c>
    </row>
    <row r="7" spans="1:13" ht="31.5">
      <c r="A7" s="9" t="s">
        <v>25</v>
      </c>
      <c r="B7" s="11"/>
      <c r="C7" s="11" t="s">
        <v>498</v>
      </c>
      <c r="D7" s="12">
        <f>+D6+713+364+235+449+1787+122+101+3119</f>
        <v>48795</v>
      </c>
      <c r="E7" s="12">
        <f>+E6+192+462+63+122+33+28+1174-108</f>
        <v>13204</v>
      </c>
      <c r="F7" s="12">
        <f>+F6+43132+250+6256+79+180+108</f>
        <v>178972</v>
      </c>
      <c r="G7" s="12">
        <f>SUM(D7:F7)</f>
        <v>240971</v>
      </c>
      <c r="H7" s="12"/>
      <c r="I7" s="12"/>
      <c r="J7" s="12"/>
      <c r="K7" s="12"/>
      <c r="L7" s="12">
        <f>+7_mell!D25+7_mell!D26+7_mell!D28+7_mell!D43</f>
        <v>497</v>
      </c>
      <c r="M7" s="12">
        <f>SUM(G7:L7)</f>
        <v>241468</v>
      </c>
    </row>
    <row r="8" ht="15.75">
      <c r="B8" s="11"/>
    </row>
    <row r="9" spans="1:13" ht="48" customHeight="1">
      <c r="A9" s="9" t="s">
        <v>26</v>
      </c>
      <c r="B9" s="11" t="str">
        <f>+'[1]2mell 1ápr'!A32</f>
        <v>Egészségügyi és Szociális Ellátó Szervezet</v>
      </c>
      <c r="C9" s="189" t="s">
        <v>21</v>
      </c>
      <c r="D9" s="189">
        <v>59647</v>
      </c>
      <c r="E9" s="189">
        <v>15984</v>
      </c>
      <c r="F9" s="189">
        <v>37620</v>
      </c>
      <c r="G9" s="189">
        <f>SUM(D9:F9)</f>
        <v>113251</v>
      </c>
      <c r="H9" s="189"/>
      <c r="I9" s="189"/>
      <c r="J9" s="189"/>
      <c r="K9" s="189"/>
      <c r="L9" s="189"/>
      <c r="M9" s="189">
        <f>SUM(G9:L9)</f>
        <v>113251</v>
      </c>
    </row>
    <row r="10" spans="1:13" ht="15" customHeight="1">
      <c r="A10" s="9" t="s">
        <v>27</v>
      </c>
      <c r="B10" s="11"/>
      <c r="C10" s="189" t="s">
        <v>23</v>
      </c>
      <c r="D10" s="189">
        <f>+D9+571+879+8117+2700</f>
        <v>71914</v>
      </c>
      <c r="E10" s="189">
        <f>+E9+154+237+2017+729</f>
        <v>19121</v>
      </c>
      <c r="F10" s="189">
        <f>+F9+9394+3484+3130</f>
        <v>53628</v>
      </c>
      <c r="G10" s="189">
        <f>SUM(D10:F10)</f>
        <v>144663</v>
      </c>
      <c r="H10" s="189"/>
      <c r="I10" s="189"/>
      <c r="J10" s="189">
        <f>2568</f>
        <v>2568</v>
      </c>
      <c r="K10" s="189"/>
      <c r="L10" s="189">
        <v>120</v>
      </c>
      <c r="M10" s="189">
        <f>SUM(G10:L10)</f>
        <v>147351</v>
      </c>
    </row>
    <row r="11" spans="1:13" ht="33" customHeight="1">
      <c r="A11" s="9" t="s">
        <v>28</v>
      </c>
      <c r="B11" s="11"/>
      <c r="C11" s="586" t="s">
        <v>58</v>
      </c>
      <c r="D11" s="189">
        <v>62208</v>
      </c>
      <c r="E11" s="189">
        <v>14440</v>
      </c>
      <c r="F11" s="189">
        <f>42090+274+3846+144-4000</f>
        <v>42354</v>
      </c>
      <c r="G11" s="189">
        <f>SUM(D11:F11)</f>
        <v>119002</v>
      </c>
      <c r="H11" s="189"/>
      <c r="I11" s="189"/>
      <c r="J11" s="189"/>
      <c r="K11" s="189"/>
      <c r="L11" s="189"/>
      <c r="M11" s="189">
        <f>SUM(G11:L11)</f>
        <v>119002</v>
      </c>
    </row>
    <row r="12" spans="1:13" ht="31.5">
      <c r="A12" s="9" t="s">
        <v>29</v>
      </c>
      <c r="B12" s="11"/>
      <c r="C12" s="11" t="s">
        <v>498</v>
      </c>
      <c r="D12" s="12">
        <f>+D11+1303+360+462+669-2394+92+2227</f>
        <v>64927</v>
      </c>
      <c r="E12" s="12">
        <f>+E11+352+97+125+180+1968+25</f>
        <v>17187</v>
      </c>
      <c r="F12" s="12">
        <f>+F11+8867+1674+1891+224+2227-488-4332-2227</f>
        <v>50190</v>
      </c>
      <c r="G12" s="12">
        <f>SUM(D12:F12)</f>
        <v>132304</v>
      </c>
      <c r="H12" s="12">
        <v>697</v>
      </c>
      <c r="I12" s="12"/>
      <c r="J12" s="12"/>
      <c r="K12" s="12"/>
      <c r="L12" s="12">
        <v>217</v>
      </c>
      <c r="M12" s="12">
        <f>SUM(G12:L12)</f>
        <v>133218</v>
      </c>
    </row>
    <row r="13" spans="2:7" ht="15.75">
      <c r="B13" s="11"/>
      <c r="G13" s="12"/>
    </row>
    <row r="14" spans="1:13" ht="33.75" customHeight="1">
      <c r="A14" s="9" t="s">
        <v>30</v>
      </c>
      <c r="B14" s="11" t="s">
        <v>68</v>
      </c>
      <c r="C14" s="189" t="s">
        <v>21</v>
      </c>
      <c r="D14" s="189">
        <v>11098</v>
      </c>
      <c r="E14" s="189">
        <v>3013</v>
      </c>
      <c r="F14" s="189">
        <v>8519</v>
      </c>
      <c r="G14" s="189">
        <f aca="true" t="shared" si="0" ref="G14:G21">SUM(D14:F14)</f>
        <v>22630</v>
      </c>
      <c r="H14" s="189"/>
      <c r="I14" s="189"/>
      <c r="J14" s="189"/>
      <c r="K14" s="189"/>
      <c r="L14" s="189"/>
      <c r="M14" s="189">
        <f>SUM(G14:L14)</f>
        <v>22630</v>
      </c>
    </row>
    <row r="15" spans="1:13" ht="15" customHeight="1">
      <c r="A15" s="9" t="s">
        <v>31</v>
      </c>
      <c r="B15" s="11"/>
      <c r="C15" s="189" t="s">
        <v>23</v>
      </c>
      <c r="D15" s="189">
        <f>+D14+93+122+22+535+120</f>
        <v>11990</v>
      </c>
      <c r="E15" s="189">
        <f>+E14+25+33+145+29</f>
        <v>3245</v>
      </c>
      <c r="F15" s="189">
        <f>+F14+29+1373-22+47+263+109+34+150</f>
        <v>10502</v>
      </c>
      <c r="G15" s="189">
        <f t="shared" si="0"/>
        <v>25737</v>
      </c>
      <c r="H15" s="189"/>
      <c r="I15" s="189"/>
      <c r="J15" s="189">
        <f>368</f>
        <v>368</v>
      </c>
      <c r="K15" s="189"/>
      <c r="L15" s="189">
        <v>200</v>
      </c>
      <c r="M15" s="189">
        <f>SUM(G15:L15)</f>
        <v>26305</v>
      </c>
    </row>
    <row r="16" spans="1:13" ht="31.5" customHeight="1">
      <c r="A16" s="9" t="s">
        <v>32</v>
      </c>
      <c r="B16" s="11"/>
      <c r="C16" s="586" t="s">
        <v>58</v>
      </c>
      <c r="D16" s="189">
        <v>9313</v>
      </c>
      <c r="E16" s="189">
        <v>2514</v>
      </c>
      <c r="F16" s="189">
        <f>8521-2000+400</f>
        <v>6921</v>
      </c>
      <c r="G16" s="189">
        <f t="shared" si="0"/>
        <v>18748</v>
      </c>
      <c r="H16" s="189"/>
      <c r="I16" s="189"/>
      <c r="J16" s="189"/>
      <c r="K16" s="189"/>
      <c r="L16" s="189"/>
      <c r="M16" s="189">
        <f>SUM(G16:L16)</f>
        <v>18748</v>
      </c>
    </row>
    <row r="17" spans="1:13" ht="31.5">
      <c r="A17" s="9" t="s">
        <v>33</v>
      </c>
      <c r="B17" s="11"/>
      <c r="C17" s="11" t="s">
        <v>498</v>
      </c>
      <c r="D17" s="12">
        <f>+D16+95+32+756+72+744+122+3</f>
        <v>11137</v>
      </c>
      <c r="E17" s="12">
        <f>+E16+25+8+204+21+202+33</f>
        <v>3007</v>
      </c>
      <c r="F17" s="12">
        <f>+F16+2408+408-408+179+3918+1000+1213+395+454</f>
        <v>16488</v>
      </c>
      <c r="G17" s="12">
        <f t="shared" si="0"/>
        <v>30632</v>
      </c>
      <c r="H17" s="12"/>
      <c r="I17" s="12"/>
      <c r="J17" s="12"/>
      <c r="K17" s="12"/>
      <c r="L17" s="12">
        <f>408+3122</f>
        <v>3530</v>
      </c>
      <c r="M17" s="12">
        <f>SUM(G17:L17)</f>
        <v>34162</v>
      </c>
    </row>
    <row r="18" spans="2:13" ht="15.75"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32.25" customHeight="1">
      <c r="A19" s="9" t="s">
        <v>34</v>
      </c>
      <c r="B19" s="17" t="str">
        <f>+'[2]bevétel'!B34</f>
        <v>Battonya Város Önkormányzata</v>
      </c>
      <c r="C19" s="587" t="s">
        <v>21</v>
      </c>
      <c r="D19" s="587">
        <f>1368+2500+5512</f>
        <v>9380</v>
      </c>
      <c r="E19" s="587">
        <f>369+675+4762+1488</f>
        <v>7294</v>
      </c>
      <c r="F19" s="587">
        <v>2260</v>
      </c>
      <c r="G19" s="587">
        <f t="shared" si="0"/>
        <v>18934</v>
      </c>
      <c r="H19" s="588">
        <f>+'[2]átadott'!V26</f>
        <v>7650</v>
      </c>
      <c r="I19" s="588">
        <f>+'[2]segély'!T36</f>
        <v>207479</v>
      </c>
      <c r="J19" s="588"/>
      <c r="K19" s="588">
        <f>+'[2]átadott'!V30</f>
        <v>1300</v>
      </c>
      <c r="L19" s="588">
        <f>+'[2]felh.'!P70</f>
        <v>17610</v>
      </c>
      <c r="M19" s="587">
        <f>SUM(G19:L19)</f>
        <v>252973</v>
      </c>
    </row>
    <row r="20" spans="1:13" ht="15" customHeight="1">
      <c r="A20" s="9" t="s">
        <v>35</v>
      </c>
      <c r="B20" s="14"/>
      <c r="C20" s="40" t="s">
        <v>23</v>
      </c>
      <c r="D20" s="587">
        <f>+D19+33+62+34799+1871+3065+5996+268+10410+7887</f>
        <v>73771</v>
      </c>
      <c r="E20" s="587">
        <v>19925</v>
      </c>
      <c r="F20" s="587">
        <f>+F19+40106+2139+9800+3500</f>
        <v>57805</v>
      </c>
      <c r="G20" s="587">
        <f t="shared" si="0"/>
        <v>151501</v>
      </c>
      <c r="H20" s="588">
        <f>4291+12650</f>
        <v>16941</v>
      </c>
      <c r="I20" s="588">
        <f>+'[2]segély'!Y36</f>
        <v>13204</v>
      </c>
      <c r="J20" s="588">
        <f>19743</f>
        <v>19743</v>
      </c>
      <c r="K20" s="588">
        <f>+'[2]átadott'!Y30</f>
        <v>2441</v>
      </c>
      <c r="L20" s="588">
        <f>+'[2]felh.'!S18+'[2]felh.'!S34+'[2]felh.'!S38+'[2]felh.'!S50+'[2]felh.'!S62</f>
        <v>48898</v>
      </c>
      <c r="M20" s="587">
        <f>+M19</f>
        <v>252973</v>
      </c>
    </row>
    <row r="21" spans="1:13" ht="29.25" customHeight="1">
      <c r="A21" s="9" t="s">
        <v>36</v>
      </c>
      <c r="B21" s="14"/>
      <c r="C21" s="589" t="s">
        <v>58</v>
      </c>
      <c r="D21" s="587">
        <v>15988</v>
      </c>
      <c r="E21" s="587">
        <v>2561</v>
      </c>
      <c r="F21" s="587">
        <f>54260-2000</f>
        <v>52260</v>
      </c>
      <c r="G21" s="587">
        <f t="shared" si="0"/>
        <v>70809</v>
      </c>
      <c r="H21" s="588">
        <f>+5_mell!C24</f>
        <v>18550</v>
      </c>
      <c r="I21" s="588">
        <v>5828</v>
      </c>
      <c r="J21" s="588"/>
      <c r="K21" s="588">
        <f>+5_mell!C28</f>
        <v>3000</v>
      </c>
      <c r="L21" s="588">
        <v>0</v>
      </c>
      <c r="M21" s="587">
        <f>SUM(G21:L21)</f>
        <v>98187</v>
      </c>
    </row>
    <row r="22" spans="1:13" ht="31.5">
      <c r="A22" s="9" t="s">
        <v>37</v>
      </c>
      <c r="B22" s="14"/>
      <c r="C22" s="11" t="s">
        <v>498</v>
      </c>
      <c r="D22" s="14">
        <f>+D21+21+302+62985+214+45000+21+37+89162</f>
        <v>213730</v>
      </c>
      <c r="E22" s="14">
        <f>+E21+6+82+8503+52+6300+6+9+12179</f>
        <v>29698</v>
      </c>
      <c r="F22" s="14">
        <f>+F21+55665+15600-4751+15145-323-2252-347+14684+10863</f>
        <v>156544</v>
      </c>
      <c r="G22" s="14">
        <f>SUM(D22:F22)</f>
        <v>399972</v>
      </c>
      <c r="H22" s="15">
        <f>+5_mell!D24-5_mell!D13-5_mell!D18</f>
        <v>41645</v>
      </c>
      <c r="I22" s="15">
        <f>+6_mell!J45</f>
        <v>21481</v>
      </c>
      <c r="J22" s="15">
        <f>+5_mell!D13</f>
        <v>3726</v>
      </c>
      <c r="K22" s="15">
        <f>+5_mell!D28</f>
        <v>3000</v>
      </c>
      <c r="L22" s="15">
        <f>+7_mell!D12+7_mell!D14+7_mell!D16+7_mell!D18+7_mell!D49</f>
        <v>59421</v>
      </c>
      <c r="M22" s="14">
        <f>SUM(G22:L22)</f>
        <v>529245</v>
      </c>
    </row>
    <row r="23" spans="2:13" ht="15.75">
      <c r="B23" s="14"/>
      <c r="C23" s="11"/>
      <c r="D23" s="14"/>
      <c r="E23" s="14"/>
      <c r="F23" s="14"/>
      <c r="G23" s="14"/>
      <c r="H23" s="15"/>
      <c r="I23" s="15"/>
      <c r="J23" s="15"/>
      <c r="K23" s="15"/>
      <c r="L23" s="15"/>
      <c r="M23" s="14"/>
    </row>
    <row r="24" spans="2:13" ht="15" customHeight="1">
      <c r="B24" s="2" t="s">
        <v>0</v>
      </c>
      <c r="C24" s="3" t="s">
        <v>59</v>
      </c>
      <c r="D24" s="10" t="s">
        <v>60</v>
      </c>
      <c r="E24" s="4" t="s">
        <v>61</v>
      </c>
      <c r="F24" s="37" t="s">
        <v>62</v>
      </c>
      <c r="G24" s="5" t="s">
        <v>63</v>
      </c>
      <c r="H24" s="678" t="s">
        <v>64</v>
      </c>
      <c r="I24" s="678"/>
      <c r="J24" s="678"/>
      <c r="K24" s="678"/>
      <c r="L24" s="4" t="s">
        <v>41</v>
      </c>
      <c r="M24" s="4" t="s">
        <v>65</v>
      </c>
    </row>
    <row r="25" spans="2:13" ht="15" customHeight="1">
      <c r="B25" s="6"/>
      <c r="C25" s="7"/>
      <c r="D25" s="8"/>
      <c r="E25" s="8"/>
      <c r="F25" s="8"/>
      <c r="G25" s="8"/>
      <c r="H25" s="8" t="s">
        <v>7</v>
      </c>
      <c r="I25" s="8" t="s">
        <v>66</v>
      </c>
      <c r="J25" s="8" t="s">
        <v>8</v>
      </c>
      <c r="K25" s="8" t="s">
        <v>9</v>
      </c>
      <c r="L25" s="8"/>
      <c r="M25" s="8"/>
    </row>
    <row r="26" spans="1:13" s="9" customFormat="1" ht="20.25" customHeight="1">
      <c r="A26" s="9" t="s">
        <v>475</v>
      </c>
      <c r="B26" s="2" t="s">
        <v>12</v>
      </c>
      <c r="C26" s="3" t="s">
        <v>13</v>
      </c>
      <c r="D26" s="4" t="s">
        <v>14</v>
      </c>
      <c r="E26" s="4" t="s">
        <v>15</v>
      </c>
      <c r="F26" s="4" t="s">
        <v>16</v>
      </c>
      <c r="G26" s="4" t="s">
        <v>17</v>
      </c>
      <c r="H26" s="4" t="s">
        <v>18</v>
      </c>
      <c r="I26" s="4" t="s">
        <v>67</v>
      </c>
      <c r="J26" s="4" t="s">
        <v>19</v>
      </c>
      <c r="K26" s="4" t="s">
        <v>473</v>
      </c>
      <c r="L26" s="4" t="s">
        <v>474</v>
      </c>
      <c r="M26" s="4" t="s">
        <v>476</v>
      </c>
    </row>
    <row r="27" spans="2:13" s="9" customFormat="1" ht="20.25" customHeight="1">
      <c r="B27" s="2"/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35.25" customHeight="1">
      <c r="A28" s="9" t="s">
        <v>38</v>
      </c>
      <c r="B28" s="11" t="str">
        <f>+3_mell!B27</f>
        <v>Battonyai Polgármesteri Hivatal</v>
      </c>
      <c r="C28" s="40" t="s">
        <v>44</v>
      </c>
      <c r="D28" s="587">
        <f>116618+1368+2500-1368-2500+1371</f>
        <v>117989</v>
      </c>
      <c r="E28" s="40">
        <f>30963+369+675-369-675+370</f>
        <v>31333</v>
      </c>
      <c r="F28" s="40">
        <f>76980+2260+507-2260</f>
        <v>77487</v>
      </c>
      <c r="G28" s="40">
        <f>SUM(D28:F28)</f>
        <v>226809</v>
      </c>
      <c r="H28" s="45">
        <v>0</v>
      </c>
      <c r="I28" s="45"/>
      <c r="J28" s="45"/>
      <c r="K28" s="45">
        <v>0</v>
      </c>
      <c r="L28" s="370">
        <v>0</v>
      </c>
      <c r="M28" s="40">
        <f>SUM(G28:L28)</f>
        <v>226809</v>
      </c>
    </row>
    <row r="29" spans="1:13" ht="15" customHeight="1">
      <c r="A29" s="9" t="s">
        <v>39</v>
      </c>
      <c r="C29" s="40" t="s">
        <v>23</v>
      </c>
      <c r="D29" s="40">
        <f>+D28+1573+632+600</f>
        <v>120794</v>
      </c>
      <c r="E29" s="40">
        <v>32052</v>
      </c>
      <c r="F29" s="40">
        <f>+F28+8190</f>
        <v>85677</v>
      </c>
      <c r="G29" s="40">
        <f>SUM(D29:F29)</f>
        <v>238523</v>
      </c>
      <c r="H29" s="40"/>
      <c r="I29" s="45">
        <f>+'[2]segély'!X36+'[2]segély'!X40</f>
        <v>220024</v>
      </c>
      <c r="J29" s="45"/>
      <c r="K29" s="40"/>
      <c r="L29" s="40">
        <f>3729</f>
        <v>3729</v>
      </c>
      <c r="M29" s="40">
        <f>SUM(G29:L29)</f>
        <v>462276</v>
      </c>
    </row>
    <row r="30" spans="1:13" ht="31.5" customHeight="1">
      <c r="A30" s="9" t="s">
        <v>42</v>
      </c>
      <c r="C30" s="589" t="s">
        <v>58</v>
      </c>
      <c r="D30" s="40">
        <f>95148-565+1430</f>
        <v>96013</v>
      </c>
      <c r="E30" s="40">
        <f>25853-153+386</f>
        <v>26086</v>
      </c>
      <c r="F30" s="40">
        <v>23222</v>
      </c>
      <c r="G30" s="40">
        <f>SUM(D30:F30)</f>
        <v>145321</v>
      </c>
      <c r="H30" s="40"/>
      <c r="I30" s="45">
        <v>178472</v>
      </c>
      <c r="J30" s="45"/>
      <c r="K30" s="40"/>
      <c r="L30" s="40"/>
      <c r="M30" s="40">
        <f>SUM(G30:L30)</f>
        <v>323793</v>
      </c>
    </row>
    <row r="31" spans="1:13" ht="31.5" customHeight="1">
      <c r="A31" s="9" t="s">
        <v>45</v>
      </c>
      <c r="C31" s="11" t="s">
        <v>498</v>
      </c>
      <c r="D31" s="1">
        <f>+D30+377+7152+151+248+8883+744+690</f>
        <v>114258</v>
      </c>
      <c r="E31" s="1">
        <f>+E30+102+1813+41+67+2177-960</f>
        <v>29326</v>
      </c>
      <c r="F31" s="1">
        <f>+F30+14159+1016+488+3861</f>
        <v>42746</v>
      </c>
      <c r="G31" s="1">
        <f>SUM(D31:F31)</f>
        <v>186330</v>
      </c>
      <c r="I31" s="13">
        <f>+6_mell!I45</f>
        <v>154481</v>
      </c>
      <c r="J31" s="13"/>
      <c r="L31" s="1">
        <f>+7_mell!D34+7_mell!D46</f>
        <v>2879</v>
      </c>
      <c r="M31" s="1">
        <f>SUM(G31:L31)</f>
        <v>343690</v>
      </c>
    </row>
    <row r="32" ht="15.75"/>
    <row r="33" spans="1:13" ht="15" customHeight="1">
      <c r="A33" s="9" t="s">
        <v>46</v>
      </c>
      <c r="B33" s="17" t="s">
        <v>69</v>
      </c>
      <c r="C33" s="189" t="s">
        <v>21</v>
      </c>
      <c r="D33" s="587">
        <f>+D28+D19+D14+D9+D4</f>
        <v>259861</v>
      </c>
      <c r="E33" s="587">
        <f aca="true" t="shared" si="1" ref="E33:M33">+E28+E19+E14+E9+E4</f>
        <v>74127</v>
      </c>
      <c r="F33" s="587">
        <f t="shared" si="1"/>
        <v>265463</v>
      </c>
      <c r="G33" s="587">
        <f t="shared" si="1"/>
        <v>599451</v>
      </c>
      <c r="H33" s="587">
        <f t="shared" si="1"/>
        <v>7650</v>
      </c>
      <c r="I33" s="587">
        <f t="shared" si="1"/>
        <v>207479</v>
      </c>
      <c r="J33" s="587">
        <f t="shared" si="1"/>
        <v>0</v>
      </c>
      <c r="K33" s="587">
        <f t="shared" si="1"/>
        <v>1300</v>
      </c>
      <c r="L33" s="587">
        <f t="shared" si="1"/>
        <v>17610</v>
      </c>
      <c r="M33" s="587">
        <f t="shared" si="1"/>
        <v>833490</v>
      </c>
    </row>
    <row r="34" spans="1:13" ht="15" customHeight="1">
      <c r="A34" s="9" t="s">
        <v>47</v>
      </c>
      <c r="C34" s="40" t="s">
        <v>23</v>
      </c>
      <c r="D34" s="587">
        <f>+D29+D20+D15+D10+D5</f>
        <v>341664</v>
      </c>
      <c r="E34" s="587">
        <f aca="true" t="shared" si="2" ref="E34:M34">+E29+E20+E15+E10+E5</f>
        <v>91237</v>
      </c>
      <c r="F34" s="587">
        <f t="shared" si="2"/>
        <v>347189</v>
      </c>
      <c r="G34" s="587">
        <f t="shared" si="2"/>
        <v>780090</v>
      </c>
      <c r="H34" s="587">
        <f t="shared" si="2"/>
        <v>16941</v>
      </c>
      <c r="I34" s="587">
        <f t="shared" si="2"/>
        <v>233228</v>
      </c>
      <c r="J34" s="587">
        <f t="shared" si="2"/>
        <v>24845</v>
      </c>
      <c r="K34" s="587">
        <f t="shared" si="2"/>
        <v>2441</v>
      </c>
      <c r="L34" s="587">
        <f t="shared" si="2"/>
        <v>52947</v>
      </c>
      <c r="M34" s="587">
        <f t="shared" si="2"/>
        <v>1110737</v>
      </c>
    </row>
    <row r="35" spans="1:13" ht="33" customHeight="1">
      <c r="A35" s="9" t="s">
        <v>48</v>
      </c>
      <c r="C35" s="589" t="s">
        <v>58</v>
      </c>
      <c r="D35" s="587">
        <f>+D30+D21+D16+D11+D6</f>
        <v>225427</v>
      </c>
      <c r="E35" s="587">
        <f aca="true" t="shared" si="3" ref="E35:M35">+E30+E21+E16+E11+E6</f>
        <v>56839</v>
      </c>
      <c r="F35" s="587">
        <f t="shared" si="3"/>
        <v>253724</v>
      </c>
      <c r="G35" s="587">
        <f t="shared" si="3"/>
        <v>535990</v>
      </c>
      <c r="H35" s="588">
        <f t="shared" si="3"/>
        <v>18550</v>
      </c>
      <c r="I35" s="587">
        <f t="shared" si="3"/>
        <v>184300</v>
      </c>
      <c r="J35" s="587">
        <f t="shared" si="3"/>
        <v>0</v>
      </c>
      <c r="K35" s="587">
        <f t="shared" si="3"/>
        <v>3000</v>
      </c>
      <c r="L35" s="587">
        <f t="shared" si="3"/>
        <v>0</v>
      </c>
      <c r="M35" s="587">
        <f t="shared" si="3"/>
        <v>741840</v>
      </c>
    </row>
    <row r="36" spans="1:13" ht="33" customHeight="1">
      <c r="A36" s="9" t="s">
        <v>49</v>
      </c>
      <c r="C36" s="11" t="s">
        <v>498</v>
      </c>
      <c r="D36" s="14">
        <f>+D31+D22+D17+D12+D7</f>
        <v>452847</v>
      </c>
      <c r="E36" s="14">
        <f aca="true" t="shared" si="4" ref="E36:M36">+E31+E22+E17+E12+E7</f>
        <v>92422</v>
      </c>
      <c r="F36" s="14">
        <f>+F31+F22+F17+F12+F7</f>
        <v>444940</v>
      </c>
      <c r="G36" s="14">
        <f t="shared" si="4"/>
        <v>990209</v>
      </c>
      <c r="H36" s="14">
        <f t="shared" si="4"/>
        <v>42342</v>
      </c>
      <c r="I36" s="14">
        <f t="shared" si="4"/>
        <v>175962</v>
      </c>
      <c r="J36" s="14">
        <f t="shared" si="4"/>
        <v>3726</v>
      </c>
      <c r="K36" s="14">
        <f t="shared" si="4"/>
        <v>3000</v>
      </c>
      <c r="L36" s="15">
        <f>+L31+L22+L17+L12+L7</f>
        <v>66544</v>
      </c>
      <c r="M36" s="14">
        <f t="shared" si="4"/>
        <v>1281783</v>
      </c>
    </row>
  </sheetData>
  <sheetProtection/>
  <mergeCells count="2">
    <mergeCell ref="H1:K1"/>
    <mergeCell ref="H24:K24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91" r:id="rId1"/>
  <headerFooter alignWithMargins="0">
    <oddHeader>&amp;L4. melléklet a 2014. évi 4/2014.(II.28.) Önkormányzati költségvetési rendelethez&amp;R&amp;D</oddHeader>
  </headerFooter>
  <rowBreaks count="1" manualBreakCount="1">
    <brk id="22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4.8515625" style="326" customWidth="1"/>
    <col min="2" max="2" width="51.140625" style="326" customWidth="1"/>
    <col min="3" max="3" width="11.421875" style="326" hidden="1" customWidth="1"/>
    <col min="4" max="4" width="12.00390625" style="326" customWidth="1"/>
    <col min="5" max="5" width="12.7109375" style="326" customWidth="1"/>
    <col min="6" max="6" width="9.140625" style="326" customWidth="1"/>
    <col min="7" max="7" width="13.7109375" style="326" bestFit="1" customWidth="1"/>
    <col min="8" max="16384" width="9.140625" style="326" customWidth="1"/>
  </cols>
  <sheetData>
    <row r="1" spans="1:4" ht="12.75">
      <c r="A1" s="679" t="s">
        <v>444</v>
      </c>
      <c r="B1" s="679"/>
      <c r="C1" s="679"/>
      <c r="D1" s="679"/>
    </row>
    <row r="2" spans="2:4" ht="12.75">
      <c r="B2" s="442"/>
      <c r="C2" s="442"/>
      <c r="D2" s="442"/>
    </row>
    <row r="3" spans="2:4" ht="12.75">
      <c r="B3" s="442"/>
      <c r="C3" s="442"/>
      <c r="D3" s="442"/>
    </row>
    <row r="5" spans="2:8" ht="52.5" customHeight="1">
      <c r="B5" s="538" t="s">
        <v>440</v>
      </c>
      <c r="C5" s="540" t="s">
        <v>443</v>
      </c>
      <c r="D5" s="540" t="s">
        <v>442</v>
      </c>
      <c r="E5" s="540" t="s">
        <v>634</v>
      </c>
      <c r="F5" s="381"/>
      <c r="G5" s="534"/>
      <c r="H5" s="534"/>
    </row>
    <row r="6" spans="1:8" s="568" customFormat="1" ht="24" customHeight="1">
      <c r="A6" s="568" t="s">
        <v>11</v>
      </c>
      <c r="B6" s="571" t="s">
        <v>12</v>
      </c>
      <c r="C6" s="537" t="s">
        <v>13</v>
      </c>
      <c r="D6" s="537" t="s">
        <v>14</v>
      </c>
      <c r="E6" s="569" t="s">
        <v>13</v>
      </c>
      <c r="F6" s="570"/>
      <c r="G6" s="537"/>
      <c r="H6" s="537"/>
    </row>
    <row r="7" spans="1:5" ht="12.75">
      <c r="A7" s="326" t="s">
        <v>20</v>
      </c>
      <c r="B7" s="535" t="str">
        <f>+'[5]bevétel'!A40</f>
        <v>Városellátó  Szervezet</v>
      </c>
      <c r="C7" s="535">
        <v>30</v>
      </c>
      <c r="D7" s="539" t="s">
        <v>633</v>
      </c>
      <c r="E7" s="539" t="str">
        <f>+D7</f>
        <v>30</v>
      </c>
    </row>
    <row r="8" spans="2:5" ht="12.75">
      <c r="B8" s="535"/>
      <c r="C8" s="535"/>
      <c r="D8" s="601"/>
      <c r="E8" s="601"/>
    </row>
    <row r="9" spans="1:5" ht="12.75">
      <c r="A9" s="326" t="s">
        <v>22</v>
      </c>
      <c r="B9" s="535" t="str">
        <f>+'[5]bevétel'!A46</f>
        <v>Egészségügyi és Szociális Ellátó Szervezet</v>
      </c>
      <c r="C9" s="535">
        <v>31</v>
      </c>
      <c r="D9" s="602">
        <v>34</v>
      </c>
      <c r="E9" s="539">
        <f>+D9</f>
        <v>34</v>
      </c>
    </row>
    <row r="10" spans="2:5" ht="12.75">
      <c r="B10" s="536"/>
      <c r="C10" s="536"/>
      <c r="D10" s="601"/>
      <c r="E10" s="601"/>
    </row>
    <row r="11" spans="1:5" ht="12.75">
      <c r="A11" s="326" t="s">
        <v>24</v>
      </c>
      <c r="B11" s="535" t="str">
        <f>+'[5]bevétel'!A62</f>
        <v>Városi Művelődési Központ és Könyvtár</v>
      </c>
      <c r="C11" s="535">
        <v>4</v>
      </c>
      <c r="D11" s="601">
        <v>4</v>
      </c>
      <c r="E11" s="539">
        <f>+D11</f>
        <v>4</v>
      </c>
    </row>
    <row r="12" spans="2:5" s="377" customFormat="1" ht="12.75">
      <c r="B12" s="537"/>
      <c r="C12" s="537"/>
      <c r="D12" s="571"/>
      <c r="E12" s="571"/>
    </row>
    <row r="13" spans="1:5" ht="12.75">
      <c r="A13" s="326" t="s">
        <v>25</v>
      </c>
      <c r="B13" s="535" t="str">
        <f>+'[5]bevétel'!A76</f>
        <v>Battonya Város Önkormányzata</v>
      </c>
      <c r="C13" s="535">
        <v>1</v>
      </c>
      <c r="D13" s="601">
        <v>1</v>
      </c>
      <c r="E13" s="539">
        <f>+D13</f>
        <v>1</v>
      </c>
    </row>
    <row r="14" spans="2:5" s="377" customFormat="1" ht="12.75">
      <c r="B14" s="537"/>
      <c r="C14" s="537"/>
      <c r="D14" s="571"/>
      <c r="E14" s="571"/>
    </row>
    <row r="15" spans="1:5" ht="12.75">
      <c r="A15" s="326" t="s">
        <v>26</v>
      </c>
      <c r="B15" s="535" t="s">
        <v>437</v>
      </c>
      <c r="C15" s="535">
        <v>30</v>
      </c>
      <c r="D15" s="601">
        <v>23</v>
      </c>
      <c r="E15" s="539">
        <f>+D15</f>
        <v>23</v>
      </c>
    </row>
    <row r="16" spans="2:5" ht="12.75">
      <c r="B16" s="536"/>
      <c r="C16" s="536"/>
      <c r="D16" s="601"/>
      <c r="E16" s="601"/>
    </row>
    <row r="17" spans="2:5" s="377" customFormat="1" ht="12.75">
      <c r="B17" s="537"/>
      <c r="C17" s="537"/>
      <c r="D17" s="571"/>
      <c r="E17" s="571"/>
    </row>
    <row r="18" spans="2:5" ht="12.75">
      <c r="B18" s="443"/>
      <c r="C18" s="443"/>
      <c r="D18" s="601"/>
      <c r="E18" s="601"/>
    </row>
    <row r="19" spans="1:5" ht="12.75">
      <c r="A19" s="326" t="s">
        <v>27</v>
      </c>
      <c r="B19" s="514" t="s">
        <v>441</v>
      </c>
      <c r="C19" s="514">
        <f>SUM(C7:C18)</f>
        <v>96</v>
      </c>
      <c r="D19" s="603">
        <f>+D15+D13+D11+D9+D7</f>
        <v>92</v>
      </c>
      <c r="E19" s="603">
        <f>+E15+E13+E11+E9+E7</f>
        <v>92</v>
      </c>
    </row>
    <row r="20" spans="2:5" ht="12.75">
      <c r="B20" s="443"/>
      <c r="C20" s="443"/>
      <c r="D20" s="443"/>
      <c r="E20" s="443"/>
    </row>
    <row r="21" spans="2:5" ht="12.75">
      <c r="B21" s="443"/>
      <c r="C21" s="443"/>
      <c r="D21" s="443"/>
      <c r="E21" s="443"/>
    </row>
    <row r="22" spans="1:5" ht="12.75">
      <c r="A22" s="326" t="s">
        <v>28</v>
      </c>
      <c r="B22" s="443" t="s">
        <v>445</v>
      </c>
      <c r="C22" s="443"/>
      <c r="D22" s="443">
        <v>220</v>
      </c>
      <c r="E22" s="539">
        <f>+D22</f>
        <v>220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&amp;L4/1. melléklet a 2014. évi 4/2014.(II.28.) Önkormányzati költségvetési rendelethez&amp;R&amp;D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60" zoomScalePageLayoutView="0" workbookViewId="0" topLeftCell="A1">
      <selection activeCell="D41" sqref="D41"/>
    </sheetView>
  </sheetViews>
  <sheetFormatPr defaultColWidth="9.140625" defaultRowHeight="15" customHeight="1"/>
  <cols>
    <col min="1" max="1" width="5.140625" style="40" customWidth="1"/>
    <col min="2" max="2" width="43.7109375" style="39" customWidth="1"/>
    <col min="3" max="3" width="15.140625" style="40" customWidth="1"/>
    <col min="4" max="4" width="18.57421875" style="40" customWidth="1"/>
    <col min="5" max="5" width="10.28125" style="40" bestFit="1" customWidth="1"/>
    <col min="6" max="19" width="9.140625" style="45" customWidth="1"/>
    <col min="20" max="16384" width="9.140625" style="40" customWidth="1"/>
  </cols>
  <sheetData>
    <row r="1" ht="15" customHeight="1">
      <c r="A1" s="38" t="s">
        <v>70</v>
      </c>
    </row>
    <row r="2" ht="15" customHeight="1">
      <c r="B2" s="41"/>
    </row>
    <row r="3" spans="2:4" ht="15" customHeight="1">
      <c r="B3" s="41" t="s">
        <v>71</v>
      </c>
      <c r="C3" s="42" t="s">
        <v>77</v>
      </c>
      <c r="D3" s="42" t="s">
        <v>122</v>
      </c>
    </row>
    <row r="4" spans="3:4" ht="21" customHeight="1">
      <c r="C4" s="43" t="s">
        <v>72</v>
      </c>
      <c r="D4" s="42" t="s">
        <v>486</v>
      </c>
    </row>
    <row r="6" spans="1:4" ht="15" customHeight="1">
      <c r="A6" s="12" t="s">
        <v>475</v>
      </c>
      <c r="B6" s="44" t="s">
        <v>12</v>
      </c>
      <c r="C6" s="42" t="s">
        <v>13</v>
      </c>
      <c r="D6" s="42" t="s">
        <v>14</v>
      </c>
    </row>
    <row r="8" spans="1:4" ht="15" customHeight="1">
      <c r="A8" s="40" t="s">
        <v>20</v>
      </c>
      <c r="B8" s="39" t="s">
        <v>78</v>
      </c>
      <c r="C8" s="40">
        <v>12000</v>
      </c>
      <c r="D8" s="40">
        <f>+C8+1121</f>
        <v>13121</v>
      </c>
    </row>
    <row r="9" spans="1:4" ht="15" customHeight="1">
      <c r="A9" s="40" t="s">
        <v>22</v>
      </c>
      <c r="B9" s="39" t="s">
        <v>315</v>
      </c>
      <c r="C9" s="40">
        <v>5000</v>
      </c>
      <c r="D9" s="40">
        <f>+C9</f>
        <v>5000</v>
      </c>
    </row>
    <row r="10" spans="1:4" ht="15" customHeight="1">
      <c r="A10" s="40" t="s">
        <v>24</v>
      </c>
      <c r="B10" s="39" t="s">
        <v>316</v>
      </c>
      <c r="C10" s="40">
        <f>1150+400</f>
        <v>1550</v>
      </c>
      <c r="D10" s="40">
        <f>+C10+1185</f>
        <v>2735</v>
      </c>
    </row>
    <row r="11" spans="1:4" ht="15" customHeight="1">
      <c r="A11" s="48" t="s">
        <v>25</v>
      </c>
      <c r="B11" s="39" t="s">
        <v>492</v>
      </c>
      <c r="C11" s="48"/>
      <c r="D11" s="40">
        <v>20</v>
      </c>
    </row>
    <row r="12" spans="1:4" ht="15" customHeight="1">
      <c r="A12" s="48" t="s">
        <v>26</v>
      </c>
      <c r="B12" s="39" t="s">
        <v>493</v>
      </c>
      <c r="C12" s="48"/>
      <c r="D12" s="40">
        <v>400</v>
      </c>
    </row>
    <row r="13" spans="1:4" ht="15">
      <c r="A13" s="48" t="s">
        <v>501</v>
      </c>
      <c r="B13" s="39" t="s">
        <v>502</v>
      </c>
      <c r="C13" s="48"/>
      <c r="D13" s="40">
        <v>3726</v>
      </c>
    </row>
    <row r="14" spans="1:4" ht="15">
      <c r="A14" s="48" t="s">
        <v>28</v>
      </c>
      <c r="B14" s="39" t="s">
        <v>597</v>
      </c>
      <c r="C14" s="48"/>
      <c r="D14" s="40">
        <v>6017</v>
      </c>
    </row>
    <row r="15" spans="1:4" ht="15">
      <c r="A15" s="48" t="s">
        <v>29</v>
      </c>
      <c r="B15" s="39" t="s">
        <v>557</v>
      </c>
      <c r="C15" s="48"/>
      <c r="D15" s="40">
        <v>4485</v>
      </c>
    </row>
    <row r="16" spans="1:4" ht="15">
      <c r="A16" s="48" t="s">
        <v>30</v>
      </c>
      <c r="B16" s="39" t="s">
        <v>511</v>
      </c>
      <c r="C16" s="48"/>
      <c r="D16" s="40">
        <f>323+94</f>
        <v>417</v>
      </c>
    </row>
    <row r="17" spans="1:4" ht="15">
      <c r="A17" s="48" t="s">
        <v>31</v>
      </c>
      <c r="B17" s="39" t="s">
        <v>508</v>
      </c>
      <c r="C17" s="48"/>
      <c r="D17" s="40">
        <v>2252</v>
      </c>
    </row>
    <row r="18" spans="1:4" ht="30">
      <c r="A18" s="48" t="s">
        <v>32</v>
      </c>
      <c r="B18" s="191" t="s">
        <v>520</v>
      </c>
      <c r="C18" s="48"/>
      <c r="D18" s="40">
        <v>697</v>
      </c>
    </row>
    <row r="19" spans="1:4" ht="15" customHeight="1">
      <c r="A19" s="48" t="s">
        <v>33</v>
      </c>
      <c r="B19" s="46" t="s">
        <v>558</v>
      </c>
      <c r="C19" s="48"/>
      <c r="D19" s="40">
        <v>347</v>
      </c>
    </row>
    <row r="20" spans="1:4" ht="15" customHeight="1">
      <c r="A20" s="40" t="s">
        <v>34</v>
      </c>
      <c r="B20" s="46" t="s">
        <v>568</v>
      </c>
      <c r="C20" s="48"/>
      <c r="D20" s="40">
        <f>2000+2000</f>
        <v>4000</v>
      </c>
    </row>
    <row r="21" spans="1:4" ht="58.5" customHeight="1">
      <c r="A21" s="48" t="s">
        <v>35</v>
      </c>
      <c r="B21" s="51" t="s">
        <v>581</v>
      </c>
      <c r="C21" s="48"/>
      <c r="D21" s="40">
        <v>454</v>
      </c>
    </row>
    <row r="22" spans="1:4" ht="37.5" customHeight="1">
      <c r="A22" s="48" t="s">
        <v>36</v>
      </c>
      <c r="B22" s="51" t="s">
        <v>585</v>
      </c>
      <c r="C22" s="48"/>
      <c r="D22" s="40">
        <v>2397</v>
      </c>
    </row>
    <row r="23" spans="1:3" ht="15" customHeight="1">
      <c r="A23" s="48"/>
      <c r="B23" s="46"/>
      <c r="C23" s="48"/>
    </row>
    <row r="24" spans="1:4" ht="15" customHeight="1">
      <c r="A24" s="40" t="s">
        <v>37</v>
      </c>
      <c r="B24" s="6" t="s">
        <v>73</v>
      </c>
      <c r="C24" s="8">
        <f>SUM(C8:C19)</f>
        <v>18550</v>
      </c>
      <c r="D24" s="8">
        <f>SUM(D8:D23)</f>
        <v>46068</v>
      </c>
    </row>
    <row r="25" spans="1:3" ht="15" customHeight="1">
      <c r="A25" s="48"/>
      <c r="B25" s="6"/>
      <c r="C25" s="48"/>
    </row>
    <row r="26" spans="1:3" ht="15" customHeight="1">
      <c r="A26" s="48"/>
      <c r="B26" s="46"/>
      <c r="C26" s="50"/>
    </row>
    <row r="27" spans="1:3" ht="15" customHeight="1">
      <c r="A27" s="48"/>
      <c r="B27" s="51"/>
      <c r="C27" s="45"/>
    </row>
    <row r="28" spans="1:4" ht="15" customHeight="1">
      <c r="A28" s="48" t="s">
        <v>38</v>
      </c>
      <c r="B28" s="6" t="s">
        <v>74</v>
      </c>
      <c r="C28" s="8">
        <f>+C29</f>
        <v>3000</v>
      </c>
      <c r="D28" s="8">
        <f>+D29</f>
        <v>3000</v>
      </c>
    </row>
    <row r="29" spans="1:4" ht="15" customHeight="1">
      <c r="A29" s="48" t="s">
        <v>39</v>
      </c>
      <c r="B29" s="39" t="s">
        <v>439</v>
      </c>
      <c r="C29" s="559">
        <v>3000</v>
      </c>
      <c r="D29" s="45">
        <f>+C29</f>
        <v>3000</v>
      </c>
    </row>
    <row r="30" spans="1:3" ht="15" customHeight="1">
      <c r="A30" s="48"/>
      <c r="B30" s="6"/>
      <c r="C30" s="48"/>
    </row>
    <row r="31" spans="1:4" ht="15" customHeight="1">
      <c r="A31" s="48" t="s">
        <v>42</v>
      </c>
      <c r="B31" s="52" t="s">
        <v>75</v>
      </c>
      <c r="C31" s="8">
        <f>+C28+C24</f>
        <v>21550</v>
      </c>
      <c r="D31" s="8">
        <f>+D28+D24</f>
        <v>49068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&amp;L5. melléklet a 2014. évi 4/2014.(II.28.) Önkormányzati költségvetési rendelethez&amp;R&amp;D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="60" zoomScalePageLayoutView="0" workbookViewId="0" topLeftCell="A1">
      <selection activeCell="N51" sqref="N51"/>
    </sheetView>
  </sheetViews>
  <sheetFormatPr defaultColWidth="9.140625" defaultRowHeight="15" customHeight="1"/>
  <cols>
    <col min="1" max="1" width="4.140625" style="57" bestFit="1" customWidth="1"/>
    <col min="2" max="2" width="64.00390625" style="57" customWidth="1"/>
    <col min="3" max="3" width="15.57421875" style="57" customWidth="1"/>
    <col min="4" max="4" width="15.140625" style="57" customWidth="1"/>
    <col min="5" max="5" width="12.28125" style="57" customWidth="1"/>
    <col min="6" max="6" width="16.8515625" style="57" customWidth="1"/>
    <col min="7" max="7" width="10.28125" style="57" customWidth="1"/>
    <col min="8" max="8" width="22.421875" style="57" customWidth="1"/>
    <col min="9" max="9" width="13.8515625" style="57" customWidth="1"/>
    <col min="10" max="10" width="13.00390625" style="57" customWidth="1"/>
    <col min="11" max="16384" width="9.140625" style="57" customWidth="1"/>
  </cols>
  <sheetData>
    <row r="1" spans="1:10" ht="15" customHeight="1" thickBot="1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" customHeight="1">
      <c r="A2" s="58"/>
      <c r="B2" s="59"/>
      <c r="C2" s="683" t="s">
        <v>80</v>
      </c>
      <c r="D2" s="685"/>
      <c r="E2" s="684"/>
      <c r="F2" s="680" t="s">
        <v>58</v>
      </c>
      <c r="G2" s="681"/>
      <c r="H2" s="682"/>
      <c r="I2" s="683" t="s">
        <v>498</v>
      </c>
      <c r="J2" s="684"/>
    </row>
    <row r="3" spans="1:10" ht="15" customHeight="1" thickBot="1">
      <c r="A3" s="60"/>
      <c r="B3" s="61"/>
      <c r="C3" s="63" t="s">
        <v>81</v>
      </c>
      <c r="D3" s="64" t="s">
        <v>82</v>
      </c>
      <c r="E3" s="65" t="s">
        <v>5</v>
      </c>
      <c r="F3" s="66" t="s">
        <v>81</v>
      </c>
      <c r="G3" s="66" t="s">
        <v>82</v>
      </c>
      <c r="H3" s="62" t="s">
        <v>5</v>
      </c>
      <c r="I3" s="67" t="s">
        <v>83</v>
      </c>
      <c r="J3" s="65" t="s">
        <v>84</v>
      </c>
    </row>
    <row r="4" spans="1:10" s="31" customFormat="1" ht="15" customHeight="1">
      <c r="A4" s="68" t="s">
        <v>11</v>
      </c>
      <c r="B4" s="69" t="s">
        <v>12</v>
      </c>
      <c r="C4" s="70" t="s">
        <v>13</v>
      </c>
      <c r="D4" s="71" t="s">
        <v>14</v>
      </c>
      <c r="E4" s="72" t="s">
        <v>15</v>
      </c>
      <c r="F4" s="70" t="s">
        <v>16</v>
      </c>
      <c r="G4" s="71" t="s">
        <v>17</v>
      </c>
      <c r="H4" s="71" t="s">
        <v>18</v>
      </c>
      <c r="I4" s="73" t="s">
        <v>67</v>
      </c>
      <c r="J4" s="73" t="s">
        <v>19</v>
      </c>
    </row>
    <row r="5" spans="1:10" ht="15" customHeight="1">
      <c r="A5" s="74"/>
      <c r="B5" s="75"/>
      <c r="C5" s="76"/>
      <c r="D5" s="77"/>
      <c r="E5" s="78"/>
      <c r="F5" s="76"/>
      <c r="G5" s="77"/>
      <c r="H5" s="77"/>
      <c r="I5" s="79"/>
      <c r="J5" s="79"/>
    </row>
    <row r="6" spans="1:10" ht="15" customHeight="1">
      <c r="A6" s="74" t="s">
        <v>20</v>
      </c>
      <c r="B6" s="75" t="s">
        <v>85</v>
      </c>
      <c r="C6" s="76">
        <f aca="true" t="shared" si="0" ref="C6:C12">+E6-D6</f>
        <v>347.6999999999998</v>
      </c>
      <c r="D6" s="77">
        <f>+E6*0.9</f>
        <v>3129.3</v>
      </c>
      <c r="E6" s="80">
        <f>3140+337</f>
        <v>3477</v>
      </c>
      <c r="F6" s="76">
        <f aca="true" t="shared" si="1" ref="F6:F12">+H6-G6</f>
        <v>1188.7999999999993</v>
      </c>
      <c r="G6" s="77">
        <f>+H6*0.9</f>
        <v>10699.2</v>
      </c>
      <c r="H6" s="81">
        <f>3140+337+8411</f>
        <v>11888</v>
      </c>
      <c r="I6" s="82"/>
      <c r="J6" s="82"/>
    </row>
    <row r="7" spans="1:10" ht="15" customHeight="1">
      <c r="A7" s="74" t="s">
        <v>22</v>
      </c>
      <c r="B7" s="75" t="s">
        <v>86</v>
      </c>
      <c r="C7" s="76">
        <f t="shared" si="0"/>
        <v>264.9000000000001</v>
      </c>
      <c r="D7" s="77">
        <f>+E7*0.9</f>
        <v>2384.1</v>
      </c>
      <c r="E7" s="80">
        <f>2407+242</f>
        <v>2649</v>
      </c>
      <c r="F7" s="76">
        <f t="shared" si="1"/>
        <v>264.9000000000001</v>
      </c>
      <c r="G7" s="77">
        <f>+H7*0.9</f>
        <v>2384.1</v>
      </c>
      <c r="H7" s="81">
        <f>2407+242</f>
        <v>2649</v>
      </c>
      <c r="I7" s="82"/>
      <c r="J7" s="82"/>
    </row>
    <row r="8" spans="1:10" ht="15" customHeight="1">
      <c r="A8" s="74"/>
      <c r="B8" s="75" t="s">
        <v>590</v>
      </c>
      <c r="C8" s="76"/>
      <c r="D8" s="77"/>
      <c r="E8" s="80"/>
      <c r="F8" s="76"/>
      <c r="G8" s="77"/>
      <c r="H8" s="81"/>
      <c r="I8" s="82">
        <v>20986</v>
      </c>
      <c r="J8" s="82"/>
    </row>
    <row r="9" spans="1:10" ht="15" customHeight="1">
      <c r="A9" s="74" t="s">
        <v>24</v>
      </c>
      <c r="B9" s="75" t="s">
        <v>87</v>
      </c>
      <c r="C9" s="76">
        <f t="shared" si="0"/>
        <v>28174.59999999999</v>
      </c>
      <c r="D9" s="77">
        <f>+E9*0.8</f>
        <v>112698.40000000001</v>
      </c>
      <c r="E9" s="80">
        <f>128536+12337</f>
        <v>140873</v>
      </c>
      <c r="F9" s="76">
        <f t="shared" si="1"/>
        <v>28174.59999999999</v>
      </c>
      <c r="G9" s="77">
        <f>+H9*0.8</f>
        <v>112698.40000000001</v>
      </c>
      <c r="H9" s="81">
        <f>128536+12337</f>
        <v>140873</v>
      </c>
      <c r="I9" s="82">
        <v>107254</v>
      </c>
      <c r="J9" s="82"/>
    </row>
    <row r="10" spans="1:10" ht="15" customHeight="1">
      <c r="A10" s="74" t="s">
        <v>25</v>
      </c>
      <c r="B10" s="75" t="s">
        <v>88</v>
      </c>
      <c r="C10" s="76">
        <f t="shared" si="0"/>
        <v>198.89999999999986</v>
      </c>
      <c r="D10" s="77">
        <f>+E10*0.9</f>
        <v>1790.1000000000001</v>
      </c>
      <c r="E10" s="80">
        <f>1788+201</f>
        <v>1989</v>
      </c>
      <c r="F10" s="76">
        <f t="shared" si="1"/>
        <v>0</v>
      </c>
      <c r="G10" s="77">
        <v>264</v>
      </c>
      <c r="H10" s="81">
        <v>264</v>
      </c>
      <c r="I10" s="82">
        <f>+H10</f>
        <v>264</v>
      </c>
      <c r="J10" s="82"/>
    </row>
    <row r="11" spans="1:10" ht="15" customHeight="1">
      <c r="A11" s="74" t="s">
        <v>26</v>
      </c>
      <c r="B11" s="75" t="s">
        <v>89</v>
      </c>
      <c r="C11" s="76">
        <f t="shared" si="0"/>
        <v>6614.25</v>
      </c>
      <c r="D11" s="77">
        <f>+E11*0.75</f>
        <v>19842.75</v>
      </c>
      <c r="E11" s="80">
        <f>18880+1719+5858</f>
        <v>26457</v>
      </c>
      <c r="F11" s="76">
        <f t="shared" si="1"/>
        <v>0</v>
      </c>
      <c r="G11" s="77">
        <v>2622</v>
      </c>
      <c r="H11" s="81">
        <v>2622</v>
      </c>
      <c r="I11" s="82">
        <v>2600</v>
      </c>
      <c r="J11" s="82"/>
    </row>
    <row r="12" spans="1:10" ht="15" customHeight="1" thickBot="1">
      <c r="A12" s="83" t="s">
        <v>27</v>
      </c>
      <c r="B12" s="84" t="s">
        <v>90</v>
      </c>
      <c r="C12" s="85">
        <f t="shared" si="0"/>
        <v>2017.5999999999985</v>
      </c>
      <c r="D12" s="86">
        <f>+E12*0.9</f>
        <v>18158.4</v>
      </c>
      <c r="E12" s="87">
        <f>18399+1777</f>
        <v>20176</v>
      </c>
      <c r="F12" s="85">
        <f t="shared" si="1"/>
        <v>2017.5999999999985</v>
      </c>
      <c r="G12" s="86">
        <f>+H12*0.9</f>
        <v>18158.4</v>
      </c>
      <c r="H12" s="88">
        <f>18399+1777</f>
        <v>20176</v>
      </c>
      <c r="I12" s="89">
        <v>22657</v>
      </c>
      <c r="J12" s="89"/>
    </row>
    <row r="13" spans="1:10" ht="15" customHeight="1">
      <c r="A13" s="90" t="s">
        <v>28</v>
      </c>
      <c r="B13" s="91" t="s">
        <v>91</v>
      </c>
      <c r="C13" s="92">
        <f aca="true" t="shared" si="2" ref="C13:J13">SUM(C6:C12)</f>
        <v>37617.94999999999</v>
      </c>
      <c r="D13" s="93">
        <f t="shared" si="2"/>
        <v>158003.05000000002</v>
      </c>
      <c r="E13" s="94">
        <f t="shared" si="2"/>
        <v>195621</v>
      </c>
      <c r="F13" s="92">
        <f t="shared" si="2"/>
        <v>31645.89999999999</v>
      </c>
      <c r="G13" s="93">
        <f t="shared" si="2"/>
        <v>146826.1</v>
      </c>
      <c r="H13" s="94">
        <f t="shared" si="2"/>
        <v>178472</v>
      </c>
      <c r="I13" s="93">
        <f t="shared" si="2"/>
        <v>153761</v>
      </c>
      <c r="J13" s="95">
        <f t="shared" si="2"/>
        <v>0</v>
      </c>
    </row>
    <row r="14" spans="1:10" ht="15" customHeight="1">
      <c r="A14" s="74"/>
      <c r="B14" s="96"/>
      <c r="C14" s="92"/>
      <c r="D14" s="93"/>
      <c r="E14" s="94">
        <f>SUM(C13:D13)</f>
        <v>195621</v>
      </c>
      <c r="F14" s="92"/>
      <c r="G14" s="93"/>
      <c r="H14" s="94">
        <f>SUM(F13:G13)</f>
        <v>178472</v>
      </c>
      <c r="I14" s="93"/>
      <c r="J14" s="95"/>
    </row>
    <row r="15" spans="1:10" ht="7.5" customHeight="1">
      <c r="A15" s="74"/>
      <c r="B15" s="97"/>
      <c r="C15" s="98"/>
      <c r="D15" s="99"/>
      <c r="E15" s="100"/>
      <c r="F15" s="98"/>
      <c r="G15" s="99"/>
      <c r="H15" s="100"/>
      <c r="I15" s="99"/>
      <c r="J15" s="101"/>
    </row>
    <row r="16" spans="1:10" ht="15" customHeight="1">
      <c r="A16" s="74" t="s">
        <v>29</v>
      </c>
      <c r="B16" s="75" t="s">
        <v>92</v>
      </c>
      <c r="C16" s="76">
        <f>+E16</f>
        <v>280</v>
      </c>
      <c r="D16" s="77"/>
      <c r="E16" s="80">
        <v>280</v>
      </c>
      <c r="F16" s="76">
        <f>+H16</f>
        <v>280</v>
      </c>
      <c r="G16" s="77"/>
      <c r="H16" s="80">
        <v>280</v>
      </c>
      <c r="I16" s="81"/>
      <c r="J16" s="82">
        <f>+H16</f>
        <v>280</v>
      </c>
    </row>
    <row r="17" spans="1:10" ht="15" customHeight="1">
      <c r="A17" s="74" t="s">
        <v>30</v>
      </c>
      <c r="B17" s="75" t="s">
        <v>93</v>
      </c>
      <c r="C17" s="76">
        <f>+E17</f>
        <v>2814</v>
      </c>
      <c r="D17" s="77"/>
      <c r="E17" s="80">
        <v>2814</v>
      </c>
      <c r="F17" s="76">
        <f>+H17</f>
        <v>2814</v>
      </c>
      <c r="G17" s="77"/>
      <c r="H17" s="80">
        <v>2814</v>
      </c>
      <c r="I17" s="81"/>
      <c r="J17" s="82">
        <f>+H17</f>
        <v>2814</v>
      </c>
    </row>
    <row r="18" spans="1:10" ht="15" customHeight="1">
      <c r="A18" s="74" t="s">
        <v>31</v>
      </c>
      <c r="B18" s="102" t="s">
        <v>94</v>
      </c>
      <c r="C18" s="76">
        <f>+E18</f>
        <v>552</v>
      </c>
      <c r="D18" s="77"/>
      <c r="E18" s="80">
        <v>552</v>
      </c>
      <c r="F18" s="76">
        <f>+H18</f>
        <v>552</v>
      </c>
      <c r="G18" s="77"/>
      <c r="H18" s="80">
        <v>552</v>
      </c>
      <c r="I18" s="81"/>
      <c r="J18" s="82">
        <f>+H18</f>
        <v>552</v>
      </c>
    </row>
    <row r="19" spans="1:10" ht="15" customHeight="1" thickBot="1">
      <c r="A19" s="83" t="s">
        <v>32</v>
      </c>
      <c r="B19" s="84" t="s">
        <v>95</v>
      </c>
      <c r="C19" s="85">
        <f>+E19</f>
        <v>1832</v>
      </c>
      <c r="D19" s="86"/>
      <c r="E19" s="87">
        <v>1832</v>
      </c>
      <c r="F19" s="85">
        <f>+H19</f>
        <v>1832</v>
      </c>
      <c r="G19" s="86"/>
      <c r="H19" s="87">
        <v>1832</v>
      </c>
      <c r="I19" s="103"/>
      <c r="J19" s="82">
        <f>+H19</f>
        <v>1832</v>
      </c>
    </row>
    <row r="20" spans="1:10" ht="15" customHeight="1">
      <c r="A20" s="90" t="s">
        <v>33</v>
      </c>
      <c r="B20" s="104" t="s">
        <v>96</v>
      </c>
      <c r="C20" s="105">
        <f aca="true" t="shared" si="3" ref="C20:H20">SUM(C16:C19)</f>
        <v>5478</v>
      </c>
      <c r="D20" s="106">
        <f t="shared" si="3"/>
        <v>0</v>
      </c>
      <c r="E20" s="107">
        <f t="shared" si="3"/>
        <v>5478</v>
      </c>
      <c r="F20" s="105">
        <f t="shared" si="3"/>
        <v>5478</v>
      </c>
      <c r="G20" s="106">
        <f t="shared" si="3"/>
        <v>0</v>
      </c>
      <c r="H20" s="107">
        <f t="shared" si="3"/>
        <v>5478</v>
      </c>
      <c r="I20" s="93">
        <f>SUM(I16:I19)</f>
        <v>0</v>
      </c>
      <c r="J20" s="108">
        <f>SUM(J16:J19)</f>
        <v>5478</v>
      </c>
    </row>
    <row r="21" spans="1:10" ht="15" customHeight="1">
      <c r="A21" s="74"/>
      <c r="B21" s="75"/>
      <c r="C21" s="109"/>
      <c r="D21" s="77"/>
      <c r="E21" s="110"/>
      <c r="F21" s="109"/>
      <c r="G21" s="77"/>
      <c r="H21" s="110"/>
      <c r="I21" s="77"/>
      <c r="J21" s="79"/>
    </row>
    <row r="22" spans="1:10" ht="15" customHeight="1">
      <c r="A22" s="74" t="s">
        <v>34</v>
      </c>
      <c r="B22" s="75" t="s">
        <v>97</v>
      </c>
      <c r="C22" s="109">
        <v>2332</v>
      </c>
      <c r="D22" s="77"/>
      <c r="E22" s="111">
        <v>2332</v>
      </c>
      <c r="F22" s="109"/>
      <c r="G22" s="77"/>
      <c r="H22" s="111"/>
      <c r="I22" s="81"/>
      <c r="J22" s="82">
        <f>+H22</f>
        <v>0</v>
      </c>
    </row>
    <row r="23" spans="1:10" ht="15" customHeight="1">
      <c r="A23" s="74" t="s">
        <v>35</v>
      </c>
      <c r="B23" s="75" t="s">
        <v>98</v>
      </c>
      <c r="C23" s="109"/>
      <c r="D23" s="77"/>
      <c r="E23" s="111"/>
      <c r="F23" s="109"/>
      <c r="G23" s="77"/>
      <c r="H23" s="111"/>
      <c r="I23" s="81"/>
      <c r="J23" s="82"/>
    </row>
    <row r="24" spans="1:10" ht="15" customHeight="1">
      <c r="A24" s="74" t="s">
        <v>36</v>
      </c>
      <c r="B24" s="102" t="s">
        <v>99</v>
      </c>
      <c r="C24" s="109">
        <v>3004</v>
      </c>
      <c r="D24" s="77"/>
      <c r="E24" s="111">
        <v>3004</v>
      </c>
      <c r="F24" s="109"/>
      <c r="G24" s="77"/>
      <c r="H24" s="111"/>
      <c r="I24" s="81"/>
      <c r="J24" s="82">
        <f>+H24</f>
        <v>0</v>
      </c>
    </row>
    <row r="25" spans="1:10" ht="15" customHeight="1">
      <c r="A25" s="74" t="s">
        <v>37</v>
      </c>
      <c r="B25" s="75" t="s">
        <v>100</v>
      </c>
      <c r="C25" s="109">
        <v>728</v>
      </c>
      <c r="D25" s="77"/>
      <c r="E25" s="111">
        <v>728</v>
      </c>
      <c r="F25" s="109">
        <v>350</v>
      </c>
      <c r="G25" s="77"/>
      <c r="H25" s="111">
        <f>+F25</f>
        <v>350</v>
      </c>
      <c r="I25" s="81"/>
      <c r="J25" s="82">
        <f>+H25</f>
        <v>350</v>
      </c>
    </row>
    <row r="26" spans="1:10" ht="15" customHeight="1" thickBot="1">
      <c r="A26" s="83" t="s">
        <v>38</v>
      </c>
      <c r="B26" s="84" t="s">
        <v>101</v>
      </c>
      <c r="C26" s="112">
        <v>86</v>
      </c>
      <c r="D26" s="86"/>
      <c r="E26" s="113">
        <v>86</v>
      </c>
      <c r="F26" s="112"/>
      <c r="G26" s="86"/>
      <c r="H26" s="113"/>
      <c r="I26" s="81">
        <f>+H26</f>
        <v>0</v>
      </c>
      <c r="J26" s="89"/>
    </row>
    <row r="27" spans="1:10" ht="15" customHeight="1">
      <c r="A27" s="114" t="s">
        <v>39</v>
      </c>
      <c r="B27" s="115" t="s">
        <v>102</v>
      </c>
      <c r="C27" s="105">
        <f>SUM(C22:C26)</f>
        <v>6150</v>
      </c>
      <c r="D27" s="106">
        <f aca="true" t="shared" si="4" ref="D27:J27">SUM(D22:D26)</f>
        <v>0</v>
      </c>
      <c r="E27" s="107">
        <f t="shared" si="4"/>
        <v>6150</v>
      </c>
      <c r="F27" s="93">
        <f t="shared" si="4"/>
        <v>350</v>
      </c>
      <c r="G27" s="93">
        <f t="shared" si="4"/>
        <v>0</v>
      </c>
      <c r="H27" s="93">
        <f t="shared" si="4"/>
        <v>350</v>
      </c>
      <c r="I27" s="108">
        <f t="shared" si="4"/>
        <v>0</v>
      </c>
      <c r="J27" s="108">
        <f t="shared" si="4"/>
        <v>350</v>
      </c>
    </row>
    <row r="28" spans="1:10" ht="7.5" customHeight="1">
      <c r="A28" s="116"/>
      <c r="B28" s="117"/>
      <c r="C28" s="119"/>
      <c r="D28" s="93"/>
      <c r="E28" s="118"/>
      <c r="F28" s="93"/>
      <c r="G28" s="93"/>
      <c r="H28" s="93"/>
      <c r="I28" s="95"/>
      <c r="J28" s="95"/>
    </row>
    <row r="29" spans="1:10" ht="15" customHeight="1">
      <c r="A29" s="116" t="s">
        <v>42</v>
      </c>
      <c r="B29" s="120" t="s">
        <v>103</v>
      </c>
      <c r="C29" s="119">
        <v>230</v>
      </c>
      <c r="D29" s="93"/>
      <c r="E29" s="118">
        <v>230</v>
      </c>
      <c r="F29" s="93"/>
      <c r="G29" s="93"/>
      <c r="H29" s="93">
        <f>SUM(F29:G29)</f>
        <v>0</v>
      </c>
      <c r="I29" s="95"/>
      <c r="J29" s="95">
        <f>+H29</f>
        <v>0</v>
      </c>
    </row>
    <row r="30" spans="1:10" ht="15" customHeight="1">
      <c r="A30" s="116" t="s">
        <v>45</v>
      </c>
      <c r="B30" s="117" t="s">
        <v>104</v>
      </c>
      <c r="C30" s="119"/>
      <c r="D30" s="93"/>
      <c r="E30" s="118"/>
      <c r="F30" s="93"/>
      <c r="G30" s="93"/>
      <c r="H30" s="93">
        <f>SUM(F30:G30)</f>
        <v>0</v>
      </c>
      <c r="I30" s="95">
        <f>+H30+430+290</f>
        <v>720</v>
      </c>
      <c r="J30" s="95"/>
    </row>
    <row r="31" spans="1:10" ht="6" customHeight="1">
      <c r="A31" s="121"/>
      <c r="B31" s="117"/>
      <c r="C31" s="119"/>
      <c r="D31" s="93"/>
      <c r="E31" s="118"/>
      <c r="F31" s="93"/>
      <c r="G31" s="93"/>
      <c r="H31" s="93"/>
      <c r="I31" s="95"/>
      <c r="J31" s="95"/>
    </row>
    <row r="32" spans="1:10" ht="15" customHeight="1">
      <c r="A32" s="121" t="s">
        <v>46</v>
      </c>
      <c r="B32" s="592" t="s">
        <v>556</v>
      </c>
      <c r="C32" s="116"/>
      <c r="D32" s="121"/>
      <c r="E32" s="123"/>
      <c r="I32" s="74"/>
      <c r="J32" s="122">
        <f>3248+3039</f>
        <v>6287</v>
      </c>
    </row>
    <row r="33" spans="1:10" ht="15" customHeight="1">
      <c r="A33" s="116" t="s">
        <v>47</v>
      </c>
      <c r="B33" s="120" t="s">
        <v>105</v>
      </c>
      <c r="C33" s="119"/>
      <c r="D33" s="93"/>
      <c r="E33" s="118"/>
      <c r="F33" s="93"/>
      <c r="G33" s="93"/>
      <c r="H33" s="93">
        <f>SUM(F33:G33)</f>
        <v>0</v>
      </c>
      <c r="I33" s="95">
        <f>+H33</f>
        <v>0</v>
      </c>
      <c r="J33" s="95">
        <f>7366+2000</f>
        <v>9366</v>
      </c>
    </row>
    <row r="34" spans="1:10" ht="15" customHeight="1" thickBot="1">
      <c r="A34" s="116" t="s">
        <v>48</v>
      </c>
      <c r="B34" s="124" t="s">
        <v>106</v>
      </c>
      <c r="C34" s="126"/>
      <c r="D34" s="125"/>
      <c r="E34" s="127"/>
      <c r="F34" s="125"/>
      <c r="G34" s="125"/>
      <c r="H34" s="125">
        <f>SUM(F34:G34)</f>
        <v>0</v>
      </c>
      <c r="I34" s="128"/>
      <c r="J34" s="128">
        <f>+H34</f>
        <v>0</v>
      </c>
    </row>
    <row r="35" spans="1:10" ht="15" customHeight="1">
      <c r="A35" s="114" t="s">
        <v>49</v>
      </c>
      <c r="B35" s="129" t="s">
        <v>107</v>
      </c>
      <c r="C35" s="130">
        <f>+C27+C20+C13+C29</f>
        <v>49475.94999999999</v>
      </c>
      <c r="D35" s="99">
        <f>+D27+D20+D13+D29</f>
        <v>158003.05000000002</v>
      </c>
      <c r="E35" s="131">
        <f>+E27+E20+E13+E29</f>
        <v>207479</v>
      </c>
      <c r="F35" s="99">
        <f>+F27+F20+F13+F29+F30+F33+F34</f>
        <v>37473.899999999994</v>
      </c>
      <c r="G35" s="99">
        <f>+G27+G20+G13+G29+G30+G33+G34+G32</f>
        <v>146826.1</v>
      </c>
      <c r="H35" s="99">
        <f>+H27+H20+H13+H29+H30+H33+H34+H32</f>
        <v>184300</v>
      </c>
      <c r="I35" s="101">
        <f>+I27+I20+I13+I29+I30+I33+I34+I32</f>
        <v>154481</v>
      </c>
      <c r="J35" s="132">
        <f>+J27+J20+J13+J29+J30+J33+J34+J32</f>
        <v>21481</v>
      </c>
    </row>
    <row r="36" spans="1:10" ht="21" customHeight="1">
      <c r="A36" s="116"/>
      <c r="B36" s="122"/>
      <c r="C36" s="130"/>
      <c r="D36" s="99"/>
      <c r="E36" s="131">
        <f>SUM(C35:D35)</f>
        <v>207479</v>
      </c>
      <c r="F36" s="99"/>
      <c r="G36" s="99"/>
      <c r="H36" s="99">
        <f>SUM(F35:G35)</f>
        <v>184300</v>
      </c>
      <c r="I36" s="101"/>
      <c r="J36" s="101"/>
    </row>
    <row r="37" spans="1:10" ht="15" customHeight="1">
      <c r="A37" s="116" t="s">
        <v>50</v>
      </c>
      <c r="B37" s="122" t="s">
        <v>108</v>
      </c>
      <c r="C37" s="130">
        <f aca="true" t="shared" si="5" ref="C37:H37">+C35</f>
        <v>49475.94999999999</v>
      </c>
      <c r="D37" s="99">
        <f t="shared" si="5"/>
        <v>158003.05000000002</v>
      </c>
      <c r="E37" s="131">
        <f t="shared" si="5"/>
        <v>207479</v>
      </c>
      <c r="F37" s="99">
        <f t="shared" si="5"/>
        <v>37473.899999999994</v>
      </c>
      <c r="G37" s="99">
        <f t="shared" si="5"/>
        <v>146826.1</v>
      </c>
      <c r="H37" s="99">
        <f t="shared" si="5"/>
        <v>184300</v>
      </c>
      <c r="I37" s="101">
        <f>+I35</f>
        <v>154481</v>
      </c>
      <c r="J37" s="101">
        <f>+J35</f>
        <v>21481</v>
      </c>
    </row>
    <row r="38" spans="1:10" ht="7.5" customHeight="1">
      <c r="A38" s="116"/>
      <c r="B38" s="122"/>
      <c r="C38" s="130"/>
      <c r="D38" s="99"/>
      <c r="E38" s="131"/>
      <c r="F38" s="99"/>
      <c r="G38" s="99"/>
      <c r="H38" s="99"/>
      <c r="I38" s="101"/>
      <c r="J38" s="101"/>
    </row>
    <row r="39" spans="1:10" ht="15" customHeight="1">
      <c r="A39" s="116" t="s">
        <v>51</v>
      </c>
      <c r="B39" s="133" t="s">
        <v>109</v>
      </c>
      <c r="C39" s="109"/>
      <c r="D39" s="77"/>
      <c r="E39" s="110"/>
      <c r="F39" s="77"/>
      <c r="G39" s="77"/>
      <c r="H39" s="77">
        <f>SUM(F39:G39)</f>
        <v>0</v>
      </c>
      <c r="I39" s="79">
        <f>+H39</f>
        <v>0</v>
      </c>
      <c r="J39" s="79"/>
    </row>
    <row r="40" spans="1:10" ht="21.75" customHeight="1">
      <c r="A40" s="116" t="s">
        <v>52</v>
      </c>
      <c r="B40" s="120" t="s">
        <v>110</v>
      </c>
      <c r="C40" s="119">
        <f aca="true" t="shared" si="6" ref="C40:J40">+C39</f>
        <v>0</v>
      </c>
      <c r="D40" s="93">
        <f t="shared" si="6"/>
        <v>0</v>
      </c>
      <c r="E40" s="118">
        <f t="shared" si="6"/>
        <v>0</v>
      </c>
      <c r="F40" s="93">
        <f t="shared" si="6"/>
        <v>0</v>
      </c>
      <c r="G40" s="93">
        <f t="shared" si="6"/>
        <v>0</v>
      </c>
      <c r="H40" s="93">
        <f t="shared" si="6"/>
        <v>0</v>
      </c>
      <c r="I40" s="95">
        <f t="shared" si="6"/>
        <v>0</v>
      </c>
      <c r="J40" s="95">
        <f t="shared" si="6"/>
        <v>0</v>
      </c>
    </row>
    <row r="41" spans="1:10" ht="15" customHeight="1">
      <c r="A41" s="116"/>
      <c r="B41" s="134"/>
      <c r="C41" s="109"/>
      <c r="D41" s="77"/>
      <c r="E41" s="110"/>
      <c r="F41" s="77"/>
      <c r="G41" s="77"/>
      <c r="H41" s="77"/>
      <c r="I41" s="79"/>
      <c r="J41" s="79"/>
    </row>
    <row r="42" spans="1:10" ht="15" customHeight="1">
      <c r="A42" s="116" t="s">
        <v>53</v>
      </c>
      <c r="B42" s="134" t="s">
        <v>111</v>
      </c>
      <c r="C42" s="109">
        <f>927+1054</f>
        <v>1981</v>
      </c>
      <c r="D42" s="77">
        <v>2781</v>
      </c>
      <c r="E42" s="110">
        <f>+D42+C42</f>
        <v>4762</v>
      </c>
      <c r="F42" s="77"/>
      <c r="G42" s="77"/>
      <c r="H42" s="77"/>
      <c r="I42" s="79">
        <f>+H42</f>
        <v>0</v>
      </c>
      <c r="J42" s="79"/>
    </row>
    <row r="43" spans="1:10" ht="15" customHeight="1">
      <c r="A43" s="116" t="s">
        <v>54</v>
      </c>
      <c r="B43" s="134" t="s">
        <v>112</v>
      </c>
      <c r="C43" s="109"/>
      <c r="D43" s="77"/>
      <c r="E43" s="110">
        <f>+D43+C43</f>
        <v>0</v>
      </c>
      <c r="F43" s="77"/>
      <c r="G43" s="77"/>
      <c r="H43" s="77"/>
      <c r="I43" s="79"/>
      <c r="J43" s="79"/>
    </row>
    <row r="44" spans="1:10" ht="15" customHeight="1" thickBot="1">
      <c r="A44" s="135" t="s">
        <v>55</v>
      </c>
      <c r="B44" s="136" t="s">
        <v>113</v>
      </c>
      <c r="C44" s="137">
        <f>SUM(C41:C43)</f>
        <v>1981</v>
      </c>
      <c r="D44" s="138">
        <f>SUM(D41:D43)</f>
        <v>2781</v>
      </c>
      <c r="E44" s="139">
        <f>SUM(E41:E43)</f>
        <v>4762</v>
      </c>
      <c r="F44" s="99"/>
      <c r="G44" s="99"/>
      <c r="H44" s="99"/>
      <c r="I44" s="140">
        <f>SUM(I42:I43)</f>
        <v>0</v>
      </c>
      <c r="J44" s="101">
        <f>SUM(J42:J43)</f>
        <v>0</v>
      </c>
    </row>
    <row r="45" spans="1:10" ht="15" customHeight="1" thickBot="1">
      <c r="A45" s="141" t="s">
        <v>56</v>
      </c>
      <c r="B45" s="142" t="s">
        <v>114</v>
      </c>
      <c r="C45" s="143">
        <f aca="true" t="shared" si="7" ref="C45:I45">C37+C44+C40</f>
        <v>51456.94999999999</v>
      </c>
      <c r="D45" s="144">
        <f t="shared" si="7"/>
        <v>160784.05000000002</v>
      </c>
      <c r="E45" s="145">
        <f t="shared" si="7"/>
        <v>212241</v>
      </c>
      <c r="F45" s="143">
        <f t="shared" si="7"/>
        <v>37473.899999999994</v>
      </c>
      <c r="G45" s="144">
        <f t="shared" si="7"/>
        <v>146826.1</v>
      </c>
      <c r="H45" s="144">
        <f t="shared" si="7"/>
        <v>184300</v>
      </c>
      <c r="I45" s="143">
        <f t="shared" si="7"/>
        <v>154481</v>
      </c>
      <c r="J45" s="146">
        <f>J37+J44+J40</f>
        <v>21481</v>
      </c>
    </row>
  </sheetData>
  <sheetProtection/>
  <mergeCells count="3">
    <mergeCell ref="F2:H2"/>
    <mergeCell ref="I2:J2"/>
    <mergeCell ref="C2:E2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73" r:id="rId1"/>
  <headerFooter alignWithMargins="0">
    <oddHeader>&amp;L6. melléklet a 2014. évi 4/2014.(II.28.) Önkormányzati költségvetési rendelethez&amp;R&amp;D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53"/>
  <sheetViews>
    <sheetView view="pageBreakPreview" zoomScale="60" zoomScalePageLayoutView="0" workbookViewId="0" topLeftCell="A1">
      <selection activeCell="G51" sqref="G51"/>
    </sheetView>
  </sheetViews>
  <sheetFormatPr defaultColWidth="9.140625" defaultRowHeight="15" customHeight="1"/>
  <cols>
    <col min="1" max="1" width="4.00390625" style="149" customWidth="1"/>
    <col min="2" max="2" width="56.8515625" style="149" customWidth="1"/>
    <col min="3" max="16384" width="9.140625" style="149" customWidth="1"/>
  </cols>
  <sheetData>
    <row r="1" spans="1:2" ht="15" customHeight="1">
      <c r="A1" s="147" t="s">
        <v>115</v>
      </c>
      <c r="B1" s="148"/>
    </row>
    <row r="2" spans="1:4" ht="15" customHeight="1">
      <c r="A2" s="147"/>
      <c r="B2" s="148"/>
      <c r="C2" s="150" t="s">
        <v>122</v>
      </c>
      <c r="D2" s="150" t="s">
        <v>77</v>
      </c>
    </row>
    <row r="3" spans="1:4" ht="15" customHeight="1">
      <c r="A3" s="151"/>
      <c r="B3" s="148" t="s">
        <v>477</v>
      </c>
      <c r="C3" s="152" t="s">
        <v>72</v>
      </c>
      <c r="D3" s="152" t="s">
        <v>486</v>
      </c>
    </row>
    <row r="4" spans="1:2" s="155" customFormat="1" ht="5.25" customHeight="1">
      <c r="A4" s="153"/>
      <c r="B4" s="154"/>
    </row>
    <row r="5" spans="1:4" s="579" customFormat="1" ht="15" customHeight="1">
      <c r="A5" s="578" t="s">
        <v>11</v>
      </c>
      <c r="B5" s="578" t="s">
        <v>12</v>
      </c>
      <c r="C5" s="579" t="s">
        <v>13</v>
      </c>
      <c r="D5" s="579" t="s">
        <v>14</v>
      </c>
    </row>
    <row r="6" spans="1:4" ht="15" customHeight="1">
      <c r="A6" s="156" t="s">
        <v>20</v>
      </c>
      <c r="B6" s="157" t="s">
        <v>291</v>
      </c>
      <c r="C6" s="158">
        <f>+C8</f>
        <v>0</v>
      </c>
      <c r="D6" s="158">
        <v>0</v>
      </c>
    </row>
    <row r="7" spans="1:2" ht="6" customHeight="1">
      <c r="A7" s="156"/>
      <c r="B7" s="157"/>
    </row>
    <row r="8" spans="1:4" ht="15" customHeight="1">
      <c r="A8" s="156" t="s">
        <v>22</v>
      </c>
      <c r="B8" s="159" t="s">
        <v>116</v>
      </c>
      <c r="C8" s="158">
        <f>SUM(C10:C28)</f>
        <v>0</v>
      </c>
      <c r="D8" s="158">
        <f>SUM(D10:D35)</f>
        <v>56738</v>
      </c>
    </row>
    <row r="9" ht="6.75" customHeight="1">
      <c r="A9" s="155"/>
    </row>
    <row r="10" spans="1:3" ht="15" customHeight="1">
      <c r="A10" s="155" t="s">
        <v>24</v>
      </c>
      <c r="B10" s="161" t="s">
        <v>117</v>
      </c>
      <c r="C10" s="160">
        <v>0</v>
      </c>
    </row>
    <row r="11" spans="1:3" ht="9.75" customHeight="1">
      <c r="A11" s="155"/>
      <c r="B11" s="161"/>
      <c r="C11" s="160"/>
    </row>
    <row r="12" spans="1:4" ht="37.5" customHeight="1">
      <c r="A12" s="155" t="s">
        <v>25</v>
      </c>
      <c r="B12" s="161" t="s">
        <v>578</v>
      </c>
      <c r="C12" s="160"/>
      <c r="D12" s="149">
        <f>11700+16575-1540-339+2295-6</f>
        <v>28685</v>
      </c>
    </row>
    <row r="13" spans="1:3" ht="12.75">
      <c r="A13" s="155"/>
      <c r="B13" s="161"/>
      <c r="C13" s="160"/>
    </row>
    <row r="14" spans="1:4" ht="12.75">
      <c r="A14" s="155" t="s">
        <v>26</v>
      </c>
      <c r="B14" s="161" t="s">
        <v>500</v>
      </c>
      <c r="C14" s="160"/>
      <c r="D14" s="149">
        <f>1000-1000</f>
        <v>0</v>
      </c>
    </row>
    <row r="15" spans="1:3" ht="12.75">
      <c r="A15" s="155"/>
      <c r="B15" s="161"/>
      <c r="C15" s="160"/>
    </row>
    <row r="16" spans="1:4" ht="12.75">
      <c r="A16" s="155" t="s">
        <v>27</v>
      </c>
      <c r="B16" s="161" t="s">
        <v>503</v>
      </c>
      <c r="C16" s="160"/>
      <c r="D16" s="149">
        <v>12903</v>
      </c>
    </row>
    <row r="17" spans="1:3" ht="12.75">
      <c r="A17" s="155"/>
      <c r="B17" s="161"/>
      <c r="C17" s="160"/>
    </row>
    <row r="18" spans="1:4" ht="12" customHeight="1">
      <c r="A18" s="155" t="s">
        <v>28</v>
      </c>
      <c r="B18" s="161" t="s">
        <v>510</v>
      </c>
      <c r="C18" s="160"/>
      <c r="D18" s="149">
        <f>6500+2000+72</f>
        <v>8572</v>
      </c>
    </row>
    <row r="19" spans="1:3" ht="12.75">
      <c r="A19" s="155"/>
      <c r="B19" s="161"/>
      <c r="C19" s="160"/>
    </row>
    <row r="20" spans="1:3" ht="12.75">
      <c r="A20" s="155" t="s">
        <v>29</v>
      </c>
      <c r="B20" s="591" t="s">
        <v>68</v>
      </c>
      <c r="C20" s="160"/>
    </row>
    <row r="21" spans="1:4" ht="12.75">
      <c r="A21" s="155" t="s">
        <v>30</v>
      </c>
      <c r="B21" s="161" t="s">
        <v>554</v>
      </c>
      <c r="C21" s="160"/>
      <c r="D21" s="149">
        <v>408</v>
      </c>
    </row>
    <row r="22" spans="1:4" ht="12.75">
      <c r="A22" s="155" t="s">
        <v>31</v>
      </c>
      <c r="B22" s="161" t="s">
        <v>570</v>
      </c>
      <c r="C22" s="160"/>
      <c r="D22" s="149">
        <v>3122</v>
      </c>
    </row>
    <row r="23" spans="1:3" ht="12.75">
      <c r="A23" s="155"/>
      <c r="B23" s="161"/>
      <c r="C23" s="160"/>
    </row>
    <row r="24" spans="1:3" ht="12.75">
      <c r="A24" s="155" t="s">
        <v>32</v>
      </c>
      <c r="B24" s="591" t="s">
        <v>362</v>
      </c>
      <c r="C24" s="160"/>
    </row>
    <row r="25" spans="1:4" ht="25.5">
      <c r="A25" s="155" t="s">
        <v>33</v>
      </c>
      <c r="B25" s="161" t="s">
        <v>566</v>
      </c>
      <c r="C25" s="160"/>
      <c r="D25" s="149">
        <v>149</v>
      </c>
    </row>
    <row r="26" spans="1:4" ht="25.5">
      <c r="A26" s="155" t="s">
        <v>34</v>
      </c>
      <c r="B26" s="161" t="s">
        <v>567</v>
      </c>
      <c r="C26" s="160"/>
      <c r="D26" s="149">
        <f>173-31</f>
        <v>142</v>
      </c>
    </row>
    <row r="27" spans="1:3" ht="12.75">
      <c r="A27" s="155"/>
      <c r="B27" s="161"/>
      <c r="C27" s="160"/>
    </row>
    <row r="28" spans="1:4" ht="27" customHeight="1">
      <c r="A28" s="155" t="s">
        <v>35</v>
      </c>
      <c r="B28" s="161" t="s">
        <v>571</v>
      </c>
      <c r="D28" s="149">
        <f>175-175</f>
        <v>0</v>
      </c>
    </row>
    <row r="29" spans="1:2" ht="9.75" customHeight="1">
      <c r="A29" s="155"/>
      <c r="B29" s="161"/>
    </row>
    <row r="30" spans="1:2" ht="18.75" customHeight="1">
      <c r="A30" s="155" t="s">
        <v>36</v>
      </c>
      <c r="B30" s="591" t="s">
        <v>319</v>
      </c>
    </row>
    <row r="31" spans="1:4" ht="12.75">
      <c r="A31" s="155" t="s">
        <v>37</v>
      </c>
      <c r="B31" s="598" t="s">
        <v>584</v>
      </c>
      <c r="D31" s="149">
        <v>217</v>
      </c>
    </row>
    <row r="32" spans="1:2" ht="12.75">
      <c r="A32" s="155"/>
      <c r="B32" s="598"/>
    </row>
    <row r="33" spans="1:2" ht="12.75">
      <c r="A33" s="155" t="s">
        <v>38</v>
      </c>
      <c r="B33" s="591" t="s">
        <v>437</v>
      </c>
    </row>
    <row r="34" spans="1:4" ht="12.75">
      <c r="A34" s="155" t="s">
        <v>39</v>
      </c>
      <c r="B34" s="598" t="s">
        <v>588</v>
      </c>
      <c r="D34" s="149">
        <v>2540</v>
      </c>
    </row>
    <row r="35" spans="1:2" ht="6" customHeight="1">
      <c r="A35" s="155"/>
      <c r="B35" s="598"/>
    </row>
    <row r="36" spans="1:4" ht="15" customHeight="1">
      <c r="A36" s="155" t="s">
        <v>42</v>
      </c>
      <c r="B36" s="162" t="s">
        <v>118</v>
      </c>
      <c r="C36" s="163">
        <f>SUM(C50:C50)</f>
        <v>0</v>
      </c>
      <c r="D36" s="163">
        <f>SUM(D37:D50)</f>
        <v>9806</v>
      </c>
    </row>
    <row r="37" spans="1:4" ht="8.25" customHeight="1">
      <c r="A37" s="155"/>
      <c r="B37" s="162"/>
      <c r="C37" s="163"/>
      <c r="D37" s="163"/>
    </row>
    <row r="38" spans="1:4" ht="12.75">
      <c r="A38" s="155" t="s">
        <v>45</v>
      </c>
      <c r="B38" s="584" t="str">
        <f>+B6</f>
        <v>Önkormányzat</v>
      </c>
      <c r="C38" s="163"/>
      <c r="D38" s="163"/>
    </row>
    <row r="39" spans="1:4" ht="12.75">
      <c r="A39" s="155"/>
      <c r="B39" s="162"/>
      <c r="C39" s="163"/>
      <c r="D39" s="163"/>
    </row>
    <row r="40" spans="1:4" ht="12.75">
      <c r="A40" s="155" t="s">
        <v>46</v>
      </c>
      <c r="B40" s="585" t="s">
        <v>518</v>
      </c>
      <c r="D40" s="149">
        <v>0</v>
      </c>
    </row>
    <row r="41" spans="1:2" ht="12.75">
      <c r="A41" s="155"/>
      <c r="B41" s="585"/>
    </row>
    <row r="42" spans="1:2" ht="12.75">
      <c r="A42" s="155" t="s">
        <v>47</v>
      </c>
      <c r="B42" s="584" t="s">
        <v>362</v>
      </c>
    </row>
    <row r="43" spans="1:4" ht="12.75">
      <c r="A43" s="155" t="s">
        <v>48</v>
      </c>
      <c r="B43" s="585" t="s">
        <v>519</v>
      </c>
      <c r="D43" s="149">
        <v>206</v>
      </c>
    </row>
    <row r="44" spans="1:2" ht="12.75">
      <c r="A44" s="155"/>
      <c r="B44" s="585"/>
    </row>
    <row r="45" spans="1:2" ht="12.75">
      <c r="A45" s="155" t="s">
        <v>49</v>
      </c>
      <c r="B45" s="591" t="s">
        <v>437</v>
      </c>
    </row>
    <row r="46" spans="1:4" ht="12.75">
      <c r="A46" s="155" t="s">
        <v>50</v>
      </c>
      <c r="B46" s="598" t="s">
        <v>589</v>
      </c>
      <c r="D46" s="149">
        <v>339</v>
      </c>
    </row>
    <row r="47" spans="1:2" ht="12.75">
      <c r="A47" s="155"/>
      <c r="B47" s="598"/>
    </row>
    <row r="48" spans="1:2" ht="12.75">
      <c r="A48" s="155" t="s">
        <v>51</v>
      </c>
      <c r="B48" s="591" t="s">
        <v>43</v>
      </c>
    </row>
    <row r="49" spans="1:4" ht="12.75">
      <c r="A49" s="155" t="s">
        <v>52</v>
      </c>
      <c r="B49" s="598" t="s">
        <v>594</v>
      </c>
      <c r="D49" s="149">
        <v>9261</v>
      </c>
    </row>
    <row r="50" ht="15" customHeight="1">
      <c r="A50" s="155"/>
    </row>
    <row r="51" spans="1:4" ht="15" customHeight="1">
      <c r="A51" s="155" t="s">
        <v>53</v>
      </c>
      <c r="B51" s="163" t="s">
        <v>119</v>
      </c>
      <c r="C51" s="164">
        <f>C8</f>
        <v>0</v>
      </c>
      <c r="D51" s="164">
        <f>+D8</f>
        <v>56738</v>
      </c>
    </row>
    <row r="52" spans="1:4" ht="15" customHeight="1">
      <c r="A52" s="155" t="s">
        <v>54</v>
      </c>
      <c r="B52" s="163" t="s">
        <v>120</v>
      </c>
      <c r="C52" s="163">
        <f>+C36</f>
        <v>0</v>
      </c>
      <c r="D52" s="163">
        <f>+D36</f>
        <v>9806</v>
      </c>
    </row>
    <row r="53" spans="1:4" ht="15" customHeight="1">
      <c r="A53" s="165" t="s">
        <v>55</v>
      </c>
      <c r="B53" s="163" t="s">
        <v>121</v>
      </c>
      <c r="C53" s="164">
        <f>SUM(C51:C52)</f>
        <v>0</v>
      </c>
      <c r="D53" s="164">
        <f>SUM(D51:D52)</f>
        <v>66544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&amp;L7. melléklet a 2014. évi 7/2014.(II.28.) Önkormányzati költségvetési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6"/>
  <sheetViews>
    <sheetView view="pageBreakPreview" zoomScale="60" zoomScalePageLayoutView="0" workbookViewId="0" topLeftCell="A1">
      <selection activeCell="D10" sqref="D10"/>
    </sheetView>
  </sheetViews>
  <sheetFormatPr defaultColWidth="9.140625" defaultRowHeight="12.75"/>
  <cols>
    <col min="1" max="1" width="4.7109375" style="197" bestFit="1" customWidth="1"/>
    <col min="2" max="2" width="53.28125" style="196" customWidth="1"/>
    <col min="3" max="3" width="12.140625" style="196" customWidth="1"/>
    <col min="4" max="16384" width="9.140625" style="196" customWidth="1"/>
  </cols>
  <sheetData>
    <row r="1" ht="15.75">
      <c r="A1" s="195" t="s">
        <v>211</v>
      </c>
    </row>
    <row r="2" ht="15.75">
      <c r="B2" s="198"/>
    </row>
    <row r="3" spans="2:4" ht="15.75">
      <c r="B3" s="199" t="s">
        <v>212</v>
      </c>
      <c r="C3" s="604" t="s">
        <v>122</v>
      </c>
      <c r="D3" s="604" t="s">
        <v>122</v>
      </c>
    </row>
    <row r="4" spans="3:4" ht="15.75">
      <c r="C4" s="604" t="s">
        <v>72</v>
      </c>
      <c r="D4" s="604" t="s">
        <v>486</v>
      </c>
    </row>
    <row r="5" spans="1:4" ht="15.75">
      <c r="A5" s="197" t="s">
        <v>11</v>
      </c>
      <c r="B5" s="201" t="s">
        <v>12</v>
      </c>
      <c r="C5" s="197" t="s">
        <v>13</v>
      </c>
      <c r="D5" s="197" t="s">
        <v>14</v>
      </c>
    </row>
    <row r="7" spans="1:4" ht="15.75">
      <c r="A7" s="197" t="s">
        <v>20</v>
      </c>
      <c r="B7" s="196" t="s">
        <v>213</v>
      </c>
      <c r="C7" s="200">
        <f>+1_mell!D103</f>
        <v>150</v>
      </c>
      <c r="D7" s="200">
        <f>+C7</f>
        <v>150</v>
      </c>
    </row>
    <row r="8" spans="1:4" ht="15.75">
      <c r="A8" s="197" t="s">
        <v>22</v>
      </c>
      <c r="B8" s="196" t="s">
        <v>318</v>
      </c>
      <c r="C8" s="200">
        <f>+1_mell!D17</f>
        <v>47550</v>
      </c>
      <c r="D8" s="200">
        <f>+1_mell!E17</f>
        <v>46811</v>
      </c>
    </row>
    <row r="9" spans="1:4" ht="15.75">
      <c r="A9" s="197" t="s">
        <v>24</v>
      </c>
      <c r="B9" s="196" t="s">
        <v>487</v>
      </c>
      <c r="C9" s="200"/>
      <c r="D9" s="200">
        <f>+1_mell!E94+1_mell!E44</f>
        <v>11700</v>
      </c>
    </row>
    <row r="10" spans="1:4" ht="15.75">
      <c r="A10" s="197" t="s">
        <v>25</v>
      </c>
      <c r="B10" s="596" t="s">
        <v>307</v>
      </c>
      <c r="D10" s="200">
        <f>+1_mell!E96</f>
        <v>8572</v>
      </c>
    </row>
    <row r="11" spans="1:4" ht="15.75">
      <c r="A11" s="197" t="s">
        <v>26</v>
      </c>
      <c r="B11" s="196" t="s">
        <v>569</v>
      </c>
      <c r="D11" s="196">
        <v>3122</v>
      </c>
    </row>
    <row r="12" spans="1:4" ht="15.75">
      <c r="A12" s="197" t="s">
        <v>27</v>
      </c>
      <c r="B12" s="170" t="s">
        <v>573</v>
      </c>
      <c r="D12" s="200">
        <f>+1_mell!E95</f>
        <v>18870</v>
      </c>
    </row>
    <row r="16" spans="1:4" ht="15.75">
      <c r="A16" s="197" t="s">
        <v>28</v>
      </c>
      <c r="B16" s="199" t="s">
        <v>214</v>
      </c>
      <c r="C16" s="595">
        <f>SUM(C7:C10)</f>
        <v>47700</v>
      </c>
      <c r="D16" s="595">
        <f>SUM(D7:D15)</f>
        <v>89225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&amp;L8. melléklet a 2014. évi 4/2014.(II.28.) Önkormányzati költségvetési rendelethez&amp;R&amp;D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Win7</cp:lastModifiedBy>
  <cp:lastPrinted>2014-03-04T09:11:27Z</cp:lastPrinted>
  <dcterms:created xsi:type="dcterms:W3CDTF">2013-01-09T15:47:27Z</dcterms:created>
  <dcterms:modified xsi:type="dcterms:W3CDTF">2014-03-04T09:22:19Z</dcterms:modified>
  <cp:category/>
  <cp:version/>
  <cp:contentType/>
  <cp:contentStatus/>
</cp:coreProperties>
</file>