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'5'!$A$1:$O$45</definedName>
    <definedName name="_xlnm.Print_Area" localSheetId="1">'5A'!$A$1:$P$53</definedName>
    <definedName name="_xlnm.Print_Area" localSheetId="2">'5B'!$A$1:$O$20</definedName>
    <definedName name="_xlnm.Print_Area" localSheetId="3">'5C'!$A$2:$O$20</definedName>
    <definedName name="_xlnm.Print_Area" localSheetId="4">'5D'!$A$1:$N$19</definedName>
    <definedName name="_xlnm.Print_Area" localSheetId="6">'5F'!$A$1:$O$18</definedName>
  </definedNames>
  <calcPr fullCalcOnLoad="1"/>
</workbook>
</file>

<file path=xl/sharedStrings.xml><?xml version="1.0" encoding="utf-8"?>
<sst xmlns="http://schemas.openxmlformats.org/spreadsheetml/2006/main" count="325" uniqueCount="171">
  <si>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</si>
  <si>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</si>
  <si>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</si>
  <si>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</si>
  <si>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</si>
  <si>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</si>
  <si>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</si>
  <si>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</si>
  <si>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</si>
  <si>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</si>
  <si>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</si>
  <si>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</si>
  <si>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</si>
  <si>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</si>
  <si>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</si>
  <si>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</si>
  <si>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</si>
  <si>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</si>
  <si>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</si>
  <si>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</si>
  <si>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</si>
  <si>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</si>
  <si>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</si>
  <si>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</si>
  <si>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</si>
  <si>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</si>
  <si>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</si>
  <si>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</si>
  <si>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</si>
  <si>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</si>
  <si>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</si>
  <si>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</si>
  <si>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</si>
  <si>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</si>
  <si>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</si>
  <si>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</si>
  <si>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</si>
  <si>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</si>
  <si>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</si>
  <si>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</si>
  <si>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</si>
  <si>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</si>
  <si>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</si>
  <si>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</si>
  <si>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</si>
  <si>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</si>
  <si>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</si>
  <si>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</si>
  <si>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</si>
  <si>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</si>
  <si>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</si>
  <si>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</si>
  <si>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</si>
  <si>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</si>
  <si>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</si>
  <si>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</si>
  <si>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</si>
  <si>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</si>
  <si>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</si>
  <si>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</si>
  <si>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</si>
  <si>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</si>
  <si>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</si>
  <si>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</si>
  <si>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</si>
  <si>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</si>
  <si>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</si>
  <si>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</si>
  <si>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</si>
  <si>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</si>
  <si>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</si>
  <si>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</si>
  <si>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</si>
  <si>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</si>
  <si>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</si>
  <si>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</si>
  <si>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</si>
  <si>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</si>
  <si>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</si>
  <si>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</si>
  <si>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</si>
  <si>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</si>
  <si>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</si>
  <si>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</si>
  <si>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</si>
  <si>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</si>
  <si>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</si>
  <si>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</si>
  <si>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</si>
  <si>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</si>
  <si>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</si>
  <si>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</si>
  <si>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</si>
  <si>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</si>
  <si>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</si>
  <si>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</si>
  <si>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</si>
  <si>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</si>
  <si>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</si>
  <si>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</si>
  <si>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</si>
  <si>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</si>
  <si>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</si>
  <si>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</si>
  <si>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</si>
  <si>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</si>
  <si>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</si>
  <si>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</si>
  <si>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</si>
  <si>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</si>
  <si>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</si>
  <si>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</si>
  <si>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</si>
  <si>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</si>
  <si>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</si>
  <si>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</si>
  <si>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 xml:space="preserve">   Szociális bentlakásos int.ellátásokhoz kapcs.bértámogatás</t>
  </si>
  <si>
    <t xml:space="preserve">   Kieg.tám. az óvodapedag. min.-ből adódó többletkiadásokhoz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</si>
  <si>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</si>
  <si>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</si>
  <si>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</si>
  <si>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</si>
  <si>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</si>
  <si>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</si>
  <si>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</si>
  <si>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</si>
  <si>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 xml:space="preserve">   Felsőfokú végz.kisgyemeknevelők bérének támogatása</t>
  </si>
  <si>
    <t xml:space="preserve">   Középfokú végz. kisgyemeknevelők bérének támogatása</t>
  </si>
  <si>
    <t>Tér_köz pályázat Podmaniczky tér</t>
  </si>
  <si>
    <t>Sportközpont és Tanuszoda építés támogatása</t>
  </si>
  <si>
    <t>mód.ei.</t>
  </si>
  <si>
    <t>Egyéb támogatások</t>
  </si>
  <si>
    <t>1/5.</t>
  </si>
  <si>
    <t>Önkormányzatok működési támogatása ( 1/1.- 1/5.)</t>
  </si>
  <si>
    <t xml:space="preserve">   Szociális ágazati pótlék</t>
  </si>
  <si>
    <t xml:space="preserve">   Óvodai és iskolai szociális segítő tevékenység támogatása</t>
  </si>
  <si>
    <t xml:space="preserve">   Bölcsődei üzemeltetési támogatás</t>
  </si>
  <si>
    <t xml:space="preserve">   2019.évi bérkompenzáció</t>
  </si>
  <si>
    <t>A József nádor tér kiadásai fordított áfájának támogatása</t>
  </si>
  <si>
    <t>Podmaniczky tér megújítása fordított áfájának támogatása</t>
  </si>
  <si>
    <t>Vörösmarty tér és kapcs.utcák ford.áfájának támogatása</t>
  </si>
  <si>
    <t>Kiegészítő gyermekvédelmi támogatás</t>
  </si>
  <si>
    <t>Főváros Kormányhivataltól kapott támog.a közfogl.kiad-hoz</t>
  </si>
  <si>
    <t>A József nádor tér kiadásaihoz támogatás</t>
  </si>
  <si>
    <t>Podmaniczky tér megújításához támogatás</t>
  </si>
  <si>
    <t>Vörösmarty tér és kapcsolódó utcák megújításához támogatás</t>
  </si>
  <si>
    <t>Vörösmarty tér, Vigadó utca és a Harmincad utca megújításának támogatása</t>
  </si>
  <si>
    <t>Belváros-Lipótváros Önkormányzata 2019. évre tervezett államháztartáson kívülről átvett felhalmozási célú pénzeszközeinek részletezése</t>
  </si>
  <si>
    <t xml:space="preserve">Belváros-  Lipótváros Önkormányzata 2019. évre </t>
  </si>
  <si>
    <t>Belváros- Lipótváros Önkormányzata 2019. évi államháztartáson belülről kapott felhalmozási célú támogatásainak részletezése</t>
  </si>
  <si>
    <t>Belváros-Lipótváros Önkormányzata 2019. évre tervezett működési bevételeinek részletezése</t>
  </si>
  <si>
    <t>Belváros-Lipótváros Önkormányzata 2019. évre tervezett közhatalmi bevételeinek részletezése</t>
  </si>
  <si>
    <t>Belváros- Lipótváros Önkormányzata 2019. évi államháztartáson belülről kapott működési célú támogatásainak részletezése</t>
  </si>
  <si>
    <t>Belváros-Lipótváros Önkormányzata 2019. évre tervezett bevételei</t>
  </si>
  <si>
    <t>Európai uniós választáshoz támogatás</t>
  </si>
  <si>
    <t xml:space="preserve">   Intézményi gyermekétkeztetés üzemeltetési támogatása</t>
  </si>
  <si>
    <t>Előző évi elszámolások</t>
  </si>
  <si>
    <t>A Dorottya Investment Zrt. Által befizetett településfejlesztési hozzájárulás</t>
  </si>
  <si>
    <t>Érdekeltségnövelő támogatás</t>
  </si>
  <si>
    <t>CPI Retail Onne Kft. Által befizetett településfejlesztési hozzájárulás</t>
  </si>
  <si>
    <t>eredeti ei.</t>
  </si>
  <si>
    <t>teljesítés</t>
  </si>
  <si>
    <t>Településkép-védelmi bírság</t>
  </si>
  <si>
    <t>Társasházi támogatás törlesztése</t>
  </si>
  <si>
    <t>ÁHT-n belüli megelőlegezés</t>
  </si>
  <si>
    <t>4.</t>
  </si>
  <si>
    <t>Kiegészítő támogatás jelzőrendszeres segítségnyújtáshoz</t>
  </si>
  <si>
    <t>Kábítószer-prevenciós programokra elnyert pályázati összeg</t>
  </si>
  <si>
    <t>3/4.</t>
  </si>
  <si>
    <t>Minimálbér támogatás</t>
  </si>
  <si>
    <t>Önkormányzati képviselők és polgármesterek választásához támog.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</si>
</sst>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/>
    </xf>
    <xf numFmtId="0" fontId="0" fillId="0" borderId="0" xfId="0" applyFont="1" applyAlignment="1">
      <alignment horizontal="right" vertical="top" wrapText="1"/>
    </xf>
    <xf numFmtId="3" fontId="3" fillId="0" borderId="1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6" fontId="4" fillId="0" borderId="26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16" fontId="4" fillId="0" borderId="16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 vertical="center" wrapText="1"/>
    </xf>
    <xf numFmtId="16" fontId="4" fillId="0" borderId="35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vertical="center"/>
    </xf>
    <xf numFmtId="16" fontId="4" fillId="0" borderId="33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2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3" fillId="0" borderId="27" xfId="0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4" fillId="0" borderId="35" xfId="0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6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25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ill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27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/>
    </xf>
    <xf numFmtId="3" fontId="27" fillId="0" borderId="45" xfId="0" applyNumberFormat="1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/>
    </xf>
    <xf numFmtId="3" fontId="27" fillId="0" borderId="48" xfId="0" applyNumberFormat="1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/>
    </xf>
    <xf numFmtId="0" fontId="28" fillId="0" borderId="50" xfId="0" applyFont="1" applyFill="1" applyBorder="1" applyAlignment="1">
      <alignment/>
    </xf>
    <xf numFmtId="3" fontId="28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8" fillId="0" borderId="51" xfId="0" applyFont="1" applyFill="1" applyBorder="1" applyAlignment="1">
      <alignment/>
    </xf>
    <xf numFmtId="0" fontId="28" fillId="0" borderId="52" xfId="0" applyFont="1" applyFill="1" applyBorder="1" applyAlignment="1">
      <alignment/>
    </xf>
    <xf numFmtId="0" fontId="27" fillId="0" borderId="5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3" fontId="29" fillId="0" borderId="5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29" fillId="0" borderId="54" xfId="0" applyNumberFormat="1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/>
    </xf>
    <xf numFmtId="3" fontId="28" fillId="0" borderId="58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3" fontId="0" fillId="0" borderId="6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61" xfId="0" applyNumberFormat="1" applyFill="1" applyBorder="1" applyAlignment="1">
      <alignment vertical="center"/>
    </xf>
    <xf numFmtId="0" fontId="27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/>
    </xf>
    <xf numFmtId="0" fontId="28" fillId="0" borderId="65" xfId="0" applyFont="1" applyFill="1" applyBorder="1" applyAlignment="1">
      <alignment/>
    </xf>
    <xf numFmtId="0" fontId="27" fillId="0" borderId="66" xfId="0" applyFont="1" applyFill="1" applyBorder="1" applyAlignment="1">
      <alignment horizontal="center" vertical="center" wrapText="1"/>
    </xf>
    <xf numFmtId="3" fontId="0" fillId="0" borderId="6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3" fontId="3" fillId="0" borderId="19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4" fillId="0" borderId="71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4" fillId="0" borderId="24" xfId="0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3" xfId="0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0" fillId="0" borderId="74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4">
      <selection activeCell="Q30" sqref="Q30:U46"/>
    </sheetView>
  </sheetViews>
  <sheetFormatPr defaultColWidth="9.00390625" defaultRowHeight="12.75"/>
  <cols>
    <col min="1" max="1" width="3.25390625" style="95" customWidth="1"/>
    <col min="2" max="2" width="3.125" style="95" customWidth="1"/>
    <col min="3" max="3" width="48.75390625" style="95" customWidth="1"/>
    <col min="4" max="6" width="9.625" style="95" customWidth="1"/>
    <col min="7" max="9" width="9.625" style="99" customWidth="1"/>
    <col min="10" max="12" width="9.625" style="95" customWidth="1"/>
    <col min="13" max="14" width="10.375" style="27" customWidth="1"/>
    <col min="15" max="15" width="9.625" style="27" customWidth="1"/>
    <col min="16" max="16" width="9.125" style="27" customWidth="1"/>
    <col min="17" max="17" width="10.125" style="27" bestFit="1" customWidth="1"/>
    <col min="18" max="16384" width="9.125" style="27" customWidth="1"/>
  </cols>
  <sheetData>
    <row r="1" spans="7:15" ht="18" customHeight="1">
      <c r="G1" s="280" t="s">
        <v>118</v>
      </c>
      <c r="H1" s="280"/>
      <c r="I1" s="280"/>
      <c r="J1" s="280"/>
      <c r="K1" s="280"/>
      <c r="L1" s="280"/>
      <c r="M1" s="280"/>
      <c r="N1" s="280"/>
      <c r="O1" s="280"/>
    </row>
    <row r="2" spans="1:15" s="97" customFormat="1" ht="15.75">
      <c r="A2" s="294" t="s">
        <v>153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2" s="97" customFormat="1" ht="15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5" ht="13.5" customHeight="1" thickBot="1">
      <c r="B4" s="98"/>
      <c r="J4" s="281" t="s">
        <v>0</v>
      </c>
      <c r="K4" s="281"/>
      <c r="L4" s="281"/>
      <c r="M4" s="281"/>
      <c r="N4" s="281"/>
      <c r="O4" s="281"/>
    </row>
    <row r="5" spans="1:15" s="100" customFormat="1" ht="80.25" customHeight="1" thickBot="1">
      <c r="A5" s="282" t="s">
        <v>1</v>
      </c>
      <c r="B5" s="283"/>
      <c r="C5" s="284"/>
      <c r="D5" s="404" t="s">
        <v>18</v>
      </c>
      <c r="E5" s="405"/>
      <c r="F5" s="406"/>
      <c r="G5" s="303" t="s">
        <v>105</v>
      </c>
      <c r="H5" s="407"/>
      <c r="I5" s="304"/>
      <c r="J5" s="303" t="s">
        <v>106</v>
      </c>
      <c r="K5" s="407"/>
      <c r="L5" s="304"/>
      <c r="M5" s="322" t="s">
        <v>19</v>
      </c>
      <c r="N5" s="408"/>
      <c r="O5" s="323"/>
    </row>
    <row r="6" spans="1:15" s="100" customFormat="1" ht="13.5" thickBot="1">
      <c r="A6" s="285"/>
      <c r="B6" s="286"/>
      <c r="C6" s="287"/>
      <c r="D6" s="382" t="s">
        <v>160</v>
      </c>
      <c r="E6" s="371" t="s">
        <v>130</v>
      </c>
      <c r="F6" s="371" t="s">
        <v>161</v>
      </c>
      <c r="G6" s="370" t="s">
        <v>160</v>
      </c>
      <c r="H6" s="371" t="s">
        <v>130</v>
      </c>
      <c r="I6" s="371" t="s">
        <v>161</v>
      </c>
      <c r="J6" s="370" t="s">
        <v>160</v>
      </c>
      <c r="K6" s="371" t="s">
        <v>130</v>
      </c>
      <c r="L6" s="371" t="s">
        <v>161</v>
      </c>
      <c r="M6" s="370" t="s">
        <v>160</v>
      </c>
      <c r="N6" s="371" t="s">
        <v>130</v>
      </c>
      <c r="O6" s="371" t="s">
        <v>161</v>
      </c>
    </row>
    <row r="7" spans="1:15" ht="13.5" thickBot="1">
      <c r="A7" s="288">
        <v>1</v>
      </c>
      <c r="B7" s="289"/>
      <c r="C7" s="289"/>
      <c r="D7" s="435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76">
        <v>11</v>
      </c>
      <c r="N7" s="187">
        <v>12</v>
      </c>
      <c r="O7" s="188">
        <v>13</v>
      </c>
    </row>
    <row r="8" spans="1:15" ht="13.5" customHeight="1">
      <c r="A8" s="101"/>
      <c r="B8" s="102"/>
      <c r="C8" s="103" t="s">
        <v>23</v>
      </c>
      <c r="D8" s="105">
        <f>SUM(5A!E10)</f>
        <v>1904387</v>
      </c>
      <c r="E8" s="105">
        <f>SUM(5A!F10)</f>
        <v>1910978</v>
      </c>
      <c r="F8" s="105">
        <f>SUM(5A!G10)</f>
        <v>1910978</v>
      </c>
      <c r="G8" s="105"/>
      <c r="H8" s="105"/>
      <c r="I8" s="105"/>
      <c r="J8" s="105"/>
      <c r="K8" s="105"/>
      <c r="L8" s="105"/>
      <c r="M8" s="79">
        <f>SUM(D8,G8,J8)</f>
        <v>1904387</v>
      </c>
      <c r="N8" s="79">
        <f>SUM(E8,H8,K8)</f>
        <v>1910978</v>
      </c>
      <c r="O8" s="79">
        <f>SUM(F8,I8,L8)</f>
        <v>1910978</v>
      </c>
    </row>
    <row r="9" spans="1:15" ht="13.5" customHeight="1">
      <c r="A9" s="101"/>
      <c r="B9" s="106"/>
      <c r="C9" s="107" t="s">
        <v>40</v>
      </c>
      <c r="D9" s="378">
        <f>SUM(5A!E15)</f>
        <v>311829</v>
      </c>
      <c r="E9" s="378">
        <f>SUM(5A!F15)</f>
        <v>307804</v>
      </c>
      <c r="F9" s="378">
        <f>SUM(5A!G15)</f>
        <v>307804</v>
      </c>
      <c r="G9" s="108"/>
      <c r="H9" s="108"/>
      <c r="I9" s="108"/>
      <c r="J9" s="109"/>
      <c r="K9" s="109"/>
      <c r="L9" s="109"/>
      <c r="M9" s="89">
        <f>SUM(D9,G9,J9)</f>
        <v>311829</v>
      </c>
      <c r="N9" s="89">
        <f aca="true" t="shared" si="0" ref="N9:N42">SUM(E9,H9,K9)</f>
        <v>307804</v>
      </c>
      <c r="O9" s="89">
        <f aca="true" t="shared" si="1" ref="O9:O45">SUM(F9,I9,L9)</f>
        <v>307804</v>
      </c>
    </row>
    <row r="10" spans="1:15" ht="13.5" customHeight="1">
      <c r="A10" s="101"/>
      <c r="B10" s="106"/>
      <c r="C10" s="107" t="s">
        <v>99</v>
      </c>
      <c r="D10" s="378">
        <f>SUM(5A!E32)</f>
        <v>302263</v>
      </c>
      <c r="E10" s="378">
        <f>SUM(5A!F32)</f>
        <v>402054</v>
      </c>
      <c r="F10" s="378">
        <f>SUM(5A!G32)</f>
        <v>402054</v>
      </c>
      <c r="G10" s="108"/>
      <c r="H10" s="108"/>
      <c r="I10" s="108"/>
      <c r="J10" s="109"/>
      <c r="K10" s="109"/>
      <c r="L10" s="109"/>
      <c r="M10" s="89">
        <f>SUM(D10,G10,J10)</f>
        <v>302263</v>
      </c>
      <c r="N10" s="89">
        <f t="shared" si="0"/>
        <v>402054</v>
      </c>
      <c r="O10" s="89">
        <f t="shared" si="1"/>
        <v>402054</v>
      </c>
    </row>
    <row r="11" spans="1:15" ht="13.5" customHeight="1">
      <c r="A11" s="101"/>
      <c r="B11" s="175"/>
      <c r="C11" s="110" t="s">
        <v>41</v>
      </c>
      <c r="D11" s="378">
        <f>SUM(5A!E33)</f>
        <v>10532</v>
      </c>
      <c r="E11" s="378">
        <f>SUM(5A!F33)</f>
        <v>10532</v>
      </c>
      <c r="F11" s="378">
        <f>SUM(5A!G33)</f>
        <v>10532</v>
      </c>
      <c r="G11" s="108"/>
      <c r="H11" s="108"/>
      <c r="I11" s="108"/>
      <c r="J11" s="109"/>
      <c r="K11" s="109"/>
      <c r="L11" s="109"/>
      <c r="M11" s="89">
        <f>SUM(D11,G11,J11)</f>
        <v>10532</v>
      </c>
      <c r="N11" s="89">
        <f t="shared" si="0"/>
        <v>10532</v>
      </c>
      <c r="O11" s="89">
        <f t="shared" si="1"/>
        <v>10532</v>
      </c>
    </row>
    <row r="12" spans="1:15" ht="13.5" customHeight="1" thickBot="1">
      <c r="A12" s="101"/>
      <c r="B12" s="177"/>
      <c r="C12" s="178" t="s">
        <v>131</v>
      </c>
      <c r="D12" s="436">
        <f>SUM(5A!E37)</f>
        <v>0</v>
      </c>
      <c r="E12" s="104">
        <f>SUM(5A!F37)</f>
        <v>77216</v>
      </c>
      <c r="F12" s="436">
        <f>SUM(5A!G37)</f>
        <v>77216</v>
      </c>
      <c r="G12" s="437"/>
      <c r="H12" s="437"/>
      <c r="I12" s="437"/>
      <c r="J12" s="438"/>
      <c r="K12" s="438"/>
      <c r="L12" s="438"/>
      <c r="M12" s="439">
        <f>SUM(D12,G12,J12)</f>
        <v>0</v>
      </c>
      <c r="N12" s="439">
        <f t="shared" si="0"/>
        <v>77216</v>
      </c>
      <c r="O12" s="439">
        <f t="shared" si="1"/>
        <v>77216</v>
      </c>
    </row>
    <row r="13" spans="1:15" ht="13.5" customHeight="1" thickBot="1">
      <c r="A13" s="101"/>
      <c r="B13" s="112" t="s">
        <v>2</v>
      </c>
      <c r="C13" s="113" t="s">
        <v>76</v>
      </c>
      <c r="D13" s="114">
        <f>SUM(D8:D12)</f>
        <v>2529011</v>
      </c>
      <c r="E13" s="114">
        <f>SUM(E8:E12)</f>
        <v>2708584</v>
      </c>
      <c r="F13" s="114">
        <f>SUM(F8:F12)</f>
        <v>2708584</v>
      </c>
      <c r="G13" s="114">
        <f>SUM(G8:G11)</f>
        <v>0</v>
      </c>
      <c r="H13" s="114"/>
      <c r="I13" s="114"/>
      <c r="J13" s="114">
        <f>SUM(J8:J11)</f>
        <v>0</v>
      </c>
      <c r="K13" s="114"/>
      <c r="L13" s="114"/>
      <c r="M13" s="115">
        <f>SUM(M8:M12)</f>
        <v>2529011</v>
      </c>
      <c r="N13" s="88">
        <f t="shared" si="0"/>
        <v>2708584</v>
      </c>
      <c r="O13" s="88">
        <f t="shared" si="1"/>
        <v>2708584</v>
      </c>
    </row>
    <row r="14" spans="1:15" ht="13.5" customHeight="1">
      <c r="A14" s="101"/>
      <c r="B14" s="116" t="s">
        <v>3</v>
      </c>
      <c r="C14" s="117" t="s">
        <v>43</v>
      </c>
      <c r="D14" s="118"/>
      <c r="E14" s="118"/>
      <c r="F14" s="118"/>
      <c r="G14" s="118"/>
      <c r="H14" s="118"/>
      <c r="I14" s="118"/>
      <c r="J14" s="118"/>
      <c r="K14" s="127"/>
      <c r="L14" s="127"/>
      <c r="M14" s="119"/>
      <c r="N14" s="79">
        <f t="shared" si="0"/>
        <v>0</v>
      </c>
      <c r="O14" s="79">
        <f t="shared" si="1"/>
        <v>0</v>
      </c>
    </row>
    <row r="15" spans="1:15" ht="13.5" thickBot="1">
      <c r="A15" s="101"/>
      <c r="B15" s="120" t="s">
        <v>4</v>
      </c>
      <c r="C15" s="121" t="s">
        <v>77</v>
      </c>
      <c r="D15" s="440">
        <f>SUM(5A!E52)</f>
        <v>603404</v>
      </c>
      <c r="E15" s="440">
        <f>SUM(5A!F52)</f>
        <v>334</v>
      </c>
      <c r="F15" s="440">
        <f>SUM(5A!G52)</f>
        <v>607</v>
      </c>
      <c r="G15" s="440">
        <f>SUM(5A!H52)</f>
        <v>955354</v>
      </c>
      <c r="H15" s="440">
        <f>SUM(5A!I52)</f>
        <v>998873</v>
      </c>
      <c r="I15" s="440">
        <f>SUM(5A!J52)</f>
        <v>999272</v>
      </c>
      <c r="J15" s="440">
        <f>SUM(5A!K52)</f>
        <v>1955</v>
      </c>
      <c r="K15" s="440">
        <f>SUM(5A!L52)</f>
        <v>6473</v>
      </c>
      <c r="L15" s="440">
        <f>SUM(5A!M52)</f>
        <v>8122</v>
      </c>
      <c r="M15" s="176">
        <f>SUM(D15,G15,J15)</f>
        <v>1560713</v>
      </c>
      <c r="N15" s="176">
        <f t="shared" si="0"/>
        <v>1005680</v>
      </c>
      <c r="O15" s="176">
        <f t="shared" si="1"/>
        <v>1008001</v>
      </c>
    </row>
    <row r="16" spans="1:15" ht="13.5" thickBot="1">
      <c r="A16" s="101"/>
      <c r="B16" s="122" t="s">
        <v>5</v>
      </c>
      <c r="C16" s="123" t="s">
        <v>78</v>
      </c>
      <c r="D16" s="124">
        <f aca="true" t="shared" si="2" ref="D16:M16">SUM(D13:D15)</f>
        <v>3132415</v>
      </c>
      <c r="E16" s="124">
        <f t="shared" si="2"/>
        <v>2708918</v>
      </c>
      <c r="F16" s="124">
        <f t="shared" si="2"/>
        <v>2709191</v>
      </c>
      <c r="G16" s="124">
        <f t="shared" si="2"/>
        <v>955354</v>
      </c>
      <c r="H16" s="124">
        <f t="shared" si="2"/>
        <v>998873</v>
      </c>
      <c r="I16" s="124">
        <f t="shared" si="2"/>
        <v>999272</v>
      </c>
      <c r="J16" s="124">
        <f t="shared" si="2"/>
        <v>1955</v>
      </c>
      <c r="K16" s="124">
        <f t="shared" si="2"/>
        <v>6473</v>
      </c>
      <c r="L16" s="124">
        <f t="shared" si="2"/>
        <v>8122</v>
      </c>
      <c r="M16" s="125">
        <f t="shared" si="2"/>
        <v>4089724</v>
      </c>
      <c r="N16" s="125">
        <f t="shared" si="0"/>
        <v>3714264</v>
      </c>
      <c r="O16" s="125">
        <f t="shared" si="1"/>
        <v>3716585</v>
      </c>
    </row>
    <row r="17" spans="1:15" ht="12.75">
      <c r="A17" s="101"/>
      <c r="B17" s="116" t="s">
        <v>2</v>
      </c>
      <c r="C17" s="126" t="s">
        <v>10</v>
      </c>
      <c r="D17" s="127">
        <f>SUM(5B!D12)</f>
        <v>6137997</v>
      </c>
      <c r="E17" s="127">
        <f>SUM(5B!E12)</f>
        <v>7061932</v>
      </c>
      <c r="F17" s="127">
        <f>SUM(5B!F12)</f>
        <v>7209781</v>
      </c>
      <c r="G17" s="127"/>
      <c r="H17" s="127"/>
      <c r="I17" s="127"/>
      <c r="J17" s="127"/>
      <c r="K17" s="127"/>
      <c r="L17" s="127"/>
      <c r="M17" s="85">
        <f>SUM(D17,G17,J17)</f>
        <v>6137997</v>
      </c>
      <c r="N17" s="79">
        <f t="shared" si="0"/>
        <v>7061932</v>
      </c>
      <c r="O17" s="79">
        <f t="shared" si="1"/>
        <v>7209781</v>
      </c>
    </row>
    <row r="18" spans="1:15" ht="13.5" thickBot="1">
      <c r="A18" s="101"/>
      <c r="B18" s="120" t="s">
        <v>3</v>
      </c>
      <c r="C18" s="121" t="s">
        <v>79</v>
      </c>
      <c r="D18" s="128">
        <f>SUM(5B!D19)</f>
        <v>189334</v>
      </c>
      <c r="E18" s="128">
        <f>SUM(5B!E19)</f>
        <v>189334</v>
      </c>
      <c r="F18" s="128">
        <f>SUM(5B!F19)</f>
        <v>189998</v>
      </c>
      <c r="G18" s="128"/>
      <c r="H18" s="128"/>
      <c r="I18" s="128"/>
      <c r="J18" s="128"/>
      <c r="K18" s="128"/>
      <c r="L18" s="128"/>
      <c r="M18" s="86">
        <f>SUM(D18,G18,J18)</f>
        <v>189334</v>
      </c>
      <c r="N18" s="86">
        <f t="shared" si="0"/>
        <v>189334</v>
      </c>
      <c r="O18" s="86">
        <f t="shared" si="1"/>
        <v>189998</v>
      </c>
    </row>
    <row r="19" spans="1:15" ht="13.5" customHeight="1" thickBot="1">
      <c r="A19" s="101"/>
      <c r="B19" s="122" t="s">
        <v>6</v>
      </c>
      <c r="C19" s="129" t="s">
        <v>35</v>
      </c>
      <c r="D19" s="124">
        <f>SUM(D17:D18)</f>
        <v>6327331</v>
      </c>
      <c r="E19" s="124">
        <f>SUM(E17:E18)</f>
        <v>7251266</v>
      </c>
      <c r="F19" s="124">
        <f>SUM(F17:F18)</f>
        <v>7399779</v>
      </c>
      <c r="G19" s="124">
        <f>SUM(G17:G18)</f>
        <v>0</v>
      </c>
      <c r="H19" s="124"/>
      <c r="I19" s="124">
        <f>SUM(5B!I20)</f>
        <v>4480</v>
      </c>
      <c r="J19" s="124">
        <f>SUM(J17:J18)</f>
        <v>0</v>
      </c>
      <c r="K19" s="124"/>
      <c r="L19" s="124"/>
      <c r="M19" s="125">
        <f>SUM(M17:M18)</f>
        <v>6327331</v>
      </c>
      <c r="N19" s="88">
        <f t="shared" si="0"/>
        <v>7251266</v>
      </c>
      <c r="O19" s="88">
        <f t="shared" si="1"/>
        <v>7404259</v>
      </c>
    </row>
    <row r="20" spans="1:15" ht="13.5" customHeight="1" thickBot="1">
      <c r="A20" s="101"/>
      <c r="B20" s="122" t="s">
        <v>32</v>
      </c>
      <c r="C20" s="130" t="s">
        <v>80</v>
      </c>
      <c r="D20" s="124">
        <f>SUM(5C!D20)</f>
        <v>7819217</v>
      </c>
      <c r="E20" s="124">
        <f>SUM(5C!E20)</f>
        <v>8206371</v>
      </c>
      <c r="F20" s="124">
        <f>SUM(5C!F20)</f>
        <v>8368288</v>
      </c>
      <c r="G20" s="124">
        <f>SUM(5C!G20)</f>
        <v>976195</v>
      </c>
      <c r="H20" s="124">
        <f>SUM(5C!H20)</f>
        <v>955726</v>
      </c>
      <c r="I20" s="124">
        <f>SUM(5C!I20)</f>
        <v>896131</v>
      </c>
      <c r="J20" s="124">
        <f>SUM(5C!J20)</f>
        <v>76650</v>
      </c>
      <c r="K20" s="124">
        <f>SUM(5C!K20)</f>
        <v>78795</v>
      </c>
      <c r="L20" s="124">
        <f>SUM(5C!L20)</f>
        <v>93971</v>
      </c>
      <c r="M20" s="79">
        <f>SUM(D20,G20,J20)</f>
        <v>8872062</v>
      </c>
      <c r="N20" s="88">
        <f t="shared" si="0"/>
        <v>9240892</v>
      </c>
      <c r="O20" s="88">
        <f t="shared" si="1"/>
        <v>9358390</v>
      </c>
    </row>
    <row r="21" spans="1:15" ht="26.25" customHeight="1">
      <c r="A21" s="101"/>
      <c r="B21" s="131" t="s">
        <v>2</v>
      </c>
      <c r="C21" s="132" t="s">
        <v>81</v>
      </c>
      <c r="D21" s="87">
        <f>360+122</f>
        <v>482</v>
      </c>
      <c r="E21" s="87">
        <v>482</v>
      </c>
      <c r="F21" s="87"/>
      <c r="G21" s="87"/>
      <c r="H21" s="87"/>
      <c r="I21" s="87"/>
      <c r="J21" s="87"/>
      <c r="K21" s="87"/>
      <c r="L21" s="87"/>
      <c r="M21" s="88">
        <f>SUM(D21,G21,J21)</f>
        <v>482</v>
      </c>
      <c r="N21" s="79">
        <f t="shared" si="0"/>
        <v>482</v>
      </c>
      <c r="O21" s="79">
        <f t="shared" si="1"/>
        <v>0</v>
      </c>
    </row>
    <row r="22" spans="1:15" ht="13.5" customHeight="1" thickBot="1">
      <c r="A22" s="101"/>
      <c r="B22" s="133" t="s">
        <v>3</v>
      </c>
      <c r="C22" s="134" t="s">
        <v>82</v>
      </c>
      <c r="D22" s="273"/>
      <c r="E22" s="273">
        <v>2000</v>
      </c>
      <c r="F22" s="273">
        <v>2000</v>
      </c>
      <c r="G22" s="135"/>
      <c r="H22" s="81"/>
      <c r="I22" s="81"/>
      <c r="J22" s="81"/>
      <c r="K22" s="81"/>
      <c r="L22" s="81"/>
      <c r="M22" s="85">
        <f>SUM(D22,G22,J22)</f>
        <v>0</v>
      </c>
      <c r="N22" s="86">
        <f t="shared" si="0"/>
        <v>2000</v>
      </c>
      <c r="O22" s="86">
        <f t="shared" si="1"/>
        <v>2000</v>
      </c>
    </row>
    <row r="23" spans="1:15" ht="13.5" customHeight="1" thickBot="1">
      <c r="A23" s="101"/>
      <c r="B23" s="122" t="s">
        <v>33</v>
      </c>
      <c r="C23" s="130" t="s">
        <v>83</v>
      </c>
      <c r="D23" s="124">
        <f>SUM(D21:D22)</f>
        <v>482</v>
      </c>
      <c r="E23" s="124">
        <f>SUM(E21:E22)</f>
        <v>2482</v>
      </c>
      <c r="F23" s="124">
        <f>SUM(F21:F22)</f>
        <v>2000</v>
      </c>
      <c r="G23" s="124">
        <f>SUM(G21:G22)</f>
        <v>0</v>
      </c>
      <c r="H23" s="124"/>
      <c r="I23" s="124"/>
      <c r="J23" s="124">
        <f>SUM(J21:J22)</f>
        <v>0</v>
      </c>
      <c r="K23" s="124"/>
      <c r="L23" s="124"/>
      <c r="M23" s="125">
        <f>SUM(M21:M22)</f>
        <v>482</v>
      </c>
      <c r="N23" s="88">
        <f t="shared" si="0"/>
        <v>2482</v>
      </c>
      <c r="O23" s="88">
        <f t="shared" si="1"/>
        <v>2000</v>
      </c>
    </row>
    <row r="24" spans="1:15" s="97" customFormat="1" ht="13.5" customHeight="1" thickBot="1">
      <c r="A24" s="136" t="s">
        <v>5</v>
      </c>
      <c r="B24" s="290" t="s">
        <v>84</v>
      </c>
      <c r="C24" s="291"/>
      <c r="D24" s="124">
        <f aca="true" t="shared" si="3" ref="D24:M24">SUM(D16,D19,D20,D23)</f>
        <v>17279445</v>
      </c>
      <c r="E24" s="124">
        <f t="shared" si="3"/>
        <v>18169037</v>
      </c>
      <c r="F24" s="124">
        <f t="shared" si="3"/>
        <v>18479258</v>
      </c>
      <c r="G24" s="124">
        <f t="shared" si="3"/>
        <v>1931549</v>
      </c>
      <c r="H24" s="124">
        <f t="shared" si="3"/>
        <v>1954599</v>
      </c>
      <c r="I24" s="124">
        <f t="shared" si="3"/>
        <v>1899883</v>
      </c>
      <c r="J24" s="124">
        <f t="shared" si="3"/>
        <v>78605</v>
      </c>
      <c r="K24" s="124">
        <f t="shared" si="3"/>
        <v>85268</v>
      </c>
      <c r="L24" s="124">
        <f t="shared" si="3"/>
        <v>102093</v>
      </c>
      <c r="M24" s="125">
        <f t="shared" si="3"/>
        <v>19289599</v>
      </c>
      <c r="N24" s="88">
        <f t="shared" si="0"/>
        <v>20208904</v>
      </c>
      <c r="O24" s="88">
        <f t="shared" si="1"/>
        <v>20481234</v>
      </c>
    </row>
    <row r="25" spans="1:15" s="97" customFormat="1" ht="13.5" customHeight="1" thickBot="1">
      <c r="A25" s="137"/>
      <c r="B25" s="122" t="s">
        <v>42</v>
      </c>
      <c r="C25" s="138" t="s">
        <v>37</v>
      </c>
      <c r="D25" s="124">
        <f>SUM(5D!C19)</f>
        <v>5662726</v>
      </c>
      <c r="E25" s="124">
        <f>SUM(5D!D19)</f>
        <v>4318512</v>
      </c>
      <c r="F25" s="124">
        <f>SUM(5D!E19)</f>
        <v>4318512</v>
      </c>
      <c r="G25" s="124"/>
      <c r="H25" s="80"/>
      <c r="I25" s="80"/>
      <c r="J25" s="80"/>
      <c r="K25" s="80"/>
      <c r="L25" s="80"/>
      <c r="M25" s="79">
        <f>SUM(D25,G25,J25)</f>
        <v>5662726</v>
      </c>
      <c r="N25" s="88">
        <f t="shared" si="0"/>
        <v>4318512</v>
      </c>
      <c r="O25" s="88">
        <f t="shared" si="1"/>
        <v>4318512</v>
      </c>
    </row>
    <row r="26" spans="1:15" s="97" customFormat="1" ht="13.5" customHeight="1" thickBot="1">
      <c r="A26" s="137"/>
      <c r="B26" s="122" t="s">
        <v>85</v>
      </c>
      <c r="C26" s="138" t="s">
        <v>22</v>
      </c>
      <c r="D26" s="124">
        <f>SUM(5E!D17)</f>
        <v>1368105</v>
      </c>
      <c r="E26" s="124">
        <f>SUM(5E!E17)</f>
        <v>2542393</v>
      </c>
      <c r="F26" s="124">
        <f>SUM(5E!F17)</f>
        <v>2515624</v>
      </c>
      <c r="G26" s="124"/>
      <c r="H26" s="124">
        <f>SUM(5E!H17)</f>
        <v>85</v>
      </c>
      <c r="I26" s="124">
        <f>SUM(5E!I17)</f>
        <v>85</v>
      </c>
      <c r="J26" s="125"/>
      <c r="K26" s="125"/>
      <c r="L26" s="125">
        <f>SUM(5E!L17)</f>
        <v>7</v>
      </c>
      <c r="M26" s="79">
        <f>SUM(D26,G26,J26)</f>
        <v>1368105</v>
      </c>
      <c r="N26" s="88">
        <f t="shared" si="0"/>
        <v>2542478</v>
      </c>
      <c r="O26" s="88">
        <f t="shared" si="1"/>
        <v>2515716</v>
      </c>
    </row>
    <row r="27" spans="1:15" ht="24" customHeight="1">
      <c r="A27" s="139"/>
      <c r="B27" s="140" t="s">
        <v>2</v>
      </c>
      <c r="C27" s="126" t="s">
        <v>86</v>
      </c>
      <c r="D27" s="127">
        <f>SUM(5F!D18)</f>
        <v>30369</v>
      </c>
      <c r="E27" s="127">
        <f>SUM(5F!E13)</f>
        <v>26298</v>
      </c>
      <c r="F27" s="127">
        <f>SUM(5F!F13)</f>
        <v>26326</v>
      </c>
      <c r="G27" s="127"/>
      <c r="H27" s="127"/>
      <c r="I27" s="127"/>
      <c r="J27" s="127"/>
      <c r="K27" s="127"/>
      <c r="L27" s="127"/>
      <c r="M27" s="79">
        <f>SUM(D27,G27,J27)</f>
        <v>30369</v>
      </c>
      <c r="N27" s="88">
        <f t="shared" si="0"/>
        <v>26298</v>
      </c>
      <c r="O27" s="88">
        <f t="shared" si="1"/>
        <v>26326</v>
      </c>
    </row>
    <row r="28" spans="1:15" ht="13.5" customHeight="1" thickBot="1">
      <c r="A28" s="139"/>
      <c r="B28" s="141" t="s">
        <v>3</v>
      </c>
      <c r="C28" s="142" t="s">
        <v>87</v>
      </c>
      <c r="D28" s="143"/>
      <c r="E28" s="143">
        <f>SUM(5F!E17)</f>
        <v>50748</v>
      </c>
      <c r="F28" s="143">
        <f>SUM(5F!F17)</f>
        <v>50748</v>
      </c>
      <c r="G28" s="143"/>
      <c r="H28" s="144"/>
      <c r="I28" s="144"/>
      <c r="J28" s="144"/>
      <c r="K28" s="144"/>
      <c r="L28" s="144"/>
      <c r="M28" s="86">
        <f>SUM(D28,G28,J28)</f>
        <v>0</v>
      </c>
      <c r="N28" s="439">
        <f t="shared" si="0"/>
        <v>50748</v>
      </c>
      <c r="O28" s="439">
        <f t="shared" si="1"/>
        <v>50748</v>
      </c>
    </row>
    <row r="29" spans="1:15" ht="13.5" customHeight="1" thickBot="1">
      <c r="A29" s="139"/>
      <c r="B29" s="145" t="s">
        <v>88</v>
      </c>
      <c r="C29" s="138" t="s">
        <v>89</v>
      </c>
      <c r="D29" s="125">
        <f>SUM(D27:D28)</f>
        <v>30369</v>
      </c>
      <c r="E29" s="125">
        <f>SUM(E27:E28)</f>
        <v>77046</v>
      </c>
      <c r="F29" s="125">
        <f>SUM(F27:F28)</f>
        <v>77074</v>
      </c>
      <c r="G29" s="125">
        <f>SUM(G27:G28)</f>
        <v>0</v>
      </c>
      <c r="H29" s="125">
        <f>SUM(H27:H28)</f>
        <v>0</v>
      </c>
      <c r="I29" s="125">
        <f>SUM(I27:I28)</f>
        <v>0</v>
      </c>
      <c r="J29" s="125">
        <f>SUM(J27:J28)</f>
        <v>0</v>
      </c>
      <c r="K29" s="125"/>
      <c r="L29" s="125"/>
      <c r="M29" s="125">
        <f>SUM(M27:M28)</f>
        <v>30369</v>
      </c>
      <c r="N29" s="88">
        <f t="shared" si="0"/>
        <v>77046</v>
      </c>
      <c r="O29" s="88">
        <f t="shared" si="1"/>
        <v>77074</v>
      </c>
    </row>
    <row r="30" spans="1:15" ht="13.5" customHeight="1" thickBot="1">
      <c r="A30" s="146" t="s">
        <v>6</v>
      </c>
      <c r="B30" s="292" t="s">
        <v>90</v>
      </c>
      <c r="C30" s="293"/>
      <c r="D30" s="125">
        <f>SUM(D25,D26,D29)</f>
        <v>7061200</v>
      </c>
      <c r="E30" s="125">
        <f>SUM(E25,E26,E29)</f>
        <v>6937951</v>
      </c>
      <c r="F30" s="125">
        <f aca="true" t="shared" si="4" ref="F30:L30">SUM(F25,F26,F29)</f>
        <v>6911210</v>
      </c>
      <c r="G30" s="125">
        <f t="shared" si="4"/>
        <v>0</v>
      </c>
      <c r="H30" s="125">
        <f t="shared" si="4"/>
        <v>85</v>
      </c>
      <c r="I30" s="125">
        <f t="shared" si="4"/>
        <v>85</v>
      </c>
      <c r="J30" s="125">
        <f t="shared" si="4"/>
        <v>0</v>
      </c>
      <c r="K30" s="125">
        <f t="shared" si="4"/>
        <v>0</v>
      </c>
      <c r="L30" s="125">
        <f t="shared" si="4"/>
        <v>7</v>
      </c>
      <c r="M30" s="125">
        <f>SUM(M25,M26,M29)</f>
        <v>7061200</v>
      </c>
      <c r="N30" s="88">
        <f t="shared" si="0"/>
        <v>6938036</v>
      </c>
      <c r="O30" s="88">
        <f t="shared" si="1"/>
        <v>6911302</v>
      </c>
    </row>
    <row r="31" spans="1:15" s="97" customFormat="1" ht="13.5" customHeight="1" thickBot="1">
      <c r="A31" s="290" t="s">
        <v>91</v>
      </c>
      <c r="B31" s="297"/>
      <c r="C31" s="291"/>
      <c r="D31" s="147">
        <f aca="true" t="shared" si="5" ref="D31:M31">SUM(D24,D30)</f>
        <v>24340645</v>
      </c>
      <c r="E31" s="147">
        <f t="shared" si="5"/>
        <v>25106988</v>
      </c>
      <c r="F31" s="147">
        <f t="shared" si="5"/>
        <v>25390468</v>
      </c>
      <c r="G31" s="147">
        <f t="shared" si="5"/>
        <v>1931549</v>
      </c>
      <c r="H31" s="147">
        <f>SUM(H24,H30)</f>
        <v>1954684</v>
      </c>
      <c r="I31" s="147">
        <f t="shared" si="5"/>
        <v>1899968</v>
      </c>
      <c r="J31" s="147">
        <f t="shared" si="5"/>
        <v>78605</v>
      </c>
      <c r="K31" s="147">
        <f t="shared" si="5"/>
        <v>85268</v>
      </c>
      <c r="L31" s="147">
        <f t="shared" si="5"/>
        <v>102100</v>
      </c>
      <c r="M31" s="125">
        <f t="shared" si="5"/>
        <v>26350799</v>
      </c>
      <c r="N31" s="88">
        <f t="shared" si="0"/>
        <v>27146940</v>
      </c>
      <c r="O31" s="88">
        <f t="shared" si="1"/>
        <v>27392536</v>
      </c>
    </row>
    <row r="32" spans="1:15" ht="12.75">
      <c r="A32" s="148"/>
      <c r="B32" s="149" t="s">
        <v>2</v>
      </c>
      <c r="C32" s="150" t="s">
        <v>107</v>
      </c>
      <c r="D32" s="151">
        <v>97101</v>
      </c>
      <c r="E32" s="151">
        <f>97101+194651</f>
        <v>291752</v>
      </c>
      <c r="F32" s="151">
        <v>291752</v>
      </c>
      <c r="G32" s="151">
        <v>51540</v>
      </c>
      <c r="H32" s="151">
        <f>51540+174520</f>
        <v>226060</v>
      </c>
      <c r="I32" s="151">
        <v>226059</v>
      </c>
      <c r="J32" s="151">
        <v>17813</v>
      </c>
      <c r="K32" s="151">
        <f>17813+17440</f>
        <v>35253</v>
      </c>
      <c r="L32" s="151">
        <v>35253</v>
      </c>
      <c r="M32" s="79">
        <f>SUM(G32,D32,J32)</f>
        <v>166454</v>
      </c>
      <c r="N32" s="79">
        <f t="shared" si="0"/>
        <v>553065</v>
      </c>
      <c r="O32" s="79">
        <f t="shared" si="1"/>
        <v>553064</v>
      </c>
    </row>
    <row r="33" spans="1:15" ht="12.75">
      <c r="A33" s="139"/>
      <c r="B33" s="152" t="s">
        <v>3</v>
      </c>
      <c r="C33" s="153" t="s">
        <v>92</v>
      </c>
      <c r="D33" s="154"/>
      <c r="E33" s="154"/>
      <c r="F33" s="154"/>
      <c r="G33" s="154">
        <v>4207666</v>
      </c>
      <c r="H33" s="154">
        <v>4332041</v>
      </c>
      <c r="I33" s="154">
        <v>4199245</v>
      </c>
      <c r="J33" s="154">
        <v>1615833</v>
      </c>
      <c r="K33" s="154">
        <v>1714797</v>
      </c>
      <c r="L33" s="154">
        <v>1527644</v>
      </c>
      <c r="M33" s="89">
        <f>SUM(G33,D33,J33)</f>
        <v>5823499</v>
      </c>
      <c r="N33" s="89">
        <f t="shared" si="0"/>
        <v>6046838</v>
      </c>
      <c r="O33" s="89">
        <f t="shared" si="1"/>
        <v>5726889</v>
      </c>
    </row>
    <row r="34" spans="1:15" ht="12.75">
      <c r="A34" s="139"/>
      <c r="B34" s="152" t="s">
        <v>4</v>
      </c>
      <c r="C34" s="153" t="s">
        <v>124</v>
      </c>
      <c r="D34" s="154">
        <v>362323</v>
      </c>
      <c r="E34" s="154">
        <v>362323</v>
      </c>
      <c r="F34" s="154">
        <v>362323</v>
      </c>
      <c r="G34" s="154"/>
      <c r="H34" s="154"/>
      <c r="I34" s="154"/>
      <c r="J34" s="154"/>
      <c r="K34" s="154"/>
      <c r="L34" s="154"/>
      <c r="M34" s="85">
        <f>SUM(G34,D34,J34)</f>
        <v>362323</v>
      </c>
      <c r="N34" s="85">
        <f t="shared" si="0"/>
        <v>362323</v>
      </c>
      <c r="O34" s="89">
        <f t="shared" si="1"/>
        <v>362323</v>
      </c>
    </row>
    <row r="35" spans="1:15" ht="13.5" thickBot="1">
      <c r="A35" s="158"/>
      <c r="B35" s="155" t="s">
        <v>165</v>
      </c>
      <c r="C35" s="156" t="s">
        <v>164</v>
      </c>
      <c r="D35" s="111"/>
      <c r="E35" s="111"/>
      <c r="F35" s="111">
        <v>110323</v>
      </c>
      <c r="G35" s="111"/>
      <c r="H35" s="111"/>
      <c r="I35" s="111"/>
      <c r="J35" s="111"/>
      <c r="K35" s="111"/>
      <c r="L35" s="111"/>
      <c r="M35" s="86"/>
      <c r="N35" s="86"/>
      <c r="O35" s="85">
        <f t="shared" si="1"/>
        <v>110323</v>
      </c>
    </row>
    <row r="36" spans="1:17" ht="13.5" thickBot="1">
      <c r="A36" s="157" t="s">
        <v>32</v>
      </c>
      <c r="B36" s="298" t="s">
        <v>93</v>
      </c>
      <c r="C36" s="298"/>
      <c r="D36" s="125">
        <f aca="true" t="shared" si="6" ref="D36:M36">SUM(D32:D34)</f>
        <v>459424</v>
      </c>
      <c r="E36" s="125">
        <f t="shared" si="6"/>
        <v>654075</v>
      </c>
      <c r="F36" s="125">
        <f>SUM(F32:F35)</f>
        <v>764398</v>
      </c>
      <c r="G36" s="125">
        <f t="shared" si="6"/>
        <v>4259206</v>
      </c>
      <c r="H36" s="125">
        <f t="shared" si="6"/>
        <v>4558101</v>
      </c>
      <c r="I36" s="125">
        <f t="shared" si="6"/>
        <v>4425304</v>
      </c>
      <c r="J36" s="125">
        <f t="shared" si="6"/>
        <v>1633646</v>
      </c>
      <c r="K36" s="125">
        <f t="shared" si="6"/>
        <v>1750050</v>
      </c>
      <c r="L36" s="125">
        <f t="shared" si="6"/>
        <v>1562897</v>
      </c>
      <c r="M36" s="125">
        <f t="shared" si="6"/>
        <v>6352276</v>
      </c>
      <c r="N36" s="88">
        <f t="shared" si="0"/>
        <v>6962226</v>
      </c>
      <c r="O36" s="88">
        <f t="shared" si="1"/>
        <v>6752599</v>
      </c>
      <c r="Q36" s="75"/>
    </row>
    <row r="37" spans="1:15" ht="12.75">
      <c r="A37" s="148"/>
      <c r="B37" s="149" t="s">
        <v>2</v>
      </c>
      <c r="C37" s="150" t="s">
        <v>107</v>
      </c>
      <c r="D37" s="151">
        <v>7583500</v>
      </c>
      <c r="E37" s="151">
        <f>7583500+4895314</f>
        <v>12478814</v>
      </c>
      <c r="F37" s="151">
        <f>12770567-291752-1</f>
        <v>12478814</v>
      </c>
      <c r="G37" s="151"/>
      <c r="H37" s="151">
        <v>17758</v>
      </c>
      <c r="I37" s="151">
        <v>17758</v>
      </c>
      <c r="J37" s="151"/>
      <c r="K37" s="151"/>
      <c r="L37" s="151"/>
      <c r="M37" s="79">
        <f>SUM(D37,G37,J37)</f>
        <v>7583500</v>
      </c>
      <c r="N37" s="79">
        <f t="shared" si="0"/>
        <v>12496572</v>
      </c>
      <c r="O37" s="79">
        <f t="shared" si="1"/>
        <v>12496572</v>
      </c>
    </row>
    <row r="38" spans="1:17" ht="12.75">
      <c r="A38" s="139"/>
      <c r="B38" s="152" t="s">
        <v>3</v>
      </c>
      <c r="C38" s="153" t="s">
        <v>92</v>
      </c>
      <c r="D38" s="154"/>
      <c r="E38" s="154"/>
      <c r="F38" s="154"/>
      <c r="G38" s="154">
        <v>176020</v>
      </c>
      <c r="H38" s="154">
        <v>182763</v>
      </c>
      <c r="I38" s="154">
        <v>177062</v>
      </c>
      <c r="J38" s="154">
        <v>11295</v>
      </c>
      <c r="K38" s="154">
        <v>15322</v>
      </c>
      <c r="L38" s="154">
        <v>9927</v>
      </c>
      <c r="M38" s="89">
        <f>SUM(D38,G38,J38)</f>
        <v>187315</v>
      </c>
      <c r="N38" s="89">
        <f t="shared" si="0"/>
        <v>198085</v>
      </c>
      <c r="O38" s="89">
        <f t="shared" si="1"/>
        <v>186989</v>
      </c>
      <c r="Q38" s="75"/>
    </row>
    <row r="39" spans="1:17" ht="13.5" thickBot="1">
      <c r="A39" s="447"/>
      <c r="B39" s="152" t="s">
        <v>4</v>
      </c>
      <c r="C39" s="153" t="s">
        <v>124</v>
      </c>
      <c r="D39" s="154">
        <v>2097677</v>
      </c>
      <c r="E39" s="154">
        <f>2097677+6000000</f>
        <v>8097677</v>
      </c>
      <c r="F39" s="154">
        <f>2460000-362323</f>
        <v>2097677</v>
      </c>
      <c r="G39" s="154"/>
      <c r="H39" s="154"/>
      <c r="I39" s="154"/>
      <c r="J39" s="154"/>
      <c r="K39" s="154"/>
      <c r="L39" s="154"/>
      <c r="M39" s="85">
        <f>SUM(D39,G39,J39)</f>
        <v>2097677</v>
      </c>
      <c r="N39" s="85">
        <f t="shared" si="0"/>
        <v>8097677</v>
      </c>
      <c r="O39" s="85">
        <f t="shared" si="1"/>
        <v>2097677</v>
      </c>
      <c r="Q39" s="75"/>
    </row>
    <row r="40" spans="1:17" ht="13.5" thickBot="1">
      <c r="A40" s="157" t="s">
        <v>33</v>
      </c>
      <c r="B40" s="298" t="s">
        <v>94</v>
      </c>
      <c r="C40" s="298"/>
      <c r="D40" s="125">
        <f>SUM(D37:D39)</f>
        <v>9681177</v>
      </c>
      <c r="E40" s="125">
        <f>SUM(E37:E39)</f>
        <v>20576491</v>
      </c>
      <c r="F40" s="125">
        <f>SUM(F37:F39)</f>
        <v>14576491</v>
      </c>
      <c r="G40" s="125">
        <f>SUM(G37:G39)</f>
        <v>176020</v>
      </c>
      <c r="H40" s="125">
        <f>SUM(H37:H39)</f>
        <v>200521</v>
      </c>
      <c r="I40" s="125">
        <f>SUM(I37:I39)</f>
        <v>194820</v>
      </c>
      <c r="J40" s="125">
        <f>SUM(J37:J39)</f>
        <v>11295</v>
      </c>
      <c r="K40" s="125">
        <f>SUM(K37:K39)</f>
        <v>15322</v>
      </c>
      <c r="L40" s="125">
        <f>SUM(L37:L39)</f>
        <v>9927</v>
      </c>
      <c r="M40" s="125">
        <f>SUM(M37:M39)</f>
        <v>9868492</v>
      </c>
      <c r="N40" s="88">
        <f t="shared" si="0"/>
        <v>20792334</v>
      </c>
      <c r="O40" s="88">
        <f t="shared" si="1"/>
        <v>14781238</v>
      </c>
      <c r="Q40" s="75"/>
    </row>
    <row r="41" spans="1:17" ht="13.5" thickBot="1">
      <c r="A41" s="295" t="s">
        <v>114</v>
      </c>
      <c r="B41" s="296"/>
      <c r="C41" s="299"/>
      <c r="D41" s="125">
        <f>SUM(D40,D36)</f>
        <v>10140601</v>
      </c>
      <c r="E41" s="125">
        <f>SUM(E40,E36)</f>
        <v>21230566</v>
      </c>
      <c r="F41" s="125">
        <f>SUM(F40,F36)</f>
        <v>15340889</v>
      </c>
      <c r="G41" s="125">
        <f>SUM(G40,G36)</f>
        <v>4435226</v>
      </c>
      <c r="H41" s="125">
        <f>SUM(H40,H36)</f>
        <v>4758622</v>
      </c>
      <c r="I41" s="125">
        <f>SUM(I40,I36)</f>
        <v>4620124</v>
      </c>
      <c r="J41" s="125">
        <f>SUM(J40,J36)</f>
        <v>1644941</v>
      </c>
      <c r="K41" s="125">
        <f>SUM(K40,K36)</f>
        <v>1765372</v>
      </c>
      <c r="L41" s="125">
        <f>SUM(L40,L36)</f>
        <v>1572824</v>
      </c>
      <c r="M41" s="125">
        <f>SUM(M40,M36)</f>
        <v>16220768</v>
      </c>
      <c r="N41" s="88">
        <f t="shared" si="0"/>
        <v>27754560</v>
      </c>
      <c r="O41" s="88">
        <f t="shared" si="1"/>
        <v>21533837</v>
      </c>
      <c r="Q41" s="75"/>
    </row>
    <row r="42" spans="1:15" s="159" customFormat="1" ht="13.5" thickBot="1">
      <c r="A42" s="295" t="s">
        <v>95</v>
      </c>
      <c r="B42" s="296"/>
      <c r="C42" s="299"/>
      <c r="D42" s="125">
        <f>SUM(D31,D36,D40)</f>
        <v>34481246</v>
      </c>
      <c r="E42" s="125">
        <f>SUM(E31,E36,E40)</f>
        <v>46337554</v>
      </c>
      <c r="F42" s="125">
        <f>SUM(F31,F36,F40)</f>
        <v>40731357</v>
      </c>
      <c r="G42" s="125">
        <f>SUM(G31,G36,G40)</f>
        <v>6366775</v>
      </c>
      <c r="H42" s="125">
        <f>SUM(H31,H36,H40)</f>
        <v>6713306</v>
      </c>
      <c r="I42" s="125">
        <f>SUM(I31,I36,I40)</f>
        <v>6520092</v>
      </c>
      <c r="J42" s="125">
        <f>SUM(J31,J36,J40)</f>
        <v>1723546</v>
      </c>
      <c r="K42" s="125">
        <f>SUM(K31,K36,K40)</f>
        <v>1850640</v>
      </c>
      <c r="L42" s="125">
        <f>SUM(L31,L36,L40)</f>
        <v>1674924</v>
      </c>
      <c r="M42" s="125">
        <f>SUM(M31,M36,M40)</f>
        <v>42571567</v>
      </c>
      <c r="N42" s="88">
        <f t="shared" si="0"/>
        <v>54901500</v>
      </c>
      <c r="O42" s="88">
        <f t="shared" si="1"/>
        <v>48926373</v>
      </c>
    </row>
    <row r="43" spans="1:15" ht="13.5" thickBot="1">
      <c r="A43" s="160"/>
      <c r="B43" s="288" t="s">
        <v>96</v>
      </c>
      <c r="C43" s="300"/>
      <c r="D43" s="161"/>
      <c r="E43" s="161"/>
      <c r="F43" s="161"/>
      <c r="G43" s="161"/>
      <c r="H43" s="161"/>
      <c r="I43" s="161"/>
      <c r="J43" s="161"/>
      <c r="K43" s="151"/>
      <c r="L43" s="151"/>
      <c r="M43" s="79">
        <f>-SUM(M33,M38)</f>
        <v>-6010814</v>
      </c>
      <c r="N43" s="79">
        <f>-SUM(N33,N38)</f>
        <v>-6244923</v>
      </c>
      <c r="O43" s="79">
        <f>-SUM(O33,O38)</f>
        <v>-5913878</v>
      </c>
    </row>
    <row r="44" spans="1:15" ht="13.5" thickBot="1">
      <c r="A44" s="160"/>
      <c r="B44" s="288" t="s">
        <v>98</v>
      </c>
      <c r="C44" s="300"/>
      <c r="D44" s="161"/>
      <c r="E44" s="161"/>
      <c r="F44" s="161"/>
      <c r="G44" s="161"/>
      <c r="H44" s="161"/>
      <c r="I44" s="161"/>
      <c r="J44" s="161"/>
      <c r="K44" s="151"/>
      <c r="L44" s="151"/>
      <c r="M44" s="79">
        <v>-670000</v>
      </c>
      <c r="N44" s="88">
        <v>-670000</v>
      </c>
      <c r="O44" s="88">
        <v>-504825</v>
      </c>
    </row>
    <row r="45" spans="1:15" s="159" customFormat="1" ht="13.5" thickBot="1">
      <c r="A45" s="295" t="s">
        <v>97</v>
      </c>
      <c r="B45" s="296"/>
      <c r="C45" s="296"/>
      <c r="D45" s="125">
        <f aca="true" t="shared" si="7" ref="D45:L45">SUM(D42:D43)</f>
        <v>34481246</v>
      </c>
      <c r="E45" s="125">
        <f t="shared" si="7"/>
        <v>46337554</v>
      </c>
      <c r="F45" s="125">
        <f t="shared" si="7"/>
        <v>40731357</v>
      </c>
      <c r="G45" s="125">
        <f t="shared" si="7"/>
        <v>6366775</v>
      </c>
      <c r="H45" s="125">
        <f t="shared" si="7"/>
        <v>6713306</v>
      </c>
      <c r="I45" s="125">
        <f t="shared" si="7"/>
        <v>6520092</v>
      </c>
      <c r="J45" s="125">
        <f t="shared" si="7"/>
        <v>1723546</v>
      </c>
      <c r="K45" s="125">
        <f t="shared" si="7"/>
        <v>1850640</v>
      </c>
      <c r="L45" s="125">
        <f t="shared" si="7"/>
        <v>1674924</v>
      </c>
      <c r="M45" s="125">
        <f>SUM(M42:M44)</f>
        <v>35890753</v>
      </c>
      <c r="N45" s="125">
        <f>SUM(N42:N44)</f>
        <v>47986577</v>
      </c>
      <c r="O45" s="125">
        <f>SUM(O42:O44)</f>
        <v>42507670</v>
      </c>
    </row>
    <row r="46" spans="1:12" s="159" customFormat="1" ht="12.75">
      <c r="A46" s="162"/>
      <c r="B46" s="162"/>
      <c r="C46" s="162"/>
      <c r="D46" s="163"/>
      <c r="E46" s="163"/>
      <c r="F46" s="163"/>
      <c r="G46" s="163"/>
      <c r="H46" s="163"/>
      <c r="I46" s="163"/>
      <c r="J46" s="163"/>
      <c r="K46" s="163"/>
      <c r="L46" s="163"/>
    </row>
    <row r="47" spans="2:14" ht="12.75">
      <c r="B47" s="98"/>
      <c r="J47" s="99"/>
      <c r="K47" s="99"/>
      <c r="L47" s="99"/>
      <c r="M47" s="75"/>
      <c r="N47" s="75"/>
    </row>
    <row r="48" spans="2:14" ht="12.75">
      <c r="B48" s="98"/>
      <c r="M48" s="75"/>
      <c r="N48" s="75"/>
    </row>
    <row r="49" spans="2:11" ht="12.75">
      <c r="B49" s="98"/>
      <c r="J49" s="99"/>
      <c r="K49" s="99"/>
    </row>
    <row r="50" spans="2:14" ht="12.75">
      <c r="B50" s="98"/>
      <c r="M50" s="75"/>
      <c r="N50" s="75"/>
    </row>
    <row r="51" ht="12.75">
      <c r="B51" s="98"/>
    </row>
    <row r="52" spans="2:14" ht="12.75">
      <c r="B52" s="98"/>
      <c r="M52" s="75"/>
      <c r="N52" s="75"/>
    </row>
    <row r="53" ht="12.75">
      <c r="B53" s="98"/>
    </row>
    <row r="54" ht="12.75">
      <c r="B54" s="98"/>
    </row>
    <row r="55" ht="12.75">
      <c r="B55" s="98"/>
    </row>
    <row r="56" ht="12.75">
      <c r="B56" s="98"/>
    </row>
    <row r="57" ht="12.75">
      <c r="B57" s="98"/>
    </row>
    <row r="58" ht="12.75">
      <c r="B58" s="98"/>
    </row>
    <row r="59" ht="12.75">
      <c r="B59" s="98"/>
    </row>
    <row r="60" ht="12.75">
      <c r="B60" s="98"/>
    </row>
    <row r="61" ht="12.75">
      <c r="B61" s="98"/>
    </row>
    <row r="62" ht="12.75">
      <c r="B62" s="98"/>
    </row>
    <row r="63" ht="12.75">
      <c r="B63" s="98"/>
    </row>
    <row r="64" ht="12.75">
      <c r="B64" s="98"/>
    </row>
    <row r="65" ht="12.75">
      <c r="B65" s="98"/>
    </row>
    <row r="66" ht="12.75">
      <c r="B66" s="98"/>
    </row>
    <row r="67" ht="12.75">
      <c r="B67" s="98"/>
    </row>
    <row r="68" ht="12.75">
      <c r="B68" s="98"/>
    </row>
    <row r="69" ht="12.75">
      <c r="B69" s="98"/>
    </row>
    <row r="70" ht="12.75">
      <c r="B70" s="98"/>
    </row>
    <row r="71" ht="12.75">
      <c r="B71" s="98"/>
    </row>
    <row r="72" ht="12.75">
      <c r="B72" s="98"/>
    </row>
    <row r="73" ht="12.75">
      <c r="B73" s="98"/>
    </row>
    <row r="74" ht="12.75">
      <c r="B74" s="98"/>
    </row>
    <row r="75" ht="12.75">
      <c r="B75" s="98"/>
    </row>
    <row r="76" ht="12.75">
      <c r="B76" s="98"/>
    </row>
    <row r="77" ht="12.75">
      <c r="B77" s="98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8"/>
    </row>
    <row r="84" ht="12.75">
      <c r="B84" s="98"/>
    </row>
    <row r="85" ht="12.75">
      <c r="B85" s="98"/>
    </row>
    <row r="86" ht="12.75">
      <c r="B86" s="98"/>
    </row>
    <row r="87" ht="12.75">
      <c r="B87" s="98"/>
    </row>
  </sheetData>
  <sheetProtection/>
  <mergeCells count="19">
    <mergeCell ref="G5:I5"/>
    <mergeCell ref="M5:O5"/>
    <mergeCell ref="A45:C45"/>
    <mergeCell ref="A31:C31"/>
    <mergeCell ref="B36:C36"/>
    <mergeCell ref="B40:C40"/>
    <mergeCell ref="A42:C42"/>
    <mergeCell ref="B43:C43"/>
    <mergeCell ref="B44:C44"/>
    <mergeCell ref="A41:C41"/>
    <mergeCell ref="D5:F5"/>
    <mergeCell ref="G1:O1"/>
    <mergeCell ref="J4:O4"/>
    <mergeCell ref="A5:C6"/>
    <mergeCell ref="A7:C7"/>
    <mergeCell ref="B24:C24"/>
    <mergeCell ref="B30:C30"/>
    <mergeCell ref="J5:L5"/>
    <mergeCell ref="A2:O2"/>
  </mergeCells>
  <printOptions/>
  <pageMargins left="0.4724409448818898" right="0.15748031496062992" top="0.2755905511811024" bottom="0.2755905511811024" header="0.4330708661417323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PageLayoutView="0" workbookViewId="0" topLeftCell="A25">
      <selection activeCell="O60" sqref="O60"/>
    </sheetView>
  </sheetViews>
  <sheetFormatPr defaultColWidth="9.00390625" defaultRowHeight="12.75"/>
  <cols>
    <col min="1" max="1" width="4.25390625" style="27" customWidth="1"/>
    <col min="2" max="2" width="56.125" style="27" customWidth="1"/>
    <col min="3" max="3" width="8.375" style="27" customWidth="1"/>
    <col min="4" max="4" width="8.125" style="27" customWidth="1"/>
    <col min="5" max="6" width="9.25390625" style="27" customWidth="1"/>
    <col min="7" max="7" width="9.125" style="27" customWidth="1"/>
    <col min="8" max="10" width="9.25390625" style="27" customWidth="1"/>
    <col min="11" max="11" width="9.25390625" style="75" customWidth="1"/>
    <col min="12" max="12" width="9.375" style="75" customWidth="1"/>
    <col min="13" max="13" width="9.125" style="75" customWidth="1"/>
    <col min="14" max="16" width="9.25390625" style="75" customWidth="1"/>
    <col min="17" max="22" width="9.125" style="75" customWidth="1"/>
    <col min="23" max="16384" width="9.125" style="27" customWidth="1"/>
  </cols>
  <sheetData>
    <row r="1" spans="1:15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O1" s="193" t="s">
        <v>119</v>
      </c>
    </row>
    <row r="2" spans="1:16" ht="23.25" customHeight="1">
      <c r="A2" s="302" t="s">
        <v>152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 customHeight="1" thickBot="1">
      <c r="A3" s="194"/>
      <c r="B3" s="194"/>
      <c r="C3" s="194"/>
      <c r="D3" s="194"/>
      <c r="E3" s="194"/>
      <c r="F3" s="194"/>
      <c r="G3" s="194"/>
      <c r="H3" s="194"/>
      <c r="I3" s="301"/>
      <c r="J3" s="301"/>
      <c r="K3" s="301"/>
      <c r="L3" s="301"/>
      <c r="M3" s="301" t="s">
        <v>0</v>
      </c>
      <c r="N3" s="301"/>
      <c r="O3" s="301"/>
      <c r="P3" s="301"/>
    </row>
    <row r="4" spans="1:26" s="367" customFormat="1" ht="30.75" customHeight="1" thickBot="1">
      <c r="A4" s="357" t="s">
        <v>1</v>
      </c>
      <c r="B4" s="358"/>
      <c r="C4" s="359" t="s">
        <v>115</v>
      </c>
      <c r="D4" s="360"/>
      <c r="E4" s="360"/>
      <c r="F4" s="360"/>
      <c r="G4" s="358"/>
      <c r="H4" s="361" t="s">
        <v>105</v>
      </c>
      <c r="I4" s="362"/>
      <c r="J4" s="363"/>
      <c r="K4" s="361" t="s">
        <v>106</v>
      </c>
      <c r="L4" s="362"/>
      <c r="M4" s="362"/>
      <c r="N4" s="393" t="s">
        <v>19</v>
      </c>
      <c r="O4" s="394"/>
      <c r="P4" s="395"/>
      <c r="Q4" s="364"/>
      <c r="R4" s="365"/>
      <c r="S4" s="364"/>
      <c r="T4" s="364"/>
      <c r="U4" s="366"/>
      <c r="V4" s="366"/>
      <c r="W4" s="366"/>
      <c r="X4" s="366"/>
      <c r="Y4" s="366"/>
      <c r="Z4" s="366"/>
    </row>
    <row r="5" spans="1:26" s="367" customFormat="1" ht="21.75" customHeight="1" thickBot="1">
      <c r="A5" s="368"/>
      <c r="B5" s="369"/>
      <c r="C5" s="357" t="s">
        <v>38</v>
      </c>
      <c r="D5" s="358"/>
      <c r="E5" s="370" t="s">
        <v>160</v>
      </c>
      <c r="F5" s="371" t="s">
        <v>130</v>
      </c>
      <c r="G5" s="382" t="s">
        <v>161</v>
      </c>
      <c r="H5" s="370" t="s">
        <v>160</v>
      </c>
      <c r="I5" s="371" t="s">
        <v>130</v>
      </c>
      <c r="J5" s="382" t="s">
        <v>161</v>
      </c>
      <c r="K5" s="370" t="s">
        <v>160</v>
      </c>
      <c r="L5" s="371" t="s">
        <v>130</v>
      </c>
      <c r="M5" s="409" t="s">
        <v>161</v>
      </c>
      <c r="N5" s="396" t="s">
        <v>160</v>
      </c>
      <c r="O5" s="371" t="s">
        <v>130</v>
      </c>
      <c r="P5" s="410" t="s">
        <v>161</v>
      </c>
      <c r="Q5" s="364"/>
      <c r="R5" s="365"/>
      <c r="S5" s="364"/>
      <c r="T5" s="364"/>
      <c r="U5" s="366"/>
      <c r="V5" s="366"/>
      <c r="W5" s="366"/>
      <c r="X5" s="366"/>
      <c r="Y5" s="366"/>
      <c r="Z5" s="366"/>
    </row>
    <row r="6" spans="1:26" s="367" customFormat="1" ht="13.5" customHeight="1" thickBot="1">
      <c r="A6" s="372">
        <v>1</v>
      </c>
      <c r="B6" s="363"/>
      <c r="C6" s="373">
        <v>2</v>
      </c>
      <c r="D6" s="373">
        <v>3</v>
      </c>
      <c r="E6" s="374">
        <v>4</v>
      </c>
      <c r="F6" s="374">
        <v>5</v>
      </c>
      <c r="G6" s="374">
        <v>6</v>
      </c>
      <c r="H6" s="374">
        <v>7</v>
      </c>
      <c r="I6" s="374">
        <v>8</v>
      </c>
      <c r="J6" s="374">
        <v>9</v>
      </c>
      <c r="K6" s="374">
        <v>10</v>
      </c>
      <c r="L6" s="381">
        <v>11</v>
      </c>
      <c r="M6" s="387">
        <v>12</v>
      </c>
      <c r="N6" s="383">
        <v>13</v>
      </c>
      <c r="O6" s="384">
        <v>14</v>
      </c>
      <c r="P6" s="385">
        <v>15</v>
      </c>
      <c r="Q6" s="364"/>
      <c r="R6" s="365"/>
      <c r="S6" s="364"/>
      <c r="T6" s="364"/>
      <c r="U6" s="366"/>
      <c r="V6" s="366"/>
      <c r="W6" s="366"/>
      <c r="X6" s="366"/>
      <c r="Y6" s="366"/>
      <c r="Z6" s="366"/>
    </row>
    <row r="7" spans="1:22" s="205" customFormat="1" ht="13.5" customHeight="1">
      <c r="A7" s="206"/>
      <c r="B7" s="207" t="s">
        <v>39</v>
      </c>
      <c r="C7" s="208">
        <v>70.48</v>
      </c>
      <c r="D7" s="208">
        <v>70.48</v>
      </c>
      <c r="E7" s="209">
        <v>322798</v>
      </c>
      <c r="F7" s="209">
        <v>322798</v>
      </c>
      <c r="G7" s="209">
        <v>322798</v>
      </c>
      <c r="H7" s="210"/>
      <c r="I7" s="211"/>
      <c r="J7" s="211"/>
      <c r="K7" s="151"/>
      <c r="L7" s="375"/>
      <c r="M7" s="388"/>
      <c r="N7" s="397">
        <f>SUM(E7,H7,K7)</f>
        <v>322798</v>
      </c>
      <c r="O7" s="397">
        <f>SUM(F7,I7,L7)</f>
        <v>322798</v>
      </c>
      <c r="P7" s="398">
        <f>SUM(G7,J7,M7)</f>
        <v>322798</v>
      </c>
      <c r="Q7" s="274"/>
      <c r="R7" s="274">
        <f aca="true" t="shared" si="0" ref="R7:R15">SUM(G7-E7)</f>
        <v>0</v>
      </c>
      <c r="S7" s="274"/>
      <c r="T7" s="274"/>
      <c r="U7" s="274"/>
      <c r="V7" s="274"/>
    </row>
    <row r="8" spans="1:22" s="205" customFormat="1" ht="13.5" customHeight="1">
      <c r="A8" s="212"/>
      <c r="B8" s="204" t="s">
        <v>101</v>
      </c>
      <c r="C8" s="213"/>
      <c r="D8" s="213"/>
      <c r="E8" s="214">
        <v>1581589</v>
      </c>
      <c r="F8" s="214">
        <v>1581589</v>
      </c>
      <c r="G8" s="214">
        <v>1581589</v>
      </c>
      <c r="H8" s="214"/>
      <c r="I8" s="215"/>
      <c r="J8" s="215"/>
      <c r="K8" s="154"/>
      <c r="L8" s="376"/>
      <c r="M8" s="389"/>
      <c r="N8" s="397">
        <f aca="true" t="shared" si="1" ref="N8:N53">SUM(E8,H8,K8)</f>
        <v>1581589</v>
      </c>
      <c r="O8" s="397">
        <f aca="true" t="shared" si="2" ref="O8:O53">SUM(F8,I8,L8)</f>
        <v>1581589</v>
      </c>
      <c r="P8" s="398">
        <f aca="true" t="shared" si="3" ref="P8:P53">SUM(G8,J8,M8)</f>
        <v>1581589</v>
      </c>
      <c r="Q8" s="274"/>
      <c r="R8" s="274">
        <f t="shared" si="0"/>
        <v>0</v>
      </c>
      <c r="S8" s="274"/>
      <c r="T8" s="274"/>
      <c r="U8" s="274"/>
      <c r="V8" s="274"/>
    </row>
    <row r="9" spans="1:22" s="205" customFormat="1" ht="13.5" customHeight="1" thickBot="1">
      <c r="A9" s="216"/>
      <c r="B9" s="217" t="s">
        <v>137</v>
      </c>
      <c r="C9" s="218"/>
      <c r="D9" s="218"/>
      <c r="E9" s="190"/>
      <c r="F9" s="190">
        <f>6091+500</f>
        <v>6591</v>
      </c>
      <c r="G9" s="190">
        <f>6091+500</f>
        <v>6591</v>
      </c>
      <c r="H9" s="190"/>
      <c r="I9" s="219"/>
      <c r="J9" s="219"/>
      <c r="K9" s="154"/>
      <c r="L9" s="376"/>
      <c r="M9" s="390"/>
      <c r="N9" s="399">
        <f t="shared" si="1"/>
        <v>0</v>
      </c>
      <c r="O9" s="399">
        <f t="shared" si="2"/>
        <v>6591</v>
      </c>
      <c r="P9" s="400">
        <f t="shared" si="3"/>
        <v>6591</v>
      </c>
      <c r="Q9" s="274"/>
      <c r="R9" s="274">
        <f t="shared" si="0"/>
        <v>6591</v>
      </c>
      <c r="S9" s="274"/>
      <c r="T9" s="274"/>
      <c r="U9" s="274"/>
      <c r="V9" s="274"/>
    </row>
    <row r="10" spans="1:22" s="205" customFormat="1" ht="15" customHeight="1" thickBot="1">
      <c r="A10" s="220" t="s">
        <v>50</v>
      </c>
      <c r="B10" s="221" t="s">
        <v>23</v>
      </c>
      <c r="C10" s="222"/>
      <c r="D10" s="222"/>
      <c r="E10" s="168">
        <f>SUM(E7:E9)</f>
        <v>1904387</v>
      </c>
      <c r="F10" s="168">
        <f>SUM(F7:F9)</f>
        <v>1910978</v>
      </c>
      <c r="G10" s="168">
        <f>SUM(G7:G9)</f>
        <v>1910978</v>
      </c>
      <c r="H10" s="168"/>
      <c r="I10" s="168">
        <f>SUM(I7:I8)</f>
        <v>0</v>
      </c>
      <c r="J10" s="168"/>
      <c r="K10" s="223">
        <f>SUM(K7:K9)</f>
        <v>0</v>
      </c>
      <c r="L10" s="168">
        <f>SUM(L7:L9)</f>
        <v>0</v>
      </c>
      <c r="M10" s="391">
        <f>SUM(M7:M9)</f>
        <v>0</v>
      </c>
      <c r="N10" s="402">
        <f t="shared" si="1"/>
        <v>1904387</v>
      </c>
      <c r="O10" s="402">
        <f t="shared" si="2"/>
        <v>1910978</v>
      </c>
      <c r="P10" s="403">
        <f t="shared" si="3"/>
        <v>1910978</v>
      </c>
      <c r="Q10" s="274"/>
      <c r="R10" s="274">
        <f t="shared" si="0"/>
        <v>6591</v>
      </c>
      <c r="S10" s="274"/>
      <c r="T10" s="274"/>
      <c r="U10" s="274"/>
      <c r="V10" s="274"/>
    </row>
    <row r="11" spans="1:22" s="205" customFormat="1" ht="13.5" customHeight="1">
      <c r="A11" s="224"/>
      <c r="B11" s="225" t="s">
        <v>25</v>
      </c>
      <c r="C11" s="226">
        <v>42.7</v>
      </c>
      <c r="D11" s="226">
        <v>42.7</v>
      </c>
      <c r="E11" s="191">
        <v>186663</v>
      </c>
      <c r="F11" s="191">
        <v>183748</v>
      </c>
      <c r="G11" s="191">
        <v>183748</v>
      </c>
      <c r="H11" s="227"/>
      <c r="I11" s="228"/>
      <c r="J11" s="228"/>
      <c r="K11" s="229"/>
      <c r="L11" s="377"/>
      <c r="M11" s="388"/>
      <c r="N11" s="397">
        <f t="shared" si="1"/>
        <v>186663</v>
      </c>
      <c r="O11" s="397">
        <f t="shared" si="2"/>
        <v>183748</v>
      </c>
      <c r="P11" s="398">
        <f t="shared" si="3"/>
        <v>183748</v>
      </c>
      <c r="Q11" s="274"/>
      <c r="R11" s="274">
        <f t="shared" si="0"/>
        <v>-2915</v>
      </c>
      <c r="S11" s="274"/>
      <c r="T11" s="274"/>
      <c r="U11" s="274"/>
      <c r="V11" s="274"/>
    </row>
    <row r="12" spans="1:22" s="205" customFormat="1" ht="13.5" customHeight="1">
      <c r="A12" s="230"/>
      <c r="B12" s="231" t="s">
        <v>26</v>
      </c>
      <c r="C12" s="232">
        <v>30</v>
      </c>
      <c r="D12" s="232">
        <v>30</v>
      </c>
      <c r="E12" s="165">
        <v>66150</v>
      </c>
      <c r="F12" s="165">
        <v>66150</v>
      </c>
      <c r="G12" s="165">
        <v>66150</v>
      </c>
      <c r="H12" s="202"/>
      <c r="I12" s="233"/>
      <c r="J12" s="233"/>
      <c r="K12" s="234"/>
      <c r="L12" s="165"/>
      <c r="M12" s="389"/>
      <c r="N12" s="397">
        <f t="shared" si="1"/>
        <v>66150</v>
      </c>
      <c r="O12" s="397">
        <f t="shared" si="2"/>
        <v>66150</v>
      </c>
      <c r="P12" s="398">
        <f t="shared" si="3"/>
        <v>66150</v>
      </c>
      <c r="Q12" s="274"/>
      <c r="R12" s="274">
        <f t="shared" si="0"/>
        <v>0</v>
      </c>
      <c r="S12" s="274"/>
      <c r="T12" s="274"/>
      <c r="U12" s="274"/>
      <c r="V12" s="274"/>
    </row>
    <row r="13" spans="1:22" s="205" customFormat="1" ht="13.5" customHeight="1">
      <c r="A13" s="230"/>
      <c r="B13" s="235" t="s">
        <v>27</v>
      </c>
      <c r="C13" s="236"/>
      <c r="D13" s="236"/>
      <c r="E13" s="195">
        <v>46622</v>
      </c>
      <c r="F13" s="195">
        <v>45552</v>
      </c>
      <c r="G13" s="195">
        <v>45552</v>
      </c>
      <c r="H13" s="237"/>
      <c r="I13" s="238"/>
      <c r="J13" s="238"/>
      <c r="K13" s="234"/>
      <c r="L13" s="165"/>
      <c r="M13" s="389"/>
      <c r="N13" s="397">
        <f t="shared" si="1"/>
        <v>46622</v>
      </c>
      <c r="O13" s="397">
        <f t="shared" si="2"/>
        <v>45552</v>
      </c>
      <c r="P13" s="398">
        <f t="shared" si="3"/>
        <v>45552</v>
      </c>
      <c r="Q13" s="274"/>
      <c r="R13" s="274">
        <f t="shared" si="0"/>
        <v>-1070</v>
      </c>
      <c r="S13" s="274"/>
      <c r="T13" s="274"/>
      <c r="U13" s="274"/>
      <c r="V13" s="274"/>
    </row>
    <row r="14" spans="1:22" s="205" customFormat="1" ht="13.5" customHeight="1" thickBot="1">
      <c r="A14" s="239"/>
      <c r="B14" s="235" t="s">
        <v>117</v>
      </c>
      <c r="C14" s="236">
        <v>18</v>
      </c>
      <c r="D14" s="236">
        <v>18</v>
      </c>
      <c r="E14" s="195">
        <v>12394</v>
      </c>
      <c r="F14" s="195">
        <v>12354</v>
      </c>
      <c r="G14" s="195">
        <v>12354</v>
      </c>
      <c r="H14" s="237"/>
      <c r="I14" s="238"/>
      <c r="J14" s="238"/>
      <c r="K14" s="234"/>
      <c r="L14" s="165"/>
      <c r="M14" s="389"/>
      <c r="N14" s="399">
        <f t="shared" si="1"/>
        <v>12394</v>
      </c>
      <c r="O14" s="399">
        <f t="shared" si="2"/>
        <v>12354</v>
      </c>
      <c r="P14" s="400">
        <f t="shared" si="3"/>
        <v>12354</v>
      </c>
      <c r="Q14" s="274"/>
      <c r="R14" s="274">
        <f t="shared" si="0"/>
        <v>-40</v>
      </c>
      <c r="S14" s="274"/>
      <c r="T14" s="274"/>
      <c r="U14" s="274"/>
      <c r="V14" s="274"/>
    </row>
    <row r="15" spans="1:22" s="205" customFormat="1" ht="15" customHeight="1" thickBot="1">
      <c r="A15" s="220" t="s">
        <v>51</v>
      </c>
      <c r="B15" s="221" t="s">
        <v>40</v>
      </c>
      <c r="C15" s="222"/>
      <c r="D15" s="222"/>
      <c r="E15" s="168">
        <f>SUM(E11:E14)</f>
        <v>311829</v>
      </c>
      <c r="F15" s="168">
        <f>SUM(F11:F14)</f>
        <v>307804</v>
      </c>
      <c r="G15" s="168">
        <f>SUM(G11:G14)</f>
        <v>307804</v>
      </c>
      <c r="H15" s="168"/>
      <c r="I15" s="168"/>
      <c r="J15" s="168"/>
      <c r="K15" s="223">
        <f>SUM(K11:K14)</f>
        <v>0</v>
      </c>
      <c r="L15" s="168">
        <f>SUM(L11:L14)</f>
        <v>0</v>
      </c>
      <c r="M15" s="168">
        <f>SUM(M11:M14)</f>
        <v>0</v>
      </c>
      <c r="N15" s="402">
        <f t="shared" si="1"/>
        <v>311829</v>
      </c>
      <c r="O15" s="402">
        <f t="shared" si="2"/>
        <v>307804</v>
      </c>
      <c r="P15" s="403">
        <f t="shared" si="3"/>
        <v>307804</v>
      </c>
      <c r="Q15" s="274"/>
      <c r="R15" s="274">
        <f t="shared" si="0"/>
        <v>-4025</v>
      </c>
      <c r="S15" s="274"/>
      <c r="T15" s="274"/>
      <c r="U15" s="274"/>
      <c r="V15" s="274"/>
    </row>
    <row r="16" spans="1:22" s="205" customFormat="1" ht="13.5" customHeight="1">
      <c r="A16" s="240"/>
      <c r="B16" s="36" t="s">
        <v>110</v>
      </c>
      <c r="C16" s="232"/>
      <c r="D16" s="232"/>
      <c r="E16" s="165">
        <v>7480</v>
      </c>
      <c r="F16" s="165">
        <v>7480</v>
      </c>
      <c r="G16" s="165">
        <v>7480</v>
      </c>
      <c r="H16" s="227"/>
      <c r="I16" s="228"/>
      <c r="J16" s="228"/>
      <c r="K16" s="241"/>
      <c r="L16" s="104"/>
      <c r="M16" s="389"/>
      <c r="N16" s="397">
        <f t="shared" si="1"/>
        <v>7480</v>
      </c>
      <c r="O16" s="397">
        <f t="shared" si="2"/>
        <v>7480</v>
      </c>
      <c r="P16" s="398">
        <f t="shared" si="3"/>
        <v>7480</v>
      </c>
      <c r="Q16" s="274"/>
      <c r="R16" s="274">
        <f>SUM(G16-E16)</f>
        <v>0</v>
      </c>
      <c r="S16" s="274"/>
      <c r="T16" s="274"/>
      <c r="U16" s="274"/>
      <c r="V16" s="274"/>
    </row>
    <row r="17" spans="1:22" s="205" customFormat="1" ht="13.5" customHeight="1">
      <c r="A17" s="240"/>
      <c r="B17" s="36" t="s">
        <v>111</v>
      </c>
      <c r="C17" s="232"/>
      <c r="D17" s="232"/>
      <c r="E17" s="165">
        <v>10560</v>
      </c>
      <c r="F17" s="165">
        <v>10560</v>
      </c>
      <c r="G17" s="165">
        <v>10560</v>
      </c>
      <c r="H17" s="202"/>
      <c r="I17" s="233"/>
      <c r="J17" s="233"/>
      <c r="K17" s="241"/>
      <c r="L17" s="104"/>
      <c r="M17" s="389"/>
      <c r="N17" s="397">
        <f t="shared" si="1"/>
        <v>10560</v>
      </c>
      <c r="O17" s="397">
        <f t="shared" si="2"/>
        <v>10560</v>
      </c>
      <c r="P17" s="398">
        <f t="shared" si="3"/>
        <v>10560</v>
      </c>
      <c r="Q17" s="274"/>
      <c r="R17" s="274">
        <f aca="true" t="shared" si="4" ref="R17:R31">SUM(G17-E17)</f>
        <v>0</v>
      </c>
      <c r="S17" s="274"/>
      <c r="T17" s="274"/>
      <c r="U17" s="274"/>
      <c r="V17" s="274"/>
    </row>
    <row r="18" spans="1:22" s="205" customFormat="1" ht="13.5" customHeight="1">
      <c r="A18" s="240"/>
      <c r="B18" s="36" t="s">
        <v>28</v>
      </c>
      <c r="C18" s="232">
        <v>350</v>
      </c>
      <c r="D18" s="232">
        <v>350</v>
      </c>
      <c r="E18" s="165">
        <v>19376</v>
      </c>
      <c r="F18" s="165">
        <v>19376</v>
      </c>
      <c r="G18" s="165">
        <v>19376</v>
      </c>
      <c r="H18" s="202"/>
      <c r="I18" s="233"/>
      <c r="J18" s="238"/>
      <c r="K18" s="241"/>
      <c r="L18" s="104"/>
      <c r="M18" s="389"/>
      <c r="N18" s="397">
        <f t="shared" si="1"/>
        <v>19376</v>
      </c>
      <c r="O18" s="397">
        <f t="shared" si="2"/>
        <v>19376</v>
      </c>
      <c r="P18" s="398">
        <f t="shared" si="3"/>
        <v>19376</v>
      </c>
      <c r="Q18" s="274"/>
      <c r="R18" s="274">
        <f t="shared" si="4"/>
        <v>0</v>
      </c>
      <c r="S18" s="274"/>
      <c r="T18" s="274"/>
      <c r="U18" s="274"/>
      <c r="V18" s="274"/>
    </row>
    <row r="19" spans="1:22" s="205" customFormat="1" ht="13.5" customHeight="1">
      <c r="A19" s="242"/>
      <c r="B19" s="231" t="s">
        <v>29</v>
      </c>
      <c r="C19" s="232">
        <v>71</v>
      </c>
      <c r="D19" s="232">
        <v>71</v>
      </c>
      <c r="E19" s="165">
        <v>22515</v>
      </c>
      <c r="F19" s="165">
        <v>22490</v>
      </c>
      <c r="G19" s="165">
        <v>22490</v>
      </c>
      <c r="H19" s="202"/>
      <c r="I19" s="233"/>
      <c r="J19" s="238"/>
      <c r="K19" s="241"/>
      <c r="L19" s="104"/>
      <c r="M19" s="389"/>
      <c r="N19" s="397">
        <f t="shared" si="1"/>
        <v>22515</v>
      </c>
      <c r="O19" s="397">
        <f t="shared" si="2"/>
        <v>22490</v>
      </c>
      <c r="P19" s="398">
        <f t="shared" si="3"/>
        <v>22490</v>
      </c>
      <c r="Q19" s="274"/>
      <c r="R19" s="274">
        <f t="shared" si="4"/>
        <v>-25</v>
      </c>
      <c r="S19" s="274"/>
      <c r="T19" s="274"/>
      <c r="U19" s="274"/>
      <c r="V19" s="274"/>
    </row>
    <row r="20" spans="1:22" s="205" customFormat="1" ht="15" customHeight="1">
      <c r="A20" s="242"/>
      <c r="B20" s="231" t="s">
        <v>30</v>
      </c>
      <c r="C20" s="232">
        <v>330</v>
      </c>
      <c r="D20" s="232">
        <v>330</v>
      </c>
      <c r="E20" s="165">
        <v>35970</v>
      </c>
      <c r="F20" s="165">
        <v>35970</v>
      </c>
      <c r="G20" s="165">
        <v>35970</v>
      </c>
      <c r="H20" s="202"/>
      <c r="I20" s="233"/>
      <c r="J20" s="238"/>
      <c r="K20" s="241"/>
      <c r="L20" s="104"/>
      <c r="M20" s="389"/>
      <c r="N20" s="397">
        <f t="shared" si="1"/>
        <v>35970</v>
      </c>
      <c r="O20" s="397">
        <f t="shared" si="2"/>
        <v>35970</v>
      </c>
      <c r="P20" s="398">
        <f t="shared" si="3"/>
        <v>35970</v>
      </c>
      <c r="Q20" s="274"/>
      <c r="R20" s="274">
        <f t="shared" si="4"/>
        <v>0</v>
      </c>
      <c r="S20" s="274"/>
      <c r="T20" s="274"/>
      <c r="U20" s="274"/>
      <c r="V20" s="274"/>
    </row>
    <row r="21" spans="1:22" s="205" customFormat="1" ht="15" customHeight="1">
      <c r="A21" s="242"/>
      <c r="B21" s="231" t="s">
        <v>126</v>
      </c>
      <c r="C21" s="232">
        <v>6.8</v>
      </c>
      <c r="D21" s="232">
        <v>6.8</v>
      </c>
      <c r="E21" s="165">
        <v>30049</v>
      </c>
      <c r="F21" s="165">
        <v>34910</v>
      </c>
      <c r="G21" s="165">
        <v>34910</v>
      </c>
      <c r="H21" s="202"/>
      <c r="I21" s="233"/>
      <c r="J21" s="238"/>
      <c r="K21" s="241"/>
      <c r="L21" s="104"/>
      <c r="M21" s="389"/>
      <c r="N21" s="397">
        <f t="shared" si="1"/>
        <v>30049</v>
      </c>
      <c r="O21" s="397">
        <f t="shared" si="2"/>
        <v>34910</v>
      </c>
      <c r="P21" s="398">
        <f t="shared" si="3"/>
        <v>34910</v>
      </c>
      <c r="Q21" s="274"/>
      <c r="R21" s="274">
        <f t="shared" si="4"/>
        <v>4861</v>
      </c>
      <c r="S21" s="274"/>
      <c r="T21" s="274"/>
      <c r="U21" s="274"/>
      <c r="V21" s="274"/>
    </row>
    <row r="22" spans="1:22" s="205" customFormat="1" ht="15" customHeight="1">
      <c r="A22" s="242"/>
      <c r="B22" s="231" t="s">
        <v>127</v>
      </c>
      <c r="C22" s="232">
        <v>14</v>
      </c>
      <c r="D22" s="232">
        <v>14</v>
      </c>
      <c r="E22" s="165">
        <v>41902</v>
      </c>
      <c r="F22" s="165">
        <v>38610</v>
      </c>
      <c r="G22" s="165">
        <v>38610</v>
      </c>
      <c r="H22" s="202"/>
      <c r="I22" s="233"/>
      <c r="J22" s="238"/>
      <c r="K22" s="241"/>
      <c r="L22" s="104"/>
      <c r="M22" s="389"/>
      <c r="N22" s="397">
        <f t="shared" si="1"/>
        <v>41902</v>
      </c>
      <c r="O22" s="397">
        <f t="shared" si="2"/>
        <v>38610</v>
      </c>
      <c r="P22" s="398">
        <f t="shared" si="3"/>
        <v>38610</v>
      </c>
      <c r="Q22" s="274"/>
      <c r="R22" s="274">
        <f t="shared" si="4"/>
        <v>-3292</v>
      </c>
      <c r="S22" s="274"/>
      <c r="T22" s="274"/>
      <c r="U22" s="274"/>
      <c r="V22" s="274"/>
    </row>
    <row r="23" spans="1:22" s="205" customFormat="1" ht="15" customHeight="1">
      <c r="A23" s="242"/>
      <c r="B23" s="203" t="s">
        <v>116</v>
      </c>
      <c r="C23" s="232">
        <v>4</v>
      </c>
      <c r="D23" s="232">
        <v>4</v>
      </c>
      <c r="E23" s="165">
        <v>11392</v>
      </c>
      <c r="F23" s="165">
        <v>11392</v>
      </c>
      <c r="G23" s="165">
        <v>11392</v>
      </c>
      <c r="H23" s="202"/>
      <c r="I23" s="233"/>
      <c r="J23" s="238"/>
      <c r="K23" s="241"/>
      <c r="L23" s="104"/>
      <c r="M23" s="389"/>
      <c r="N23" s="397">
        <f t="shared" si="1"/>
        <v>11392</v>
      </c>
      <c r="O23" s="397">
        <f t="shared" si="2"/>
        <v>11392</v>
      </c>
      <c r="P23" s="398">
        <f t="shared" si="3"/>
        <v>11392</v>
      </c>
      <c r="Q23" s="274"/>
      <c r="R23" s="274">
        <f t="shared" si="4"/>
        <v>0</v>
      </c>
      <c r="S23" s="274"/>
      <c r="T23" s="274"/>
      <c r="U23" s="274"/>
      <c r="V23" s="274"/>
    </row>
    <row r="24" spans="1:22" s="205" customFormat="1" ht="15" customHeight="1">
      <c r="A24" s="242"/>
      <c r="B24" s="243" t="s">
        <v>31</v>
      </c>
      <c r="C24" s="232"/>
      <c r="D24" s="232"/>
      <c r="E24" s="165">
        <v>9610</v>
      </c>
      <c r="F24" s="165">
        <v>7559</v>
      </c>
      <c r="G24" s="165">
        <v>7559</v>
      </c>
      <c r="H24" s="202"/>
      <c r="I24" s="233"/>
      <c r="J24" s="238"/>
      <c r="K24" s="241"/>
      <c r="L24" s="104"/>
      <c r="M24" s="389"/>
      <c r="N24" s="397">
        <f t="shared" si="1"/>
        <v>9610</v>
      </c>
      <c r="O24" s="397">
        <f t="shared" si="2"/>
        <v>7559</v>
      </c>
      <c r="P24" s="398">
        <f t="shared" si="3"/>
        <v>7559</v>
      </c>
      <c r="Q24" s="274"/>
      <c r="R24" s="274">
        <f t="shared" si="4"/>
        <v>-2051</v>
      </c>
      <c r="S24" s="274"/>
      <c r="T24" s="274"/>
      <c r="U24" s="274"/>
      <c r="V24" s="274"/>
    </row>
    <row r="25" spans="1:22" s="205" customFormat="1" ht="15" customHeight="1">
      <c r="A25" s="244"/>
      <c r="B25" s="204" t="s">
        <v>136</v>
      </c>
      <c r="C25" s="213"/>
      <c r="D25" s="213"/>
      <c r="E25" s="166">
        <v>15422</v>
      </c>
      <c r="F25" s="166">
        <v>27849</v>
      </c>
      <c r="G25" s="166">
        <v>27849</v>
      </c>
      <c r="H25" s="214"/>
      <c r="I25" s="215"/>
      <c r="J25" s="233"/>
      <c r="K25" s="108"/>
      <c r="L25" s="104"/>
      <c r="M25" s="389"/>
      <c r="N25" s="397">
        <f t="shared" si="1"/>
        <v>15422</v>
      </c>
      <c r="O25" s="397">
        <f t="shared" si="2"/>
        <v>27849</v>
      </c>
      <c r="P25" s="398">
        <f t="shared" si="3"/>
        <v>27849</v>
      </c>
      <c r="Q25" s="274"/>
      <c r="R25" s="450">
        <f t="shared" si="4"/>
        <v>12427</v>
      </c>
      <c r="S25" s="274"/>
      <c r="T25" s="274"/>
      <c r="U25" s="274"/>
      <c r="V25" s="274"/>
    </row>
    <row r="26" spans="1:22" s="205" customFormat="1" ht="15" customHeight="1">
      <c r="A26" s="244"/>
      <c r="B26" s="204" t="s">
        <v>104</v>
      </c>
      <c r="C26" s="213">
        <v>32.81</v>
      </c>
      <c r="D26" s="213">
        <v>32.81</v>
      </c>
      <c r="E26" s="166">
        <v>62339</v>
      </c>
      <c r="F26" s="166">
        <v>61142</v>
      </c>
      <c r="G26" s="166">
        <v>61142</v>
      </c>
      <c r="H26" s="214"/>
      <c r="I26" s="215"/>
      <c r="J26" s="228"/>
      <c r="K26" s="245"/>
      <c r="L26" s="105"/>
      <c r="M26" s="389"/>
      <c r="N26" s="397">
        <f t="shared" si="1"/>
        <v>62339</v>
      </c>
      <c r="O26" s="397">
        <f t="shared" si="2"/>
        <v>61142</v>
      </c>
      <c r="P26" s="398">
        <f t="shared" si="3"/>
        <v>61142</v>
      </c>
      <c r="Q26" s="274"/>
      <c r="R26" s="274">
        <f t="shared" si="4"/>
        <v>-1197</v>
      </c>
      <c r="S26" s="274"/>
      <c r="T26" s="274"/>
      <c r="U26" s="274"/>
      <c r="V26" s="274"/>
    </row>
    <row r="27" spans="1:22" s="205" customFormat="1" ht="15" customHeight="1">
      <c r="A27" s="244"/>
      <c r="B27" s="204" t="s">
        <v>155</v>
      </c>
      <c r="C27" s="213"/>
      <c r="D27" s="213"/>
      <c r="E27" s="166"/>
      <c r="F27" s="166">
        <f>26313+6912</f>
        <v>33225</v>
      </c>
      <c r="G27" s="166">
        <f>26313+6912</f>
        <v>33225</v>
      </c>
      <c r="H27" s="214"/>
      <c r="I27" s="215"/>
      <c r="J27" s="233"/>
      <c r="K27" s="108"/>
      <c r="L27" s="378"/>
      <c r="M27" s="389"/>
      <c r="N27" s="397">
        <f t="shared" si="1"/>
        <v>0</v>
      </c>
      <c r="O27" s="397">
        <f t="shared" si="2"/>
        <v>33225</v>
      </c>
      <c r="P27" s="398">
        <f t="shared" si="3"/>
        <v>33225</v>
      </c>
      <c r="Q27" s="274"/>
      <c r="R27" s="450">
        <f t="shared" si="4"/>
        <v>33225</v>
      </c>
      <c r="S27" s="274"/>
      <c r="T27" s="274"/>
      <c r="U27" s="274"/>
      <c r="V27" s="274"/>
    </row>
    <row r="28" spans="1:22" s="205" customFormat="1" ht="15" customHeight="1">
      <c r="A28" s="242"/>
      <c r="B28" s="246" t="s">
        <v>112</v>
      </c>
      <c r="C28" s="232"/>
      <c r="D28" s="232"/>
      <c r="E28" s="167">
        <v>9550</v>
      </c>
      <c r="F28" s="167">
        <v>9550</v>
      </c>
      <c r="G28" s="167">
        <v>9550</v>
      </c>
      <c r="H28" s="247"/>
      <c r="I28" s="233"/>
      <c r="J28" s="233"/>
      <c r="K28" s="108"/>
      <c r="L28" s="378"/>
      <c r="M28" s="389"/>
      <c r="N28" s="397">
        <f t="shared" si="1"/>
        <v>9550</v>
      </c>
      <c r="O28" s="397">
        <f t="shared" si="2"/>
        <v>9550</v>
      </c>
      <c r="P28" s="398">
        <f t="shared" si="3"/>
        <v>9550</v>
      </c>
      <c r="Q28" s="274"/>
      <c r="R28" s="274">
        <f t="shared" si="4"/>
        <v>0</v>
      </c>
      <c r="S28" s="274"/>
      <c r="T28" s="274"/>
      <c r="U28" s="274"/>
      <c r="V28" s="274"/>
    </row>
    <row r="29" spans="1:22" s="205" customFormat="1" ht="15" customHeight="1">
      <c r="A29" s="248"/>
      <c r="B29" s="249" t="s">
        <v>134</v>
      </c>
      <c r="C29" s="226"/>
      <c r="D29" s="226"/>
      <c r="E29" s="174"/>
      <c r="F29" s="174">
        <f>46374+9450+68</f>
        <v>55892</v>
      </c>
      <c r="G29" s="174">
        <f>46374+9450+68</f>
        <v>55892</v>
      </c>
      <c r="H29" s="250"/>
      <c r="I29" s="228"/>
      <c r="J29" s="228"/>
      <c r="K29" s="108"/>
      <c r="L29" s="378"/>
      <c r="M29" s="389"/>
      <c r="N29" s="397">
        <f t="shared" si="1"/>
        <v>0</v>
      </c>
      <c r="O29" s="397">
        <f t="shared" si="2"/>
        <v>55892</v>
      </c>
      <c r="P29" s="398">
        <f t="shared" si="3"/>
        <v>55892</v>
      </c>
      <c r="Q29" s="274"/>
      <c r="R29" s="450">
        <f t="shared" si="4"/>
        <v>55892</v>
      </c>
      <c r="S29" s="274"/>
      <c r="T29" s="274"/>
      <c r="U29" s="274"/>
      <c r="V29" s="274"/>
    </row>
    <row r="30" spans="1:22" s="205" customFormat="1" ht="15" customHeight="1">
      <c r="A30" s="244"/>
      <c r="B30" s="204" t="s">
        <v>109</v>
      </c>
      <c r="C30" s="213">
        <v>248</v>
      </c>
      <c r="D30" s="213">
        <v>248</v>
      </c>
      <c r="E30" s="166">
        <v>71</v>
      </c>
      <c r="F30" s="166">
        <v>22</v>
      </c>
      <c r="G30" s="166">
        <v>22</v>
      </c>
      <c r="H30" s="214"/>
      <c r="I30" s="215"/>
      <c r="J30" s="215"/>
      <c r="K30" s="154"/>
      <c r="L30" s="376"/>
      <c r="M30" s="389"/>
      <c r="N30" s="397">
        <f t="shared" si="1"/>
        <v>71</v>
      </c>
      <c r="O30" s="397">
        <f t="shared" si="2"/>
        <v>22</v>
      </c>
      <c r="P30" s="398">
        <f t="shared" si="3"/>
        <v>22</v>
      </c>
      <c r="Q30" s="274"/>
      <c r="R30" s="274">
        <f t="shared" si="4"/>
        <v>-49</v>
      </c>
      <c r="S30" s="274">
        <f>SUM(R19,R21,R22,R24,R26,R30)</f>
        <v>-1753</v>
      </c>
      <c r="T30" s="274"/>
      <c r="U30" s="274"/>
      <c r="V30" s="274"/>
    </row>
    <row r="31" spans="1:22" s="205" customFormat="1" ht="15" customHeight="1" thickBot="1">
      <c r="A31" s="251"/>
      <c r="B31" s="217" t="s">
        <v>135</v>
      </c>
      <c r="C31" s="218"/>
      <c r="D31" s="218"/>
      <c r="E31" s="192">
        <v>26027</v>
      </c>
      <c r="F31" s="192">
        <v>26027</v>
      </c>
      <c r="G31" s="192">
        <v>26027</v>
      </c>
      <c r="H31" s="190"/>
      <c r="I31" s="219"/>
      <c r="J31" s="219"/>
      <c r="K31" s="111"/>
      <c r="L31" s="179"/>
      <c r="M31" s="389"/>
      <c r="N31" s="399">
        <f t="shared" si="1"/>
        <v>26027</v>
      </c>
      <c r="O31" s="399">
        <f t="shared" si="2"/>
        <v>26027</v>
      </c>
      <c r="P31" s="400">
        <f t="shared" si="3"/>
        <v>26027</v>
      </c>
      <c r="Q31" s="274"/>
      <c r="R31" s="274">
        <f t="shared" si="4"/>
        <v>0</v>
      </c>
      <c r="S31" s="274"/>
      <c r="T31" s="274"/>
      <c r="U31" s="274"/>
      <c r="V31" s="274"/>
    </row>
    <row r="32" spans="1:22" s="205" customFormat="1" ht="15" customHeight="1" thickBot="1">
      <c r="A32" s="220" t="s">
        <v>52</v>
      </c>
      <c r="B32" s="252" t="s">
        <v>100</v>
      </c>
      <c r="C32" s="222"/>
      <c r="D32" s="222"/>
      <c r="E32" s="168">
        <f>SUM(E16:E31)</f>
        <v>302263</v>
      </c>
      <c r="F32" s="168">
        <f>SUM(F16:F31)</f>
        <v>402054</v>
      </c>
      <c r="G32" s="168">
        <f>SUM(G16:G31)</f>
        <v>402054</v>
      </c>
      <c r="H32" s="168"/>
      <c r="I32" s="168">
        <f>SUM(I16:I30)</f>
        <v>0</v>
      </c>
      <c r="J32" s="168"/>
      <c r="K32" s="223">
        <f>SUM(K16:K31)</f>
        <v>0</v>
      </c>
      <c r="L32" s="168">
        <f>SUM(L16:L31)</f>
        <v>0</v>
      </c>
      <c r="M32" s="168">
        <f>SUM(M16:M31)</f>
        <v>0</v>
      </c>
      <c r="N32" s="402">
        <f t="shared" si="1"/>
        <v>302263</v>
      </c>
      <c r="O32" s="402">
        <f t="shared" si="2"/>
        <v>402054</v>
      </c>
      <c r="P32" s="403">
        <f t="shared" si="3"/>
        <v>402054</v>
      </c>
      <c r="Q32" s="274"/>
      <c r="R32" s="274">
        <f>SUM(R9:R24,R26,R30)</f>
        <v>3379</v>
      </c>
      <c r="S32" s="274"/>
      <c r="T32" s="274"/>
      <c r="U32" s="274"/>
      <c r="V32" s="274"/>
    </row>
    <row r="33" spans="1:22" s="205" customFormat="1" ht="15" customHeight="1" thickBot="1">
      <c r="A33" s="253" t="s">
        <v>53</v>
      </c>
      <c r="B33" s="254" t="s">
        <v>41</v>
      </c>
      <c r="C33" s="169"/>
      <c r="D33" s="169"/>
      <c r="E33" s="169">
        <v>10532</v>
      </c>
      <c r="F33" s="169">
        <v>10532</v>
      </c>
      <c r="G33" s="169">
        <v>10532</v>
      </c>
      <c r="H33" s="210"/>
      <c r="I33" s="211"/>
      <c r="J33" s="228"/>
      <c r="K33" s="245"/>
      <c r="L33" s="105"/>
      <c r="M33" s="389"/>
      <c r="N33" s="399">
        <f t="shared" si="1"/>
        <v>10532</v>
      </c>
      <c r="O33" s="399">
        <f t="shared" si="2"/>
        <v>10532</v>
      </c>
      <c r="P33" s="400">
        <f t="shared" si="3"/>
        <v>10532</v>
      </c>
      <c r="Q33" s="274"/>
      <c r="R33" s="274"/>
      <c r="S33" s="274"/>
      <c r="T33" s="274"/>
      <c r="U33" s="274"/>
      <c r="V33" s="274"/>
    </row>
    <row r="34" spans="1:22" s="205" customFormat="1" ht="15" customHeight="1" thickBot="1">
      <c r="A34" s="255"/>
      <c r="B34" s="256" t="s">
        <v>24</v>
      </c>
      <c r="C34" s="222"/>
      <c r="D34" s="222"/>
      <c r="E34" s="168">
        <f>SUM(E15,E32,E33)</f>
        <v>624624</v>
      </c>
      <c r="F34" s="168">
        <f>SUM(F15,F32,F33)</f>
        <v>720390</v>
      </c>
      <c r="G34" s="168">
        <f>SUM(G15,G32,G33)</f>
        <v>720390</v>
      </c>
      <c r="H34" s="168"/>
      <c r="I34" s="168"/>
      <c r="J34" s="168"/>
      <c r="K34" s="223">
        <f>SUM(K15,K32,K33)</f>
        <v>0</v>
      </c>
      <c r="L34" s="168">
        <f>SUM(L15,L32,L33)</f>
        <v>0</v>
      </c>
      <c r="M34" s="168">
        <f>SUM(M15,M32,M33)</f>
        <v>0</v>
      </c>
      <c r="N34" s="402">
        <f t="shared" si="1"/>
        <v>624624</v>
      </c>
      <c r="O34" s="402">
        <f t="shared" si="2"/>
        <v>720390</v>
      </c>
      <c r="P34" s="403">
        <f t="shared" si="3"/>
        <v>720390</v>
      </c>
      <c r="Q34" s="274"/>
      <c r="R34" s="274"/>
      <c r="S34" s="274"/>
      <c r="T34" s="274"/>
      <c r="U34" s="274"/>
      <c r="V34" s="274"/>
    </row>
    <row r="35" spans="1:22" s="205" customFormat="1" ht="15" customHeight="1">
      <c r="A35" s="170"/>
      <c r="B35" s="171" t="s">
        <v>156</v>
      </c>
      <c r="C35" s="451"/>
      <c r="D35" s="451"/>
      <c r="E35" s="452"/>
      <c r="F35" s="452">
        <f>19418+1118</f>
        <v>20536</v>
      </c>
      <c r="G35" s="452">
        <f>19418+1118</f>
        <v>20536</v>
      </c>
      <c r="H35" s="453"/>
      <c r="I35" s="453"/>
      <c r="J35" s="453"/>
      <c r="K35" s="454"/>
      <c r="L35" s="453"/>
      <c r="M35" s="453"/>
      <c r="N35" s="397">
        <f t="shared" si="1"/>
        <v>0</v>
      </c>
      <c r="O35" s="397">
        <f t="shared" si="2"/>
        <v>20536</v>
      </c>
      <c r="P35" s="398">
        <f t="shared" si="3"/>
        <v>20536</v>
      </c>
      <c r="Q35" s="274"/>
      <c r="R35" s="274"/>
      <c r="S35" s="274"/>
      <c r="T35" s="274"/>
      <c r="U35" s="274"/>
      <c r="V35" s="274"/>
    </row>
    <row r="36" spans="1:22" s="205" customFormat="1" ht="15" customHeight="1" thickBot="1">
      <c r="A36" s="455"/>
      <c r="B36" s="456" t="s">
        <v>169</v>
      </c>
      <c r="C36" s="457"/>
      <c r="D36" s="457"/>
      <c r="E36" s="458"/>
      <c r="F36" s="458">
        <v>56680</v>
      </c>
      <c r="G36" s="458">
        <v>56680</v>
      </c>
      <c r="H36" s="459"/>
      <c r="I36" s="459"/>
      <c r="J36" s="459"/>
      <c r="K36" s="460"/>
      <c r="L36" s="459"/>
      <c r="M36" s="461"/>
      <c r="N36" s="399">
        <f t="shared" si="1"/>
        <v>0</v>
      </c>
      <c r="O36" s="399">
        <f t="shared" si="2"/>
        <v>56680</v>
      </c>
      <c r="P36" s="400">
        <f t="shared" si="3"/>
        <v>56680</v>
      </c>
      <c r="Q36" s="274"/>
      <c r="R36" s="274"/>
      <c r="S36" s="274"/>
      <c r="T36" s="274"/>
      <c r="U36" s="274"/>
      <c r="V36" s="274"/>
    </row>
    <row r="37" spans="1:22" s="205" customFormat="1" ht="15" customHeight="1" thickBot="1">
      <c r="A37" s="172" t="s">
        <v>132</v>
      </c>
      <c r="B37" s="173" t="s">
        <v>131</v>
      </c>
      <c r="C37" s="222"/>
      <c r="D37" s="222"/>
      <c r="E37" s="168">
        <f>SUM(E35)</f>
        <v>0</v>
      </c>
      <c r="F37" s="168">
        <f>SUM(F35:F36)</f>
        <v>77216</v>
      </c>
      <c r="G37" s="168">
        <f>SUM(G35:G36)</f>
        <v>77216</v>
      </c>
      <c r="H37" s="168"/>
      <c r="I37" s="168"/>
      <c r="J37" s="168"/>
      <c r="K37" s="223">
        <f>SUM(K35)</f>
        <v>0</v>
      </c>
      <c r="L37" s="168">
        <f>SUM(L35)</f>
        <v>0</v>
      </c>
      <c r="M37" s="168">
        <f>SUM(M35)</f>
        <v>0</v>
      </c>
      <c r="N37" s="386">
        <f t="shared" si="1"/>
        <v>0</v>
      </c>
      <c r="O37" s="386">
        <f t="shared" si="2"/>
        <v>77216</v>
      </c>
      <c r="P37" s="401">
        <f t="shared" si="3"/>
        <v>77216</v>
      </c>
      <c r="Q37" s="274"/>
      <c r="R37" s="274"/>
      <c r="S37" s="274"/>
      <c r="T37" s="274"/>
      <c r="U37" s="274"/>
      <c r="V37" s="274"/>
    </row>
    <row r="38" spans="1:22" s="205" customFormat="1" ht="15" customHeight="1" thickBot="1">
      <c r="A38" s="220" t="s">
        <v>2</v>
      </c>
      <c r="B38" s="257" t="s">
        <v>133</v>
      </c>
      <c r="C38" s="222"/>
      <c r="D38" s="222"/>
      <c r="E38" s="168">
        <f aca="true" t="shared" si="5" ref="E38:M38">SUM(E10,E34,E37)</f>
        <v>2529011</v>
      </c>
      <c r="F38" s="168">
        <f t="shared" si="5"/>
        <v>2708584</v>
      </c>
      <c r="G38" s="168">
        <f t="shared" si="5"/>
        <v>2708584</v>
      </c>
      <c r="H38" s="168">
        <f t="shared" si="5"/>
        <v>0</v>
      </c>
      <c r="I38" s="168">
        <f t="shared" si="5"/>
        <v>0</v>
      </c>
      <c r="J38" s="168">
        <f t="shared" si="5"/>
        <v>0</v>
      </c>
      <c r="K38" s="168">
        <f t="shared" si="5"/>
        <v>0</v>
      </c>
      <c r="L38" s="168">
        <f t="shared" si="5"/>
        <v>0</v>
      </c>
      <c r="M38" s="168">
        <f t="shared" si="5"/>
        <v>0</v>
      </c>
      <c r="N38" s="402">
        <f t="shared" si="1"/>
        <v>2529011</v>
      </c>
      <c r="O38" s="402">
        <f t="shared" si="2"/>
        <v>2708584</v>
      </c>
      <c r="P38" s="403">
        <f t="shared" si="3"/>
        <v>2708584</v>
      </c>
      <c r="Q38" s="274"/>
      <c r="R38" s="274"/>
      <c r="S38" s="274"/>
      <c r="T38" s="274"/>
      <c r="U38" s="274"/>
      <c r="V38" s="274"/>
    </row>
    <row r="39" spans="1:22" s="205" customFormat="1" ht="15" customHeight="1" thickBot="1">
      <c r="A39" s="258" t="s">
        <v>3</v>
      </c>
      <c r="B39" s="259" t="s">
        <v>43</v>
      </c>
      <c r="C39" s="258"/>
      <c r="D39" s="258"/>
      <c r="E39" s="168"/>
      <c r="F39" s="168"/>
      <c r="G39" s="260"/>
      <c r="H39" s="260"/>
      <c r="I39" s="261"/>
      <c r="J39" s="261"/>
      <c r="K39" s="161"/>
      <c r="L39" s="379"/>
      <c r="M39" s="379"/>
      <c r="N39" s="386">
        <f t="shared" si="1"/>
        <v>0</v>
      </c>
      <c r="O39" s="386">
        <f t="shared" si="2"/>
        <v>0</v>
      </c>
      <c r="P39" s="401">
        <f t="shared" si="3"/>
        <v>0</v>
      </c>
      <c r="Q39" s="274"/>
      <c r="R39" s="274"/>
      <c r="S39" s="274"/>
      <c r="T39" s="274"/>
      <c r="U39" s="274"/>
      <c r="V39" s="274"/>
    </row>
    <row r="40" spans="1:22" s="205" customFormat="1" ht="13.5" customHeight="1">
      <c r="A40" s="262" t="s">
        <v>46</v>
      </c>
      <c r="B40" s="263" t="s">
        <v>44</v>
      </c>
      <c r="C40" s="264"/>
      <c r="D40" s="264"/>
      <c r="E40" s="191"/>
      <c r="F40" s="191"/>
      <c r="G40" s="227"/>
      <c r="H40" s="227"/>
      <c r="I40" s="228"/>
      <c r="J40" s="228"/>
      <c r="K40" s="241"/>
      <c r="L40" s="104"/>
      <c r="M40" s="389"/>
      <c r="N40" s="397">
        <f t="shared" si="1"/>
        <v>0</v>
      </c>
      <c r="O40" s="397">
        <f t="shared" si="2"/>
        <v>0</v>
      </c>
      <c r="P40" s="398">
        <f t="shared" si="3"/>
        <v>0</v>
      </c>
      <c r="Q40" s="274"/>
      <c r="R40" s="274"/>
      <c r="S40" s="274"/>
      <c r="T40" s="274"/>
      <c r="U40" s="274"/>
      <c r="V40" s="274"/>
    </row>
    <row r="41" spans="1:22" s="205" customFormat="1" ht="13.5" customHeight="1">
      <c r="A41" s="265"/>
      <c r="B41" s="266" t="s">
        <v>138</v>
      </c>
      <c r="C41" s="267"/>
      <c r="D41" s="267"/>
      <c r="E41" s="165">
        <v>62464</v>
      </c>
      <c r="F41" s="165">
        <f>62464-62464</f>
        <v>0</v>
      </c>
      <c r="G41" s="202"/>
      <c r="H41" s="202"/>
      <c r="I41" s="234"/>
      <c r="J41" s="234"/>
      <c r="K41" s="108"/>
      <c r="L41" s="378"/>
      <c r="M41" s="389"/>
      <c r="N41" s="397">
        <f t="shared" si="1"/>
        <v>62464</v>
      </c>
      <c r="O41" s="397">
        <f t="shared" si="2"/>
        <v>0</v>
      </c>
      <c r="P41" s="398">
        <f t="shared" si="3"/>
        <v>0</v>
      </c>
      <c r="Q41" s="274"/>
      <c r="R41" s="274"/>
      <c r="S41" s="274"/>
      <c r="T41" s="274"/>
      <c r="U41" s="274"/>
      <c r="V41" s="274"/>
    </row>
    <row r="42" spans="1:22" s="205" customFormat="1" ht="13.5" customHeight="1">
      <c r="A42" s="265"/>
      <c r="B42" s="266" t="s">
        <v>139</v>
      </c>
      <c r="C42" s="267"/>
      <c r="D42" s="267"/>
      <c r="E42" s="165">
        <v>120150</v>
      </c>
      <c r="F42" s="165">
        <f>120150-120150</f>
        <v>0</v>
      </c>
      <c r="G42" s="202"/>
      <c r="H42" s="202"/>
      <c r="I42" s="234"/>
      <c r="J42" s="234"/>
      <c r="K42" s="108"/>
      <c r="L42" s="378"/>
      <c r="M42" s="389"/>
      <c r="N42" s="397">
        <f t="shared" si="1"/>
        <v>120150</v>
      </c>
      <c r="O42" s="397">
        <f t="shared" si="2"/>
        <v>0</v>
      </c>
      <c r="P42" s="398">
        <f t="shared" si="3"/>
        <v>0</v>
      </c>
      <c r="Q42" s="274"/>
      <c r="R42" s="274"/>
      <c r="S42" s="274"/>
      <c r="T42" s="274"/>
      <c r="U42" s="274"/>
      <c r="V42" s="274"/>
    </row>
    <row r="43" spans="1:22" s="205" customFormat="1" ht="13.5" customHeight="1">
      <c r="A43" s="265"/>
      <c r="B43" s="266" t="s">
        <v>140</v>
      </c>
      <c r="C43" s="267"/>
      <c r="D43" s="267"/>
      <c r="E43" s="165">
        <v>420790</v>
      </c>
      <c r="F43" s="165">
        <f>420790-420790</f>
        <v>0</v>
      </c>
      <c r="G43" s="202"/>
      <c r="H43" s="202"/>
      <c r="I43" s="234"/>
      <c r="J43" s="234"/>
      <c r="K43" s="108"/>
      <c r="L43" s="378"/>
      <c r="M43" s="389"/>
      <c r="N43" s="397">
        <f t="shared" si="1"/>
        <v>420790</v>
      </c>
      <c r="O43" s="397">
        <f t="shared" si="2"/>
        <v>0</v>
      </c>
      <c r="P43" s="398">
        <f t="shared" si="3"/>
        <v>0</v>
      </c>
      <c r="Q43" s="274"/>
      <c r="R43" s="274"/>
      <c r="S43" s="274"/>
      <c r="T43" s="274"/>
      <c r="U43" s="274"/>
      <c r="V43" s="274"/>
    </row>
    <row r="44" spans="1:22" s="205" customFormat="1" ht="13.5" customHeight="1">
      <c r="A44" s="265"/>
      <c r="B44" s="266" t="s">
        <v>142</v>
      </c>
      <c r="C44" s="267"/>
      <c r="D44" s="267"/>
      <c r="E44" s="165"/>
      <c r="F44" s="165"/>
      <c r="G44" s="202"/>
      <c r="H44" s="202"/>
      <c r="I44" s="234"/>
      <c r="J44" s="234"/>
      <c r="K44" s="108">
        <v>1955</v>
      </c>
      <c r="L44" s="378">
        <f>6473-518-4000</f>
        <v>1955</v>
      </c>
      <c r="M44" s="389">
        <v>1034</v>
      </c>
      <c r="N44" s="397">
        <f t="shared" si="1"/>
        <v>1955</v>
      </c>
      <c r="O44" s="397">
        <f t="shared" si="2"/>
        <v>1955</v>
      </c>
      <c r="P44" s="398">
        <f t="shared" si="3"/>
        <v>1034</v>
      </c>
      <c r="Q44" s="274"/>
      <c r="R44" s="274"/>
      <c r="S44" s="274"/>
      <c r="T44" s="274"/>
      <c r="U44" s="274"/>
      <c r="V44" s="274"/>
    </row>
    <row r="45" spans="1:22" s="205" customFormat="1" ht="13.5" customHeight="1">
      <c r="A45" s="265"/>
      <c r="B45" s="266" t="s">
        <v>166</v>
      </c>
      <c r="C45" s="267"/>
      <c r="D45" s="267"/>
      <c r="E45" s="165"/>
      <c r="F45" s="165"/>
      <c r="G45" s="202"/>
      <c r="H45" s="202"/>
      <c r="I45" s="234"/>
      <c r="J45" s="234"/>
      <c r="K45" s="108"/>
      <c r="L45" s="378">
        <v>518</v>
      </c>
      <c r="M45" s="389">
        <v>3428</v>
      </c>
      <c r="N45" s="397"/>
      <c r="O45" s="397">
        <f t="shared" si="2"/>
        <v>518</v>
      </c>
      <c r="P45" s="398">
        <f t="shared" si="3"/>
        <v>3428</v>
      </c>
      <c r="Q45" s="274"/>
      <c r="R45" s="274"/>
      <c r="S45" s="274"/>
      <c r="T45" s="274"/>
      <c r="U45" s="274"/>
      <c r="V45" s="274"/>
    </row>
    <row r="46" spans="1:22" s="205" customFormat="1" ht="13.5" customHeight="1">
      <c r="A46" s="265"/>
      <c r="B46" s="266" t="s">
        <v>167</v>
      </c>
      <c r="C46" s="267"/>
      <c r="D46" s="267"/>
      <c r="E46" s="165"/>
      <c r="F46" s="165"/>
      <c r="G46" s="202"/>
      <c r="H46" s="202"/>
      <c r="I46" s="234"/>
      <c r="J46" s="234"/>
      <c r="K46" s="108"/>
      <c r="L46" s="378">
        <v>4000</v>
      </c>
      <c r="M46" s="389">
        <v>3660</v>
      </c>
      <c r="N46" s="397"/>
      <c r="O46" s="397">
        <f t="shared" si="2"/>
        <v>4000</v>
      </c>
      <c r="P46" s="398">
        <f t="shared" si="3"/>
        <v>3660</v>
      </c>
      <c r="Q46" s="274"/>
      <c r="R46" s="274"/>
      <c r="S46" s="274"/>
      <c r="T46" s="274"/>
      <c r="U46" s="274"/>
      <c r="V46" s="274"/>
    </row>
    <row r="47" spans="1:22" s="205" customFormat="1" ht="13.5" customHeight="1">
      <c r="A47" s="265"/>
      <c r="B47" s="266" t="s">
        <v>154</v>
      </c>
      <c r="C47" s="267"/>
      <c r="D47" s="267"/>
      <c r="E47" s="165"/>
      <c r="F47" s="165"/>
      <c r="G47" s="202"/>
      <c r="H47" s="202"/>
      <c r="I47" s="234">
        <v>5910</v>
      </c>
      <c r="J47" s="234">
        <v>5910</v>
      </c>
      <c r="K47" s="108"/>
      <c r="L47" s="378"/>
      <c r="M47" s="389"/>
      <c r="N47" s="397">
        <f t="shared" si="1"/>
        <v>0</v>
      </c>
      <c r="O47" s="397">
        <f t="shared" si="2"/>
        <v>5910</v>
      </c>
      <c r="P47" s="398">
        <f t="shared" si="3"/>
        <v>5910</v>
      </c>
      <c r="Q47" s="274"/>
      <c r="R47" s="274"/>
      <c r="S47" s="274"/>
      <c r="T47" s="274"/>
      <c r="U47" s="274"/>
      <c r="V47" s="274"/>
    </row>
    <row r="48" spans="1:22" s="205" customFormat="1" ht="12.75">
      <c r="A48" s="265"/>
      <c r="B48" s="266" t="s">
        <v>170</v>
      </c>
      <c r="C48" s="267"/>
      <c r="D48" s="267"/>
      <c r="E48" s="165"/>
      <c r="F48" s="165"/>
      <c r="G48" s="202"/>
      <c r="H48" s="202"/>
      <c r="I48" s="234">
        <v>6366</v>
      </c>
      <c r="J48" s="234">
        <v>6719</v>
      </c>
      <c r="K48" s="108"/>
      <c r="L48" s="378"/>
      <c r="M48" s="389"/>
      <c r="N48" s="397"/>
      <c r="O48" s="397">
        <f t="shared" si="2"/>
        <v>6366</v>
      </c>
      <c r="P48" s="398">
        <f t="shared" si="3"/>
        <v>6719</v>
      </c>
      <c r="Q48" s="274"/>
      <c r="R48" s="274"/>
      <c r="S48" s="274"/>
      <c r="T48" s="274"/>
      <c r="U48" s="274"/>
      <c r="V48" s="274"/>
    </row>
    <row r="49" spans="1:22" s="205" customFormat="1" ht="13.5" customHeight="1">
      <c r="A49" s="265" t="s">
        <v>47</v>
      </c>
      <c r="B49" s="266" t="s">
        <v>45</v>
      </c>
      <c r="C49" s="267"/>
      <c r="D49" s="267"/>
      <c r="E49" s="165"/>
      <c r="F49" s="165"/>
      <c r="G49" s="165"/>
      <c r="H49" s="165">
        <v>955354</v>
      </c>
      <c r="I49" s="234">
        <v>986597</v>
      </c>
      <c r="J49" s="234">
        <v>986643</v>
      </c>
      <c r="K49" s="108"/>
      <c r="L49" s="378"/>
      <c r="M49" s="389"/>
      <c r="N49" s="397">
        <f t="shared" si="1"/>
        <v>955354</v>
      </c>
      <c r="O49" s="397">
        <f t="shared" si="2"/>
        <v>986597</v>
      </c>
      <c r="P49" s="398">
        <f t="shared" si="3"/>
        <v>986643</v>
      </c>
      <c r="Q49" s="274"/>
      <c r="R49" s="274"/>
      <c r="S49" s="274"/>
      <c r="T49" s="274"/>
      <c r="U49" s="274"/>
      <c r="V49" s="274"/>
    </row>
    <row r="50" spans="1:22" s="205" customFormat="1" ht="13.5" customHeight="1">
      <c r="A50" s="265" t="s">
        <v>48</v>
      </c>
      <c r="B50" s="266" t="s">
        <v>102</v>
      </c>
      <c r="C50" s="267"/>
      <c r="D50" s="267"/>
      <c r="E50" s="165"/>
      <c r="F50" s="165"/>
      <c r="G50" s="165"/>
      <c r="H50" s="165"/>
      <c r="I50" s="233"/>
      <c r="J50" s="233"/>
      <c r="K50" s="108"/>
      <c r="L50" s="378"/>
      <c r="M50" s="389"/>
      <c r="N50" s="397">
        <f t="shared" si="1"/>
        <v>0</v>
      </c>
      <c r="O50" s="397">
        <f t="shared" si="2"/>
        <v>0</v>
      </c>
      <c r="P50" s="398">
        <f t="shared" si="3"/>
        <v>0</v>
      </c>
      <c r="Q50" s="274"/>
      <c r="R50" s="274"/>
      <c r="S50" s="274"/>
      <c r="T50" s="274"/>
      <c r="U50" s="274"/>
      <c r="V50" s="274"/>
    </row>
    <row r="51" spans="1:16" ht="13.5" customHeight="1" thickBot="1">
      <c r="A51" s="265" t="s">
        <v>168</v>
      </c>
      <c r="B51" s="263" t="s">
        <v>141</v>
      </c>
      <c r="C51" s="268"/>
      <c r="D51" s="268"/>
      <c r="E51" s="196"/>
      <c r="F51" s="196">
        <f>77+257</f>
        <v>334</v>
      </c>
      <c r="G51" s="245">
        <v>607</v>
      </c>
      <c r="H51" s="245"/>
      <c r="I51" s="245"/>
      <c r="J51" s="245"/>
      <c r="K51" s="108"/>
      <c r="L51" s="378"/>
      <c r="M51" s="392"/>
      <c r="N51" s="399">
        <f t="shared" si="1"/>
        <v>0</v>
      </c>
      <c r="O51" s="399">
        <f t="shared" si="2"/>
        <v>334</v>
      </c>
      <c r="P51" s="400">
        <f t="shared" si="3"/>
        <v>607</v>
      </c>
    </row>
    <row r="52" spans="1:16" ht="13.5" thickBot="1">
      <c r="A52" s="269" t="s">
        <v>4</v>
      </c>
      <c r="B52" s="270" t="s">
        <v>49</v>
      </c>
      <c r="C52" s="270"/>
      <c r="D52" s="270"/>
      <c r="E52" s="197">
        <f aca="true" t="shared" si="6" ref="E52:M52">SUM(E40:E51)</f>
        <v>603404</v>
      </c>
      <c r="F52" s="197">
        <f t="shared" si="6"/>
        <v>334</v>
      </c>
      <c r="G52" s="197">
        <f t="shared" si="6"/>
        <v>607</v>
      </c>
      <c r="H52" s="197">
        <f>SUM(H41:H51)</f>
        <v>955354</v>
      </c>
      <c r="I52" s="197">
        <f t="shared" si="6"/>
        <v>998873</v>
      </c>
      <c r="J52" s="197">
        <f t="shared" si="6"/>
        <v>999272</v>
      </c>
      <c r="K52" s="197">
        <f t="shared" si="6"/>
        <v>1955</v>
      </c>
      <c r="L52" s="380">
        <f t="shared" si="6"/>
        <v>6473</v>
      </c>
      <c r="M52" s="380">
        <f t="shared" si="6"/>
        <v>8122</v>
      </c>
      <c r="N52" s="402">
        <f t="shared" si="1"/>
        <v>1560713</v>
      </c>
      <c r="O52" s="402">
        <f t="shared" si="2"/>
        <v>1005680</v>
      </c>
      <c r="P52" s="403">
        <f t="shared" si="3"/>
        <v>1008001</v>
      </c>
    </row>
    <row r="53" spans="1:20" ht="13.5" thickBot="1">
      <c r="A53" s="136" t="s">
        <v>5</v>
      </c>
      <c r="B53" s="271" t="s">
        <v>54</v>
      </c>
      <c r="C53" s="272"/>
      <c r="D53" s="272"/>
      <c r="E53" s="147">
        <f aca="true" t="shared" si="7" ref="E53:M53">SUM(E38,E39,E52)</f>
        <v>3132415</v>
      </c>
      <c r="F53" s="147">
        <f t="shared" si="7"/>
        <v>2708918</v>
      </c>
      <c r="G53" s="147">
        <f t="shared" si="7"/>
        <v>2709191</v>
      </c>
      <c r="H53" s="147">
        <f t="shared" si="7"/>
        <v>955354</v>
      </c>
      <c r="I53" s="147">
        <f t="shared" si="7"/>
        <v>998873</v>
      </c>
      <c r="J53" s="147">
        <f t="shared" si="7"/>
        <v>999272</v>
      </c>
      <c r="K53" s="147">
        <f t="shared" si="7"/>
        <v>1955</v>
      </c>
      <c r="L53" s="147">
        <f t="shared" si="7"/>
        <v>6473</v>
      </c>
      <c r="M53" s="147">
        <f t="shared" si="7"/>
        <v>8122</v>
      </c>
      <c r="N53" s="448">
        <f t="shared" si="1"/>
        <v>4089724</v>
      </c>
      <c r="O53" s="448">
        <f t="shared" si="2"/>
        <v>3714264</v>
      </c>
      <c r="P53" s="449">
        <f t="shared" si="3"/>
        <v>3716585</v>
      </c>
      <c r="R53" s="75">
        <f>SUM(N40:N51)</f>
        <v>1560713</v>
      </c>
      <c r="S53" s="75">
        <f>SUM(O40:O51)</f>
        <v>1005680</v>
      </c>
      <c r="T53" s="75">
        <f>SUM(P40:P51)</f>
        <v>1008001</v>
      </c>
    </row>
    <row r="57" ht="12.75">
      <c r="F57" s="75"/>
    </row>
  </sheetData>
  <sheetProtection/>
  <mergeCells count="10">
    <mergeCell ref="M3:P3"/>
    <mergeCell ref="A2:P2"/>
    <mergeCell ref="C5:D5"/>
    <mergeCell ref="C4:G4"/>
    <mergeCell ref="H4:J4"/>
    <mergeCell ref="K4:M4"/>
    <mergeCell ref="N4:P4"/>
    <mergeCell ref="A4:B5"/>
    <mergeCell ref="A6:B6"/>
    <mergeCell ref="I3:L3"/>
  </mergeCells>
  <printOptions/>
  <pageMargins left="0.4724409448818898" right="0.15748031496062992" top="0.1968503937007874" bottom="0.1968503937007874" header="0.4330708661417323" footer="0.275590551181102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4" width="10.75390625" style="0" customWidth="1"/>
    <col min="5" max="7" width="9.75390625" style="12" customWidth="1"/>
    <col min="8" max="15" width="9.75390625" style="0" customWidth="1"/>
  </cols>
  <sheetData>
    <row r="1" spans="1:14" ht="25.5" customHeight="1">
      <c r="A1" s="310"/>
      <c r="B1" s="310"/>
      <c r="C1" s="310"/>
      <c r="D1" s="4"/>
      <c r="E1" s="4"/>
      <c r="F1" s="4"/>
      <c r="G1" s="4"/>
      <c r="H1" s="311" t="s">
        <v>120</v>
      </c>
      <c r="I1" s="311"/>
      <c r="J1" s="311"/>
      <c r="K1" s="312"/>
      <c r="L1" s="312"/>
      <c r="M1" s="312"/>
      <c r="N1" s="312"/>
    </row>
    <row r="2" spans="1:13" ht="25.5" customHeight="1">
      <c r="A2" s="4"/>
      <c r="B2" s="4"/>
      <c r="C2" s="4"/>
      <c r="D2" s="4"/>
      <c r="E2" s="4"/>
      <c r="F2" s="4"/>
      <c r="G2" s="4"/>
      <c r="H2" s="20"/>
      <c r="I2" s="20"/>
      <c r="J2" s="20"/>
      <c r="K2" s="20"/>
      <c r="L2" s="20"/>
      <c r="M2" s="20"/>
    </row>
    <row r="3" spans="1:15" ht="33" customHeight="1">
      <c r="A3" s="321" t="s">
        <v>151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0" ht="25.5" customHeight="1" thickBot="1">
      <c r="A4" s="4"/>
      <c r="B4" s="4"/>
      <c r="C4" s="4"/>
      <c r="D4" s="4"/>
      <c r="E4" s="5"/>
      <c r="F4" s="5"/>
      <c r="G4" s="5"/>
      <c r="H4" s="4"/>
      <c r="I4" s="4"/>
      <c r="J4" s="4"/>
    </row>
    <row r="5" spans="1:15" s="2" customFormat="1" ht="53.25" customHeight="1" thickBot="1">
      <c r="A5" s="315" t="s">
        <v>1</v>
      </c>
      <c r="B5" s="316"/>
      <c r="C5" s="317"/>
      <c r="D5" s="404" t="s">
        <v>18</v>
      </c>
      <c r="E5" s="405"/>
      <c r="F5" s="406"/>
      <c r="G5" s="303" t="s">
        <v>105</v>
      </c>
      <c r="H5" s="407"/>
      <c r="I5" s="304"/>
      <c r="J5" s="303" t="s">
        <v>106</v>
      </c>
      <c r="K5" s="407"/>
      <c r="L5" s="304"/>
      <c r="M5" s="322" t="s">
        <v>19</v>
      </c>
      <c r="N5" s="408"/>
      <c r="O5" s="323"/>
    </row>
    <row r="6" spans="1:15" s="2" customFormat="1" ht="26.25" customHeight="1" thickBot="1">
      <c r="A6" s="318"/>
      <c r="B6" s="319"/>
      <c r="C6" s="320"/>
      <c r="D6" s="370" t="s">
        <v>160</v>
      </c>
      <c r="E6" s="371" t="s">
        <v>130</v>
      </c>
      <c r="F6" s="371" t="s">
        <v>161</v>
      </c>
      <c r="G6" s="370" t="s">
        <v>160</v>
      </c>
      <c r="H6" s="371" t="s">
        <v>130</v>
      </c>
      <c r="I6" s="371" t="s">
        <v>161</v>
      </c>
      <c r="J6" s="370" t="s">
        <v>160</v>
      </c>
      <c r="K6" s="371" t="s">
        <v>130</v>
      </c>
      <c r="L6" s="371" t="s">
        <v>161</v>
      </c>
      <c r="M6" s="370" t="s">
        <v>160</v>
      </c>
      <c r="N6" s="371" t="s">
        <v>130</v>
      </c>
      <c r="O6" s="371" t="s">
        <v>161</v>
      </c>
    </row>
    <row r="7" spans="1:15" ht="13.5" customHeight="1" thickBot="1">
      <c r="A7" s="326">
        <v>1</v>
      </c>
      <c r="B7" s="327"/>
      <c r="C7" s="328"/>
      <c r="D7" s="277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420">
        <v>11</v>
      </c>
      <c r="N7" s="187">
        <v>12</v>
      </c>
      <c r="O7" s="188">
        <v>13</v>
      </c>
    </row>
    <row r="8" spans="1:16" ht="12.75">
      <c r="A8" s="40"/>
      <c r="B8" s="313" t="s">
        <v>8</v>
      </c>
      <c r="C8" s="314"/>
      <c r="D8" s="421">
        <v>2523000</v>
      </c>
      <c r="E8" s="41">
        <f>2623000+50000</f>
        <v>2673000</v>
      </c>
      <c r="F8" s="41">
        <v>2744599</v>
      </c>
      <c r="G8" s="41"/>
      <c r="H8" s="41"/>
      <c r="I8" s="82"/>
      <c r="J8" s="82"/>
      <c r="K8" s="82"/>
      <c r="L8" s="82"/>
      <c r="M8" s="441">
        <f>SUM(D8)</f>
        <v>2523000</v>
      </c>
      <c r="N8" s="82">
        <f aca="true" t="shared" si="0" ref="N8:O11">SUM(E8)</f>
        <v>2673000</v>
      </c>
      <c r="O8" s="82">
        <f t="shared" si="0"/>
        <v>2744599</v>
      </c>
      <c r="P8" s="12"/>
    </row>
    <row r="9" spans="1:16" ht="12.75">
      <c r="A9" s="43"/>
      <c r="B9" s="325" t="s">
        <v>9</v>
      </c>
      <c r="C9" s="308"/>
      <c r="D9" s="422">
        <v>1856997</v>
      </c>
      <c r="E9" s="57">
        <f>1856997+100000</f>
        <v>1956997</v>
      </c>
      <c r="F9" s="57">
        <v>1964667</v>
      </c>
      <c r="G9" s="57"/>
      <c r="H9" s="42"/>
      <c r="I9" s="42"/>
      <c r="J9" s="42"/>
      <c r="K9" s="42"/>
      <c r="L9" s="42"/>
      <c r="M9" s="441">
        <f>SUM(D9)</f>
        <v>1856997</v>
      </c>
      <c r="N9" s="42">
        <f t="shared" si="0"/>
        <v>1956997</v>
      </c>
      <c r="O9" s="42">
        <f t="shared" si="0"/>
        <v>1964667</v>
      </c>
      <c r="P9" s="12"/>
    </row>
    <row r="10" spans="1:16" ht="12.75">
      <c r="A10" s="44"/>
      <c r="B10" s="308" t="s">
        <v>11</v>
      </c>
      <c r="C10" s="309"/>
      <c r="D10" s="422">
        <v>128000</v>
      </c>
      <c r="E10" s="42">
        <v>128000</v>
      </c>
      <c r="F10" s="42">
        <v>132138</v>
      </c>
      <c r="G10" s="42"/>
      <c r="H10" s="42"/>
      <c r="I10" s="42"/>
      <c r="J10" s="42"/>
      <c r="K10" s="42"/>
      <c r="L10" s="42"/>
      <c r="M10" s="441">
        <f>SUM(D10)</f>
        <v>128000</v>
      </c>
      <c r="N10" s="42">
        <f t="shared" si="0"/>
        <v>128000</v>
      </c>
      <c r="O10" s="42">
        <f t="shared" si="0"/>
        <v>132138</v>
      </c>
      <c r="P10" s="12"/>
    </row>
    <row r="11" spans="1:16" ht="13.5" thickBot="1">
      <c r="A11" s="94"/>
      <c r="B11" s="308" t="s">
        <v>17</v>
      </c>
      <c r="C11" s="309"/>
      <c r="D11" s="422">
        <v>1630000</v>
      </c>
      <c r="E11" s="42">
        <f>1903935+400000</f>
        <v>2303935</v>
      </c>
      <c r="F11" s="42">
        <v>2368377</v>
      </c>
      <c r="G11" s="42"/>
      <c r="H11" s="42"/>
      <c r="I11" s="42"/>
      <c r="J11" s="42"/>
      <c r="K11" s="42"/>
      <c r="L11" s="42"/>
      <c r="M11" s="82">
        <f>SUM(D11)</f>
        <v>1630000</v>
      </c>
      <c r="N11" s="42">
        <f t="shared" si="0"/>
        <v>2303935</v>
      </c>
      <c r="O11" s="42">
        <f t="shared" si="0"/>
        <v>2368377</v>
      </c>
      <c r="P11" s="12"/>
    </row>
    <row r="12" spans="1:16" s="6" customFormat="1" ht="13.5" thickBot="1">
      <c r="A12" s="32" t="s">
        <v>2</v>
      </c>
      <c r="B12" s="305" t="s">
        <v>10</v>
      </c>
      <c r="C12" s="306"/>
      <c r="D12" s="423">
        <f>SUM(D8:D11)</f>
        <v>6137997</v>
      </c>
      <c r="E12" s="45">
        <f>SUM(E8:E11)</f>
        <v>7061932</v>
      </c>
      <c r="F12" s="45">
        <f>SUM(F8:F11)</f>
        <v>7209781</v>
      </c>
      <c r="G12" s="45"/>
      <c r="H12" s="45"/>
      <c r="I12" s="45"/>
      <c r="J12" s="45"/>
      <c r="K12" s="45"/>
      <c r="L12" s="45"/>
      <c r="M12" s="45">
        <f>SUM(M8:M11)</f>
        <v>6137997</v>
      </c>
      <c r="N12" s="45">
        <f>SUM(N8:N11)</f>
        <v>7061932</v>
      </c>
      <c r="O12" s="45">
        <f>SUM(O8:O11)</f>
        <v>7209781</v>
      </c>
      <c r="P12" s="12"/>
    </row>
    <row r="13" spans="1:16" s="6" customFormat="1" ht="12.75">
      <c r="A13" s="46"/>
      <c r="B13" s="324" t="s">
        <v>55</v>
      </c>
      <c r="C13" s="414"/>
      <c r="D13" s="424">
        <v>1000</v>
      </c>
      <c r="E13" s="47">
        <v>1000</v>
      </c>
      <c r="F13" s="47">
        <v>6900</v>
      </c>
      <c r="G13" s="47"/>
      <c r="H13" s="48"/>
      <c r="I13" s="83"/>
      <c r="J13" s="83"/>
      <c r="K13" s="83"/>
      <c r="L13" s="83"/>
      <c r="M13" s="442">
        <f>SUM(D13)</f>
        <v>1000</v>
      </c>
      <c r="N13" s="443">
        <f aca="true" t="shared" si="1" ref="N13:O18">SUM(E13)</f>
        <v>1000</v>
      </c>
      <c r="O13" s="443">
        <f t="shared" si="1"/>
        <v>6900</v>
      </c>
      <c r="P13" s="12"/>
    </row>
    <row r="14" spans="1:16" s="6" customFormat="1" ht="12.75">
      <c r="A14" s="33"/>
      <c r="B14" s="307" t="s">
        <v>162</v>
      </c>
      <c r="C14" s="415"/>
      <c r="D14" s="425"/>
      <c r="E14" s="49"/>
      <c r="F14" s="49">
        <v>4000</v>
      </c>
      <c r="G14" s="49"/>
      <c r="H14" s="50"/>
      <c r="I14" s="50"/>
      <c r="J14" s="50"/>
      <c r="K14" s="50"/>
      <c r="L14" s="50"/>
      <c r="M14" s="444">
        <f>SUM(D14)</f>
        <v>0</v>
      </c>
      <c r="N14" s="445">
        <f t="shared" si="1"/>
        <v>0</v>
      </c>
      <c r="O14" s="445">
        <f t="shared" si="1"/>
        <v>4000</v>
      </c>
      <c r="P14" s="12"/>
    </row>
    <row r="15" spans="1:16" s="6" customFormat="1" ht="12.75">
      <c r="A15" s="51"/>
      <c r="B15" s="307" t="s">
        <v>56</v>
      </c>
      <c r="C15" s="415"/>
      <c r="D15" s="426"/>
      <c r="E15" s="52"/>
      <c r="F15" s="52"/>
      <c r="G15" s="52"/>
      <c r="H15" s="53"/>
      <c r="I15" s="53"/>
      <c r="J15" s="53"/>
      <c r="K15" s="53"/>
      <c r="L15" s="53"/>
      <c r="M15" s="444">
        <f>SUM(D15)</f>
        <v>0</v>
      </c>
      <c r="N15" s="445">
        <f t="shared" si="1"/>
        <v>0</v>
      </c>
      <c r="O15" s="445">
        <f t="shared" si="1"/>
        <v>0</v>
      </c>
      <c r="P15" s="12"/>
    </row>
    <row r="16" spans="1:16" s="6" customFormat="1" ht="12.75">
      <c r="A16" s="51"/>
      <c r="B16" s="307" t="s">
        <v>108</v>
      </c>
      <c r="C16" s="415"/>
      <c r="D16" s="426">
        <v>160000</v>
      </c>
      <c r="E16" s="52">
        <v>160000</v>
      </c>
      <c r="F16" s="52">
        <v>166328</v>
      </c>
      <c r="G16" s="52"/>
      <c r="H16" s="53"/>
      <c r="I16" s="53"/>
      <c r="J16" s="53"/>
      <c r="K16" s="53"/>
      <c r="L16" s="53"/>
      <c r="M16" s="444">
        <f>SUM(D16)</f>
        <v>160000</v>
      </c>
      <c r="N16" s="445">
        <f t="shared" si="1"/>
        <v>160000</v>
      </c>
      <c r="O16" s="445">
        <f t="shared" si="1"/>
        <v>166328</v>
      </c>
      <c r="P16" s="12"/>
    </row>
    <row r="17" spans="1:16" s="6" customFormat="1" ht="12.75">
      <c r="A17" s="51"/>
      <c r="B17" s="307" t="s">
        <v>57</v>
      </c>
      <c r="C17" s="415"/>
      <c r="D17" s="426">
        <v>28334</v>
      </c>
      <c r="E17" s="52">
        <v>28334</v>
      </c>
      <c r="F17" s="52">
        <f>12735+35</f>
        <v>12770</v>
      </c>
      <c r="G17" s="52"/>
      <c r="H17" s="53"/>
      <c r="I17" s="53"/>
      <c r="J17" s="53"/>
      <c r="K17" s="53"/>
      <c r="L17" s="53"/>
      <c r="M17" s="444">
        <f>SUM(D17)</f>
        <v>28334</v>
      </c>
      <c r="N17" s="445">
        <f t="shared" si="1"/>
        <v>28334</v>
      </c>
      <c r="O17" s="445">
        <f t="shared" si="1"/>
        <v>12770</v>
      </c>
      <c r="P17" s="12"/>
    </row>
    <row r="18" spans="1:16" s="6" customFormat="1" ht="13.5" thickBot="1">
      <c r="A18" s="51"/>
      <c r="B18" s="307" t="s">
        <v>58</v>
      </c>
      <c r="C18" s="415"/>
      <c r="D18" s="426"/>
      <c r="E18" s="52"/>
      <c r="F18" s="52"/>
      <c r="G18" s="52"/>
      <c r="H18" s="53"/>
      <c r="I18" s="83">
        <v>4480</v>
      </c>
      <c r="J18" s="83"/>
      <c r="K18" s="83"/>
      <c r="L18" s="83"/>
      <c r="M18" s="442">
        <f>SUM(D18)</f>
        <v>0</v>
      </c>
      <c r="N18" s="446">
        <f t="shared" si="1"/>
        <v>0</v>
      </c>
      <c r="O18" s="446">
        <f>SUM(I18)</f>
        <v>4480</v>
      </c>
      <c r="P18" s="12"/>
    </row>
    <row r="19" spans="1:16" ht="13.5" thickBot="1">
      <c r="A19" s="32" t="s">
        <v>3</v>
      </c>
      <c r="B19" s="305" t="s">
        <v>59</v>
      </c>
      <c r="C19" s="306"/>
      <c r="D19" s="423">
        <f>SUM(D13:D18)</f>
        <v>189334</v>
      </c>
      <c r="E19" s="45">
        <f>SUM(E13:E18)</f>
        <v>189334</v>
      </c>
      <c r="F19" s="45">
        <f>SUM(F13:F18)</f>
        <v>189998</v>
      </c>
      <c r="G19" s="45">
        <f aca="true" t="shared" si="2" ref="G19:L19">SUM(G13:G18)</f>
        <v>0</v>
      </c>
      <c r="H19" s="45">
        <f t="shared" si="2"/>
        <v>0</v>
      </c>
      <c r="I19" s="45">
        <f t="shared" si="2"/>
        <v>4480</v>
      </c>
      <c r="J19" s="45">
        <f t="shared" si="2"/>
        <v>0</v>
      </c>
      <c r="K19" s="45">
        <f t="shared" si="2"/>
        <v>0</v>
      </c>
      <c r="L19" s="45">
        <f t="shared" si="2"/>
        <v>0</v>
      </c>
      <c r="M19" s="45">
        <f>SUM(M13:M18)</f>
        <v>189334</v>
      </c>
      <c r="N19" s="45">
        <f>SUM(N13:N18)</f>
        <v>189334</v>
      </c>
      <c r="O19" s="45">
        <f>SUM(O13:O18)</f>
        <v>194478</v>
      </c>
      <c r="P19" s="12"/>
    </row>
    <row r="20" spans="1:16" ht="22.5" customHeight="1" thickBot="1">
      <c r="A20" s="32" t="s">
        <v>6</v>
      </c>
      <c r="B20" s="306" t="s">
        <v>60</v>
      </c>
      <c r="C20" s="416"/>
      <c r="D20" s="427">
        <f>SUM(D12,D19)</f>
        <v>6327331</v>
      </c>
      <c r="E20" s="54">
        <f>SUM(E12,E19)</f>
        <v>7251266</v>
      </c>
      <c r="F20" s="54">
        <f>SUM(F12,F19)</f>
        <v>7399779</v>
      </c>
      <c r="G20" s="54">
        <f aca="true" t="shared" si="3" ref="G20:L20">SUM(G12,G19)</f>
        <v>0</v>
      </c>
      <c r="H20" s="54">
        <f t="shared" si="3"/>
        <v>0</v>
      </c>
      <c r="I20" s="54">
        <f t="shared" si="3"/>
        <v>4480</v>
      </c>
      <c r="J20" s="54">
        <f t="shared" si="3"/>
        <v>0</v>
      </c>
      <c r="K20" s="54">
        <f t="shared" si="3"/>
        <v>0</v>
      </c>
      <c r="L20" s="54">
        <f t="shared" si="3"/>
        <v>0</v>
      </c>
      <c r="M20" s="54">
        <f>SUM(M12,M19)</f>
        <v>6327331</v>
      </c>
      <c r="N20" s="54">
        <f>SUM(N12,N19)</f>
        <v>7251266</v>
      </c>
      <c r="O20" s="54">
        <f>SUM(O12,O19)</f>
        <v>7404259</v>
      </c>
      <c r="P20" s="12"/>
    </row>
    <row r="21" spans="1:15" ht="12.75">
      <c r="A21" s="7"/>
      <c r="B21" s="8"/>
      <c r="C21" s="8"/>
      <c r="D21" s="8"/>
      <c r="E21" s="9"/>
      <c r="F21" s="9"/>
      <c r="G21" s="9"/>
      <c r="H21" s="10"/>
      <c r="I21" s="10"/>
      <c r="J21" s="10"/>
      <c r="N21" s="12"/>
      <c r="O21" s="12"/>
    </row>
    <row r="22" spans="14:15" ht="12.75">
      <c r="N22" s="12"/>
      <c r="O22" s="12"/>
    </row>
    <row r="23" spans="14:15" ht="12.75">
      <c r="N23" s="12"/>
      <c r="O23" s="12"/>
    </row>
    <row r="24" spans="14:15" ht="12.75">
      <c r="N24" s="12"/>
      <c r="O24" s="12"/>
    </row>
    <row r="25" spans="14:15" ht="12.75">
      <c r="N25" s="12"/>
      <c r="O25" s="12"/>
    </row>
    <row r="26" spans="14:15" ht="12.75">
      <c r="N26" s="12"/>
      <c r="O26" s="12"/>
    </row>
    <row r="27" spans="14:15" ht="12.75">
      <c r="N27" s="12"/>
      <c r="O27" s="12"/>
    </row>
  </sheetData>
  <sheetProtection/>
  <mergeCells count="22">
    <mergeCell ref="B20:C20"/>
    <mergeCell ref="B18:C18"/>
    <mergeCell ref="D5:F5"/>
    <mergeCell ref="G5:I5"/>
    <mergeCell ref="J5:L5"/>
    <mergeCell ref="M5:O5"/>
    <mergeCell ref="A1:C1"/>
    <mergeCell ref="H1:N1"/>
    <mergeCell ref="B12:C12"/>
    <mergeCell ref="B17:C17"/>
    <mergeCell ref="B8:C8"/>
    <mergeCell ref="A5:C6"/>
    <mergeCell ref="A3:O3"/>
    <mergeCell ref="B19:C19"/>
    <mergeCell ref="B16:C16"/>
    <mergeCell ref="B15:C15"/>
    <mergeCell ref="B14:C14"/>
    <mergeCell ref="B10:C10"/>
    <mergeCell ref="B13:C13"/>
    <mergeCell ref="B11:C11"/>
    <mergeCell ref="B9:C9"/>
    <mergeCell ref="A7:C7"/>
  </mergeCells>
  <printOptions/>
  <pageMargins left="0.8661417322834646" right="0.15748031496062992" top="1.062992125984252" bottom="0.2755905511811024" header="0.6299212598425197" footer="0.275590551181102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4" width="9.375" style="0" customWidth="1"/>
    <col min="5" max="7" width="9.25390625" style="12" customWidth="1"/>
    <col min="8" max="15" width="9.25390625" style="0" customWidth="1"/>
  </cols>
  <sheetData>
    <row r="2" spans="1:15" ht="25.5" customHeight="1">
      <c r="A2" s="310"/>
      <c r="B2" s="310"/>
      <c r="C2" s="310"/>
      <c r="D2" s="4"/>
      <c r="E2" s="4"/>
      <c r="F2" s="4"/>
      <c r="G2" s="4"/>
      <c r="H2" s="311" t="s">
        <v>121</v>
      </c>
      <c r="I2" s="311"/>
      <c r="J2" s="311"/>
      <c r="K2" s="311"/>
      <c r="L2" s="311"/>
      <c r="M2" s="311"/>
      <c r="N2" s="311"/>
      <c r="O2" s="311"/>
    </row>
    <row r="3" spans="1:13" ht="25.5" customHeight="1">
      <c r="A3" s="4"/>
      <c r="B3" s="4"/>
      <c r="C3" s="4"/>
      <c r="D3" s="4"/>
      <c r="E3" s="4"/>
      <c r="F3" s="4"/>
      <c r="G3" s="4"/>
      <c r="H3" s="20"/>
      <c r="I3" s="20"/>
      <c r="J3" s="20"/>
      <c r="K3" s="20"/>
      <c r="L3" s="20"/>
      <c r="M3" s="20"/>
    </row>
    <row r="4" spans="1:15" ht="33" customHeight="1">
      <c r="A4" s="321" t="s">
        <v>150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0" ht="25.5" customHeight="1">
      <c r="A5" s="4"/>
      <c r="B5" s="4"/>
      <c r="C5" s="4"/>
      <c r="D5" s="4"/>
      <c r="E5" s="5"/>
      <c r="F5" s="5"/>
      <c r="G5" s="5"/>
      <c r="H5" s="4"/>
      <c r="I5" s="4"/>
      <c r="J5" s="4"/>
    </row>
    <row r="6" spans="1:15" ht="17.25" customHeight="1" thickBot="1">
      <c r="A6" s="4"/>
      <c r="B6" s="4"/>
      <c r="C6" s="4"/>
      <c r="D6" s="4"/>
      <c r="E6" s="5"/>
      <c r="F6" s="5"/>
      <c r="G6" s="5"/>
      <c r="H6" s="4"/>
      <c r="I6" s="4"/>
      <c r="J6" s="4"/>
      <c r="K6" s="335" t="s">
        <v>0</v>
      </c>
      <c r="L6" s="335"/>
      <c r="M6" s="335"/>
      <c r="N6" s="335"/>
      <c r="O6" s="335"/>
    </row>
    <row r="7" spans="1:15" ht="63" customHeight="1" thickBot="1">
      <c r="A7" s="315" t="s">
        <v>1</v>
      </c>
      <c r="B7" s="316"/>
      <c r="C7" s="317"/>
      <c r="D7" s="404" t="s">
        <v>18</v>
      </c>
      <c r="E7" s="405"/>
      <c r="F7" s="406"/>
      <c r="G7" s="303" t="s">
        <v>105</v>
      </c>
      <c r="H7" s="407"/>
      <c r="I7" s="304"/>
      <c r="J7" s="303" t="s">
        <v>106</v>
      </c>
      <c r="K7" s="407"/>
      <c r="L7" s="304"/>
      <c r="M7" s="322" t="s">
        <v>19</v>
      </c>
      <c r="N7" s="408"/>
      <c r="O7" s="323"/>
    </row>
    <row r="8" spans="1:15" ht="27" customHeight="1" thickBot="1">
      <c r="A8" s="318"/>
      <c r="B8" s="319"/>
      <c r="C8" s="320"/>
      <c r="D8" s="370" t="s">
        <v>160</v>
      </c>
      <c r="E8" s="371" t="s">
        <v>130</v>
      </c>
      <c r="F8" s="371" t="s">
        <v>161</v>
      </c>
      <c r="G8" s="370" t="s">
        <v>160</v>
      </c>
      <c r="H8" s="371" t="s">
        <v>130</v>
      </c>
      <c r="I8" s="371" t="s">
        <v>161</v>
      </c>
      <c r="J8" s="370" t="s">
        <v>160</v>
      </c>
      <c r="K8" s="371" t="s">
        <v>130</v>
      </c>
      <c r="L8" s="371" t="s">
        <v>161</v>
      </c>
      <c r="M8" s="370" t="s">
        <v>160</v>
      </c>
      <c r="N8" s="371" t="s">
        <v>130</v>
      </c>
      <c r="O8" s="371" t="s">
        <v>161</v>
      </c>
    </row>
    <row r="9" spans="1:15" s="21" customFormat="1" ht="13.5" thickBot="1">
      <c r="A9" s="326">
        <v>1</v>
      </c>
      <c r="B9" s="327"/>
      <c r="C9" s="328"/>
      <c r="D9" s="277">
        <v>2</v>
      </c>
      <c r="E9" s="31">
        <v>3</v>
      </c>
      <c r="F9" s="31">
        <v>4</v>
      </c>
      <c r="G9" s="31">
        <v>5</v>
      </c>
      <c r="H9" s="31">
        <v>6</v>
      </c>
      <c r="I9" s="31">
        <v>7</v>
      </c>
      <c r="J9" s="31">
        <v>8</v>
      </c>
      <c r="K9" s="31">
        <v>9</v>
      </c>
      <c r="L9" s="31">
        <v>10</v>
      </c>
      <c r="M9" s="76">
        <v>11</v>
      </c>
      <c r="N9" s="187">
        <v>12</v>
      </c>
      <c r="O9" s="188">
        <v>13</v>
      </c>
    </row>
    <row r="10" spans="1:16" s="21" customFormat="1" ht="12.75">
      <c r="A10" s="181"/>
      <c r="B10" s="334" t="s">
        <v>7</v>
      </c>
      <c r="C10" s="411"/>
      <c r="D10" s="413"/>
      <c r="E10" s="201"/>
      <c r="F10" s="201"/>
      <c r="G10" s="183">
        <v>72</v>
      </c>
      <c r="H10" s="183">
        <v>72</v>
      </c>
      <c r="I10" s="183">
        <v>768</v>
      </c>
      <c r="J10" s="183"/>
      <c r="K10" s="182"/>
      <c r="L10" s="182"/>
      <c r="M10" s="428">
        <f>SUM(D10,G10,J10)</f>
        <v>72</v>
      </c>
      <c r="N10" s="183">
        <f>SUM(H10)</f>
        <v>72</v>
      </c>
      <c r="O10" s="184">
        <f>SUM(I10)</f>
        <v>768</v>
      </c>
      <c r="P10" s="276"/>
    </row>
    <row r="11" spans="1:16" s="21" customFormat="1" ht="12.75">
      <c r="A11" s="55"/>
      <c r="B11" s="333" t="s">
        <v>61</v>
      </c>
      <c r="C11" s="412"/>
      <c r="D11" s="52">
        <v>5405833</v>
      </c>
      <c r="E11" s="52">
        <f>5405833+59000</f>
        <v>5464833</v>
      </c>
      <c r="F11" s="52">
        <v>5490308</v>
      </c>
      <c r="G11" s="52">
        <v>137579</v>
      </c>
      <c r="H11" s="52">
        <f>137579+7000</f>
        <v>144579</v>
      </c>
      <c r="I11" s="52">
        <v>157240</v>
      </c>
      <c r="J11" s="52"/>
      <c r="K11" s="52"/>
      <c r="L11" s="52"/>
      <c r="M11" s="430">
        <f aca="true" t="shared" si="0" ref="M11:M19">SUM(D11,G11,J11)</f>
        <v>5543412</v>
      </c>
      <c r="N11" s="52">
        <f>SUM(E11,H11,K11)</f>
        <v>5609412</v>
      </c>
      <c r="O11" s="52">
        <f>SUM(F11,I11,L11)</f>
        <v>5647548</v>
      </c>
      <c r="P11" s="276"/>
    </row>
    <row r="12" spans="1:16" s="21" customFormat="1" ht="12.75">
      <c r="A12" s="56"/>
      <c r="B12" s="331" t="s">
        <v>62</v>
      </c>
      <c r="C12" s="332"/>
      <c r="D12" s="49">
        <v>505000</v>
      </c>
      <c r="E12" s="49">
        <f>505000+79000</f>
        <v>584000</v>
      </c>
      <c r="F12" s="49">
        <v>584205</v>
      </c>
      <c r="G12" s="49">
        <v>562032</v>
      </c>
      <c r="H12" s="49">
        <f>562032-21629</f>
        <v>540403</v>
      </c>
      <c r="I12" s="49">
        <v>546083</v>
      </c>
      <c r="J12" s="52">
        <v>1260</v>
      </c>
      <c r="K12" s="52">
        <v>1260</v>
      </c>
      <c r="L12" s="52">
        <v>2356</v>
      </c>
      <c r="M12" s="430">
        <f t="shared" si="0"/>
        <v>1068292</v>
      </c>
      <c r="N12" s="52">
        <f>SUM(E12,H12,K12)</f>
        <v>1125663</v>
      </c>
      <c r="O12" s="52">
        <f>SUM(F12,I12,L12)</f>
        <v>1132644</v>
      </c>
      <c r="P12" s="276"/>
    </row>
    <row r="13" spans="1:16" s="21" customFormat="1" ht="12.75">
      <c r="A13" s="56"/>
      <c r="B13" s="331" t="s">
        <v>63</v>
      </c>
      <c r="C13" s="332"/>
      <c r="D13" s="49"/>
      <c r="E13" s="49"/>
      <c r="F13" s="49">
        <v>2785</v>
      </c>
      <c r="G13" s="49"/>
      <c r="H13" s="49"/>
      <c r="I13" s="49"/>
      <c r="J13" s="52"/>
      <c r="K13" s="52"/>
      <c r="L13" s="52"/>
      <c r="M13" s="430">
        <f t="shared" si="0"/>
        <v>0</v>
      </c>
      <c r="N13" s="52">
        <f>SUM(E13,H13,K13)</f>
        <v>0</v>
      </c>
      <c r="O13" s="52">
        <f>SUM(F13,I13,L13)</f>
        <v>2785</v>
      </c>
      <c r="P13" s="276"/>
    </row>
    <row r="14" spans="1:16" s="21" customFormat="1" ht="12.75">
      <c r="A14" s="56"/>
      <c r="B14" s="331" t="s">
        <v>64</v>
      </c>
      <c r="C14" s="332"/>
      <c r="D14" s="49">
        <v>48592</v>
      </c>
      <c r="E14" s="49">
        <v>48592</v>
      </c>
      <c r="F14" s="49">
        <v>47971</v>
      </c>
      <c r="G14" s="49"/>
      <c r="H14" s="49"/>
      <c r="I14" s="49"/>
      <c r="J14" s="49">
        <v>65370</v>
      </c>
      <c r="K14" s="49">
        <v>65370</v>
      </c>
      <c r="L14" s="49">
        <v>66606</v>
      </c>
      <c r="M14" s="430">
        <f t="shared" si="0"/>
        <v>113962</v>
      </c>
      <c r="N14" s="52">
        <f>SUM(E14,H14,K14)</f>
        <v>113962</v>
      </c>
      <c r="O14" s="52">
        <f>SUM(F14,I14,L14)</f>
        <v>114577</v>
      </c>
      <c r="P14" s="276"/>
    </row>
    <row r="15" spans="1:16" s="21" customFormat="1" ht="12.75">
      <c r="A15" s="56"/>
      <c r="B15" s="331" t="s">
        <v>65</v>
      </c>
      <c r="C15" s="332"/>
      <c r="D15" s="49">
        <v>1599564</v>
      </c>
      <c r="E15" s="49">
        <v>1599564</v>
      </c>
      <c r="F15" s="49">
        <v>1513356</v>
      </c>
      <c r="G15" s="49">
        <v>174337</v>
      </c>
      <c r="H15" s="49">
        <f>174337-5840</f>
        <v>168497</v>
      </c>
      <c r="I15" s="49">
        <v>128186</v>
      </c>
      <c r="J15" s="49">
        <v>10020</v>
      </c>
      <c r="K15" s="49">
        <v>10020</v>
      </c>
      <c r="L15" s="49">
        <f>10186+2</f>
        <v>10188</v>
      </c>
      <c r="M15" s="430">
        <f t="shared" si="0"/>
        <v>1783921</v>
      </c>
      <c r="N15" s="52">
        <f>SUM(E15,H15,K15)</f>
        <v>1778081</v>
      </c>
      <c r="O15" s="52">
        <f>SUM(F15,I15,L15)</f>
        <v>1651730</v>
      </c>
      <c r="P15" s="276"/>
    </row>
    <row r="16" spans="1:16" s="21" customFormat="1" ht="12.75">
      <c r="A16" s="56"/>
      <c r="B16" s="333" t="s">
        <v>69</v>
      </c>
      <c r="C16" s="412"/>
      <c r="D16" s="49"/>
      <c r="E16" s="49"/>
      <c r="F16" s="49">
        <v>3396</v>
      </c>
      <c r="G16" s="49"/>
      <c r="H16" s="49"/>
      <c r="I16" s="49"/>
      <c r="J16" s="52"/>
      <c r="K16" s="52"/>
      <c r="L16" s="52">
        <v>12226</v>
      </c>
      <c r="M16" s="430">
        <f t="shared" si="0"/>
        <v>0</v>
      </c>
      <c r="N16" s="52">
        <f>SUM(E16,H16,K16)</f>
        <v>0</v>
      </c>
      <c r="O16" s="52">
        <f>SUM(F16,I16,L16)</f>
        <v>15622</v>
      </c>
      <c r="P16" s="276"/>
    </row>
    <row r="17" spans="1:16" s="21" customFormat="1" ht="12.75">
      <c r="A17" s="56"/>
      <c r="B17" s="331" t="s">
        <v>70</v>
      </c>
      <c r="C17" s="332"/>
      <c r="D17" s="49">
        <v>49200</v>
      </c>
      <c r="E17" s="49">
        <v>49200</v>
      </c>
      <c r="F17" s="49">
        <v>49211</v>
      </c>
      <c r="G17" s="49"/>
      <c r="H17" s="49"/>
      <c r="I17" s="49">
        <v>11</v>
      </c>
      <c r="J17" s="52"/>
      <c r="K17" s="52"/>
      <c r="L17" s="52"/>
      <c r="M17" s="430">
        <f t="shared" si="0"/>
        <v>49200</v>
      </c>
      <c r="N17" s="52">
        <f>SUM(E17,H17,K17)</f>
        <v>49200</v>
      </c>
      <c r="O17" s="52">
        <f>SUM(F17,I17,L17)</f>
        <v>49222</v>
      </c>
      <c r="P17" s="276"/>
    </row>
    <row r="18" spans="1:16" s="21" customFormat="1" ht="12.75">
      <c r="A18" s="56"/>
      <c r="B18" s="331" t="s">
        <v>71</v>
      </c>
      <c r="C18" s="332"/>
      <c r="D18" s="57"/>
      <c r="E18" s="57"/>
      <c r="F18" s="57">
        <v>113</v>
      </c>
      <c r="G18" s="49">
        <v>167</v>
      </c>
      <c r="H18" s="49">
        <v>167</v>
      </c>
      <c r="I18" s="49">
        <f>121+2017</f>
        <v>2138</v>
      </c>
      <c r="J18" s="84"/>
      <c r="K18" s="84"/>
      <c r="L18" s="84"/>
      <c r="M18" s="430">
        <f t="shared" si="0"/>
        <v>167</v>
      </c>
      <c r="N18" s="52">
        <f>SUM(E18,H18,K18)</f>
        <v>167</v>
      </c>
      <c r="O18" s="52">
        <f>SUM(F18,I18,L18)</f>
        <v>2251</v>
      </c>
      <c r="P18" s="276"/>
    </row>
    <row r="19" spans="1:16" s="21" customFormat="1" ht="13.5" thickBot="1">
      <c r="A19" s="56"/>
      <c r="B19" s="331" t="s">
        <v>34</v>
      </c>
      <c r="C19" s="332"/>
      <c r="D19" s="57">
        <v>211028</v>
      </c>
      <c r="E19" s="57">
        <f>211028+114154+41000+100000-6000</f>
        <v>460182</v>
      </c>
      <c r="F19" s="57">
        <f>676503+440</f>
        <v>676943</v>
      </c>
      <c r="G19" s="57">
        <v>102008</v>
      </c>
      <c r="H19" s="49">
        <v>102008</v>
      </c>
      <c r="I19" s="49">
        <v>61705</v>
      </c>
      <c r="J19" s="57"/>
      <c r="K19" s="90">
        <v>2145</v>
      </c>
      <c r="L19" s="90">
        <f>2567+28</f>
        <v>2595</v>
      </c>
      <c r="M19" s="429">
        <f t="shared" si="0"/>
        <v>313036</v>
      </c>
      <c r="N19" s="52">
        <f>SUM(E19,H19,K19)</f>
        <v>564335</v>
      </c>
      <c r="O19" s="52">
        <f>SUM(F19,I19,L19)</f>
        <v>741243</v>
      </c>
      <c r="P19" s="276"/>
    </row>
    <row r="20" spans="1:16" s="22" customFormat="1" ht="16.5" customHeight="1" thickBot="1">
      <c r="A20" s="58" t="s">
        <v>32</v>
      </c>
      <c r="B20" s="329" t="s">
        <v>36</v>
      </c>
      <c r="C20" s="330"/>
      <c r="D20" s="59">
        <f>SUM(D10:D19)</f>
        <v>7819217</v>
      </c>
      <c r="E20" s="59">
        <f>SUM(E10:E19)</f>
        <v>8206371</v>
      </c>
      <c r="F20" s="59">
        <f aca="true" t="shared" si="1" ref="F20:O20">SUM(F10:F19)</f>
        <v>8368288</v>
      </c>
      <c r="G20" s="59">
        <f t="shared" si="1"/>
        <v>976195</v>
      </c>
      <c r="H20" s="59">
        <f t="shared" si="1"/>
        <v>955726</v>
      </c>
      <c r="I20" s="59">
        <f t="shared" si="1"/>
        <v>896131</v>
      </c>
      <c r="J20" s="59">
        <f>SUM(J10:J19)</f>
        <v>76650</v>
      </c>
      <c r="K20" s="59">
        <f t="shared" si="1"/>
        <v>78795</v>
      </c>
      <c r="L20" s="59">
        <f t="shared" si="1"/>
        <v>93971</v>
      </c>
      <c r="M20" s="59">
        <f t="shared" si="1"/>
        <v>8872062</v>
      </c>
      <c r="N20" s="59">
        <f t="shared" si="1"/>
        <v>9240892</v>
      </c>
      <c r="O20" s="59">
        <f t="shared" si="1"/>
        <v>9358390</v>
      </c>
      <c r="P20" s="276"/>
    </row>
    <row r="22" spans="8:14" ht="12.75">
      <c r="H22" s="180"/>
      <c r="N22" s="12"/>
    </row>
    <row r="23" ht="12.75">
      <c r="H23" s="12"/>
    </row>
  </sheetData>
  <sheetProtection/>
  <mergeCells count="21">
    <mergeCell ref="M7:O7"/>
    <mergeCell ref="A2:C2"/>
    <mergeCell ref="H2:O2"/>
    <mergeCell ref="A4:O4"/>
    <mergeCell ref="K6:O6"/>
    <mergeCell ref="D7:F7"/>
    <mergeCell ref="G7:I7"/>
    <mergeCell ref="J7:L7"/>
    <mergeCell ref="A9:C9"/>
    <mergeCell ref="B14:C14"/>
    <mergeCell ref="A7:C8"/>
    <mergeCell ref="B18:C18"/>
    <mergeCell ref="B11:C11"/>
    <mergeCell ref="B10:C10"/>
    <mergeCell ref="B12:C12"/>
    <mergeCell ref="B20:C20"/>
    <mergeCell ref="B13:C13"/>
    <mergeCell ref="B17:C17"/>
    <mergeCell ref="B19:C19"/>
    <mergeCell ref="B16:C16"/>
    <mergeCell ref="B15:C15"/>
  </mergeCells>
  <printOptions/>
  <pageMargins left="0.6692913385826772" right="0.15748031496062992" top="1.062992125984252" bottom="0.2755905511811024" header="0.6299212598425197" footer="0.275590551181102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N20" sqref="A1:N20"/>
    </sheetView>
  </sheetViews>
  <sheetFormatPr defaultColWidth="9.00390625" defaultRowHeight="12.75"/>
  <cols>
    <col min="1" max="1" width="3.125" style="2" customWidth="1"/>
    <col min="2" max="2" width="44.625" style="2" customWidth="1"/>
    <col min="3" max="12" width="9.25390625" style="2" customWidth="1"/>
    <col min="13" max="14" width="9.25390625" style="3" customWidth="1"/>
    <col min="15" max="16" width="9.125" style="2" customWidth="1"/>
    <col min="17" max="17" width="9.75390625" style="3" bestFit="1" customWidth="1"/>
    <col min="18" max="22" width="9.125" style="3" customWidth="1"/>
    <col min="23" max="16384" width="9.125" style="2" customWidth="1"/>
  </cols>
  <sheetData>
    <row r="1" spans="10:13" ht="12.75">
      <c r="J1" s="338" t="s">
        <v>122</v>
      </c>
      <c r="K1" s="338"/>
      <c r="L1" s="338"/>
      <c r="M1" s="338"/>
    </row>
    <row r="2" spans="7:12" ht="12.75">
      <c r="G2" s="338"/>
      <c r="H2" s="338"/>
      <c r="I2" s="338"/>
      <c r="J2" s="338"/>
      <c r="K2" s="185"/>
      <c r="L2" s="185"/>
    </row>
    <row r="3" spans="1:14" ht="31.5" customHeight="1">
      <c r="A3" s="336" t="s">
        <v>149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2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 thickBot="1">
      <c r="A6" s="16"/>
      <c r="B6" s="16"/>
      <c r="C6" s="16"/>
      <c r="D6" s="16"/>
      <c r="E6" s="16"/>
      <c r="F6" s="16"/>
      <c r="G6" s="16"/>
      <c r="H6" s="16"/>
      <c r="I6" s="16"/>
      <c r="J6" s="337" t="s">
        <v>0</v>
      </c>
      <c r="K6" s="337"/>
      <c r="L6" s="337"/>
      <c r="M6" s="337"/>
      <c r="N6" s="337"/>
    </row>
    <row r="7" spans="1:14" ht="75" customHeight="1" thickBot="1">
      <c r="A7" s="315" t="s">
        <v>1</v>
      </c>
      <c r="B7" s="317"/>
      <c r="C7" s="404" t="s">
        <v>18</v>
      </c>
      <c r="D7" s="405"/>
      <c r="E7" s="406"/>
      <c r="F7" s="303" t="s">
        <v>105</v>
      </c>
      <c r="G7" s="407"/>
      <c r="H7" s="304"/>
      <c r="I7" s="303" t="s">
        <v>106</v>
      </c>
      <c r="J7" s="407"/>
      <c r="K7" s="304"/>
      <c r="L7" s="322" t="s">
        <v>19</v>
      </c>
      <c r="M7" s="408"/>
      <c r="N7" s="323"/>
    </row>
    <row r="8" spans="1:22" s="15" customFormat="1" ht="24.75" customHeight="1" thickBot="1">
      <c r="A8" s="318"/>
      <c r="B8" s="320"/>
      <c r="C8" s="370" t="s">
        <v>160</v>
      </c>
      <c r="D8" s="371" t="s">
        <v>130</v>
      </c>
      <c r="E8" s="371" t="s">
        <v>161</v>
      </c>
      <c r="F8" s="370" t="s">
        <v>160</v>
      </c>
      <c r="G8" s="371" t="s">
        <v>130</v>
      </c>
      <c r="H8" s="371" t="s">
        <v>161</v>
      </c>
      <c r="I8" s="370" t="s">
        <v>160</v>
      </c>
      <c r="J8" s="371" t="s">
        <v>130</v>
      </c>
      <c r="K8" s="371" t="s">
        <v>161</v>
      </c>
      <c r="L8" s="370" t="s">
        <v>160</v>
      </c>
      <c r="M8" s="371" t="s">
        <v>130</v>
      </c>
      <c r="N8" s="371" t="s">
        <v>161</v>
      </c>
      <c r="Q8" s="275"/>
      <c r="R8" s="275"/>
      <c r="S8" s="275"/>
      <c r="T8" s="275"/>
      <c r="U8" s="275"/>
      <c r="V8" s="275"/>
    </row>
    <row r="9" spans="1:22" s="15" customFormat="1" ht="15" customHeight="1" thickBot="1">
      <c r="A9" s="339" t="s">
        <v>2</v>
      </c>
      <c r="B9" s="340"/>
      <c r="C9" s="277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76">
        <v>11</v>
      </c>
      <c r="M9" s="187">
        <v>12</v>
      </c>
      <c r="N9" s="188">
        <v>13</v>
      </c>
      <c r="Q9" s="275"/>
      <c r="R9" s="275"/>
      <c r="S9" s="275"/>
      <c r="T9" s="275"/>
      <c r="U9" s="275"/>
      <c r="V9" s="275"/>
    </row>
    <row r="10" spans="1:22" s="15" customFormat="1" ht="24">
      <c r="A10" s="198"/>
      <c r="B10" s="37" t="s">
        <v>72</v>
      </c>
      <c r="C10" s="37"/>
      <c r="D10" s="35"/>
      <c r="E10" s="35"/>
      <c r="F10" s="35"/>
      <c r="G10" s="34"/>
      <c r="H10" s="34"/>
      <c r="I10" s="34"/>
      <c r="J10" s="34"/>
      <c r="K10" s="34"/>
      <c r="L10" s="34"/>
      <c r="M10" s="164"/>
      <c r="N10" s="164"/>
      <c r="Q10" s="275"/>
      <c r="R10" s="275"/>
      <c r="S10" s="275"/>
      <c r="T10" s="275"/>
      <c r="U10" s="275"/>
      <c r="V10" s="275"/>
    </row>
    <row r="11" spans="1:22" s="15" customFormat="1" ht="12.75">
      <c r="A11" s="38"/>
      <c r="B11" s="37"/>
      <c r="C11" s="37"/>
      <c r="D11" s="35"/>
      <c r="E11" s="35"/>
      <c r="F11" s="35"/>
      <c r="G11" s="34"/>
      <c r="H11" s="34"/>
      <c r="I11" s="34"/>
      <c r="J11" s="34"/>
      <c r="K11" s="34"/>
      <c r="L11" s="34"/>
      <c r="M11" s="164"/>
      <c r="N11" s="164"/>
      <c r="Q11" s="275"/>
      <c r="R11" s="275"/>
      <c r="S11" s="275"/>
      <c r="T11" s="275"/>
      <c r="U11" s="275"/>
      <c r="V11" s="275"/>
    </row>
    <row r="12" spans="1:22" s="15" customFormat="1" ht="12.75">
      <c r="A12" s="38"/>
      <c r="B12" s="37" t="s">
        <v>143</v>
      </c>
      <c r="C12" s="35">
        <f>293814-62464</f>
        <v>231350</v>
      </c>
      <c r="D12" s="35">
        <f>293814</f>
        <v>293814</v>
      </c>
      <c r="E12" s="35">
        <f>293814+2180</f>
        <v>295994</v>
      </c>
      <c r="F12" s="35"/>
      <c r="G12" s="34"/>
      <c r="H12" s="34"/>
      <c r="I12" s="34"/>
      <c r="J12" s="34"/>
      <c r="K12" s="34"/>
      <c r="L12" s="35">
        <f>SUM(C12)</f>
        <v>231350</v>
      </c>
      <c r="M12" s="35">
        <f>SUM(D12)</f>
        <v>293814</v>
      </c>
      <c r="N12" s="35">
        <f>SUM(E12)</f>
        <v>295994</v>
      </c>
      <c r="O12" s="275"/>
      <c r="Q12" s="275"/>
      <c r="R12" s="275"/>
      <c r="S12" s="275"/>
      <c r="T12" s="275"/>
      <c r="U12" s="275"/>
      <c r="V12" s="275"/>
    </row>
    <row r="13" spans="1:22" s="15" customFormat="1" ht="12.75">
      <c r="A13" s="38"/>
      <c r="B13" s="37" t="s">
        <v>144</v>
      </c>
      <c r="C13" s="35">
        <f>565150-120150</f>
        <v>445000</v>
      </c>
      <c r="D13" s="35">
        <f>565150</f>
        <v>565150</v>
      </c>
      <c r="E13" s="35">
        <f>565150+4192</f>
        <v>569342</v>
      </c>
      <c r="F13" s="35"/>
      <c r="G13" s="34"/>
      <c r="H13" s="34"/>
      <c r="I13" s="34"/>
      <c r="J13" s="34"/>
      <c r="K13" s="34"/>
      <c r="L13" s="35">
        <f aca="true" t="shared" si="0" ref="L13:L18">SUM(C13)</f>
        <v>445000</v>
      </c>
      <c r="M13" s="35">
        <f aca="true" t="shared" si="1" ref="M13:M18">SUM(D13)</f>
        <v>565150</v>
      </c>
      <c r="N13" s="35">
        <f aca="true" t="shared" si="2" ref="N13:N18">SUM(E13)</f>
        <v>569342</v>
      </c>
      <c r="O13" s="275"/>
      <c r="Q13" s="275"/>
      <c r="R13" s="275"/>
      <c r="S13" s="275"/>
      <c r="T13" s="275"/>
      <c r="U13" s="275"/>
      <c r="V13" s="275"/>
    </row>
    <row r="14" spans="1:22" s="15" customFormat="1" ht="24">
      <c r="A14" s="38"/>
      <c r="B14" s="37" t="s">
        <v>145</v>
      </c>
      <c r="C14" s="35">
        <f>1979270-420790</f>
        <v>1558480</v>
      </c>
      <c r="D14" s="35">
        <f>1979270-20834</f>
        <v>1958436</v>
      </c>
      <c r="E14" s="35">
        <f>1958436+14528</f>
        <v>1972964</v>
      </c>
      <c r="F14" s="35"/>
      <c r="G14" s="34"/>
      <c r="H14" s="34"/>
      <c r="I14" s="34"/>
      <c r="J14" s="34"/>
      <c r="K14" s="34"/>
      <c r="L14" s="35">
        <f t="shared" si="0"/>
        <v>1558480</v>
      </c>
      <c r="M14" s="35">
        <f t="shared" si="1"/>
        <v>1958436</v>
      </c>
      <c r="N14" s="35">
        <f t="shared" si="2"/>
        <v>1972964</v>
      </c>
      <c r="O14" s="275"/>
      <c r="Q14" s="275"/>
      <c r="R14" s="275"/>
      <c r="S14" s="275"/>
      <c r="T14" s="275"/>
      <c r="U14" s="275"/>
      <c r="V14" s="275"/>
    </row>
    <row r="15" spans="1:22" s="15" customFormat="1" ht="12.75">
      <c r="A15" s="38"/>
      <c r="B15" s="37" t="s">
        <v>129</v>
      </c>
      <c r="C15" s="35">
        <v>1500000</v>
      </c>
      <c r="D15" s="35">
        <v>1500000</v>
      </c>
      <c r="E15" s="35">
        <f>979100+500000</f>
        <v>1479100</v>
      </c>
      <c r="F15" s="35"/>
      <c r="G15" s="34"/>
      <c r="H15" s="34"/>
      <c r="I15" s="34"/>
      <c r="J15" s="34"/>
      <c r="K15" s="34"/>
      <c r="L15" s="35">
        <f t="shared" si="0"/>
        <v>1500000</v>
      </c>
      <c r="M15" s="35">
        <f t="shared" si="1"/>
        <v>1500000</v>
      </c>
      <c r="N15" s="35">
        <f t="shared" si="2"/>
        <v>1479100</v>
      </c>
      <c r="O15" s="275"/>
      <c r="Q15" s="275"/>
      <c r="R15" s="275"/>
      <c r="S15" s="275"/>
      <c r="T15" s="275"/>
      <c r="U15" s="275"/>
      <c r="V15" s="275"/>
    </row>
    <row r="16" spans="1:22" s="15" customFormat="1" ht="24">
      <c r="A16" s="38"/>
      <c r="B16" s="37" t="s">
        <v>146</v>
      </c>
      <c r="C16" s="35">
        <v>1627896</v>
      </c>
      <c r="D16" s="35"/>
      <c r="E16" s="35"/>
      <c r="F16" s="35"/>
      <c r="G16" s="34"/>
      <c r="H16" s="34"/>
      <c r="I16" s="34"/>
      <c r="J16" s="34"/>
      <c r="K16" s="34"/>
      <c r="L16" s="35">
        <f t="shared" si="0"/>
        <v>1627896</v>
      </c>
      <c r="M16" s="35">
        <f t="shared" si="1"/>
        <v>0</v>
      </c>
      <c r="N16" s="35">
        <f t="shared" si="2"/>
        <v>0</v>
      </c>
      <c r="O16" s="275"/>
      <c r="Q16" s="275"/>
      <c r="R16" s="275"/>
      <c r="S16" s="275"/>
      <c r="T16" s="275"/>
      <c r="U16" s="275"/>
      <c r="V16" s="275"/>
    </row>
    <row r="17" spans="1:22" s="15" customFormat="1" ht="12.75">
      <c r="A17" s="38"/>
      <c r="B17" s="37" t="s">
        <v>158</v>
      </c>
      <c r="C17" s="35"/>
      <c r="D17" s="35">
        <v>1112</v>
      </c>
      <c r="E17" s="35">
        <v>1112</v>
      </c>
      <c r="F17" s="35"/>
      <c r="G17" s="34"/>
      <c r="H17" s="34"/>
      <c r="I17" s="34"/>
      <c r="J17" s="34"/>
      <c r="K17" s="34"/>
      <c r="L17" s="35">
        <f t="shared" si="0"/>
        <v>0</v>
      </c>
      <c r="M17" s="35">
        <f t="shared" si="1"/>
        <v>1112</v>
      </c>
      <c r="N17" s="35">
        <f t="shared" si="2"/>
        <v>1112</v>
      </c>
      <c r="O17" s="275"/>
      <c r="Q17" s="275"/>
      <c r="R17" s="275"/>
      <c r="S17" s="275"/>
      <c r="T17" s="275"/>
      <c r="U17" s="275"/>
      <c r="V17" s="275"/>
    </row>
    <row r="18" spans="1:22" s="15" customFormat="1" ht="13.5" thickBot="1">
      <c r="A18" s="38"/>
      <c r="B18" s="37" t="s">
        <v>128</v>
      </c>
      <c r="C18" s="35">
        <v>300000</v>
      </c>
      <c r="D18" s="35">
        <f>300000-300000</f>
        <v>0</v>
      </c>
      <c r="E18" s="35"/>
      <c r="F18" s="35"/>
      <c r="G18" s="34"/>
      <c r="H18" s="34"/>
      <c r="I18" s="34"/>
      <c r="J18" s="34"/>
      <c r="K18" s="34"/>
      <c r="L18" s="35">
        <f t="shared" si="0"/>
        <v>300000</v>
      </c>
      <c r="M18" s="35">
        <f t="shared" si="1"/>
        <v>0</v>
      </c>
      <c r="N18" s="35">
        <f t="shared" si="2"/>
        <v>0</v>
      </c>
      <c r="O18" s="275"/>
      <c r="Q18" s="275"/>
      <c r="R18" s="275"/>
      <c r="S18" s="275"/>
      <c r="T18" s="275"/>
      <c r="U18" s="275"/>
      <c r="V18" s="275"/>
    </row>
    <row r="19" spans="1:15" ht="25.5" customHeight="1" thickBot="1">
      <c r="A19" s="28" t="s">
        <v>42</v>
      </c>
      <c r="B19" s="23" t="s">
        <v>73</v>
      </c>
      <c r="C19" s="17">
        <f>SUM(C10:C18)</f>
        <v>5662726</v>
      </c>
      <c r="D19" s="17">
        <f>SUM(D10:D18)</f>
        <v>4318512</v>
      </c>
      <c r="E19" s="17">
        <f>SUM(E10:E18)</f>
        <v>4318512</v>
      </c>
      <c r="F19" s="17"/>
      <c r="G19" s="17">
        <f>SUM(G14:G18)</f>
        <v>0</v>
      </c>
      <c r="H19" s="17"/>
      <c r="I19" s="17"/>
      <c r="J19" s="17">
        <f>SUM(J14:J18)</f>
        <v>0</v>
      </c>
      <c r="K19" s="17"/>
      <c r="L19" s="17">
        <f>SUM(L10:L18)</f>
        <v>5662726</v>
      </c>
      <c r="M19" s="17">
        <f>SUM(M10:M18)</f>
        <v>4318512</v>
      </c>
      <c r="N19" s="17">
        <f>SUM(N10:N18)</f>
        <v>4318512</v>
      </c>
      <c r="O19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>
        <f>SUM(D11:D14)</f>
        <v>2817400</v>
      </c>
      <c r="E23" s="3"/>
      <c r="F23" s="3"/>
    </row>
    <row r="24" spans="4:9" ht="12.75">
      <c r="D24" s="2">
        <v>-2838300</v>
      </c>
      <c r="E24" s="3"/>
      <c r="F24" s="3"/>
      <c r="G24" s="3"/>
      <c r="H24" s="3"/>
      <c r="I24" s="3"/>
    </row>
    <row r="25" ht="12.75">
      <c r="D25" s="3">
        <f>SUM(D23:D24)</f>
        <v>-20900</v>
      </c>
    </row>
    <row r="26" spans="5:6" ht="12.75">
      <c r="E26" s="2">
        <f>SUM(D25/D23)</f>
        <v>-0.00741818698090438</v>
      </c>
      <c r="F26" s="3">
        <f>SUM(D12*E26)</f>
        <v>-2179.5671896074396</v>
      </c>
    </row>
    <row r="27" ht="12.75">
      <c r="F27" s="3">
        <f>SUM(D13*E26)</f>
        <v>-4192.38837225811</v>
      </c>
    </row>
    <row r="28" ht="12.75">
      <c r="F28" s="3">
        <f>SUM(D14*E26)</f>
        <v>-14528.04443813445</v>
      </c>
    </row>
    <row r="29" ht="12.75">
      <c r="F29" s="3">
        <f>SUM(F26:F28)</f>
        <v>-20900</v>
      </c>
    </row>
  </sheetData>
  <sheetProtection/>
  <mergeCells count="10">
    <mergeCell ref="C7:E7"/>
    <mergeCell ref="F7:H7"/>
    <mergeCell ref="I7:K7"/>
    <mergeCell ref="L7:N7"/>
    <mergeCell ref="A3:N3"/>
    <mergeCell ref="J6:N6"/>
    <mergeCell ref="A7:B8"/>
    <mergeCell ref="J1:M1"/>
    <mergeCell ref="A9:B9"/>
    <mergeCell ref="G2:J2"/>
  </mergeCells>
  <printOptions/>
  <pageMargins left="0.2755905511811024" right="0.15748031496062992" top="1.062992125984252" bottom="0.2755905511811024" header="0.6299212598425197" footer="0.275590551181102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L16" sqref="L16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15" width="9.25390625" style="2" customWidth="1"/>
    <col min="16" max="16384" width="9.125" style="2" customWidth="1"/>
  </cols>
  <sheetData>
    <row r="1" spans="8:14" ht="12.75">
      <c r="H1" s="338" t="s">
        <v>123</v>
      </c>
      <c r="I1" s="338"/>
      <c r="J1" s="338"/>
      <c r="K1" s="338"/>
      <c r="L1" s="338"/>
      <c r="M1" s="338"/>
      <c r="N1" s="338"/>
    </row>
    <row r="4" spans="1:15" ht="19.5" customHeight="1">
      <c r="A4" s="336" t="s">
        <v>148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ht="19.5" customHeight="1">
      <c r="A5" s="336" t="s">
        <v>20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6" spans="3:13" ht="19.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3:15" ht="19.5" customHeight="1" thickBot="1">
      <c r="C7" s="14"/>
      <c r="D7" s="14"/>
      <c r="E7" s="14"/>
      <c r="F7" s="14"/>
      <c r="G7" s="14"/>
      <c r="H7" s="14"/>
      <c r="I7" s="14"/>
      <c r="J7" s="14"/>
      <c r="K7" s="347" t="s">
        <v>0</v>
      </c>
      <c r="L7" s="347"/>
      <c r="M7" s="347"/>
      <c r="N7" s="347"/>
      <c r="O7" s="347"/>
    </row>
    <row r="8" spans="1:15" ht="78" customHeight="1" thickBot="1">
      <c r="A8" s="315" t="s">
        <v>1</v>
      </c>
      <c r="B8" s="316"/>
      <c r="C8" s="317"/>
      <c r="D8" s="404" t="s">
        <v>18</v>
      </c>
      <c r="E8" s="405"/>
      <c r="F8" s="406"/>
      <c r="G8" s="303" t="s">
        <v>105</v>
      </c>
      <c r="H8" s="407"/>
      <c r="I8" s="304"/>
      <c r="J8" s="303" t="s">
        <v>106</v>
      </c>
      <c r="K8" s="407"/>
      <c r="L8" s="304"/>
      <c r="M8" s="322" t="s">
        <v>19</v>
      </c>
      <c r="N8" s="408"/>
      <c r="O8" s="323"/>
    </row>
    <row r="9" spans="1:15" ht="19.5" customHeight="1" thickBot="1">
      <c r="A9" s="318"/>
      <c r="B9" s="319"/>
      <c r="C9" s="320"/>
      <c r="D9" s="370" t="s">
        <v>160</v>
      </c>
      <c r="E9" s="371" t="s">
        <v>130</v>
      </c>
      <c r="F9" s="371" t="s">
        <v>161</v>
      </c>
      <c r="G9" s="370" t="s">
        <v>160</v>
      </c>
      <c r="H9" s="371" t="s">
        <v>130</v>
      </c>
      <c r="I9" s="371" t="s">
        <v>161</v>
      </c>
      <c r="J9" s="370" t="s">
        <v>160</v>
      </c>
      <c r="K9" s="371" t="s">
        <v>130</v>
      </c>
      <c r="L9" s="371" t="s">
        <v>161</v>
      </c>
      <c r="M9" s="370" t="s">
        <v>160</v>
      </c>
      <c r="N9" s="371" t="s">
        <v>130</v>
      </c>
      <c r="O9" s="371" t="s">
        <v>161</v>
      </c>
    </row>
    <row r="10" spans="1:15" ht="19.5" customHeight="1" thickBot="1">
      <c r="A10" s="326">
        <v>1</v>
      </c>
      <c r="B10" s="327"/>
      <c r="C10" s="328"/>
      <c r="D10" s="277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1">
        <v>9</v>
      </c>
      <c r="L10" s="31">
        <v>10</v>
      </c>
      <c r="M10" s="76">
        <v>11</v>
      </c>
      <c r="N10" s="187">
        <v>12</v>
      </c>
      <c r="O10" s="418">
        <v>13</v>
      </c>
    </row>
    <row r="11" spans="1:15" ht="19.5" customHeight="1">
      <c r="A11" s="60"/>
      <c r="B11" s="345" t="s">
        <v>12</v>
      </c>
      <c r="C11" s="346"/>
      <c r="D11" s="431"/>
      <c r="E11" s="61"/>
      <c r="F11" s="61"/>
      <c r="G11" s="61"/>
      <c r="H11" s="62"/>
      <c r="I11" s="189"/>
      <c r="J11" s="417"/>
      <c r="K11" s="63"/>
      <c r="L11" s="63"/>
      <c r="M11" s="63"/>
      <c r="N11" s="92"/>
      <c r="O11" s="92"/>
    </row>
    <row r="12" spans="1:15" ht="17.25" customHeight="1">
      <c r="A12" s="64"/>
      <c r="B12" s="343" t="s">
        <v>13</v>
      </c>
      <c r="C12" s="344"/>
      <c r="D12" s="431"/>
      <c r="E12" s="18"/>
      <c r="F12" s="18"/>
      <c r="G12" s="18"/>
      <c r="H12" s="39"/>
      <c r="I12" s="39"/>
      <c r="J12" s="30"/>
      <c r="K12" s="65"/>
      <c r="L12" s="65"/>
      <c r="M12" s="65"/>
      <c r="N12" s="93"/>
      <c r="O12" s="93"/>
    </row>
    <row r="13" spans="1:16" ht="19.5" customHeight="1">
      <c r="A13" s="64"/>
      <c r="B13" s="343" t="s">
        <v>103</v>
      </c>
      <c r="C13" s="344"/>
      <c r="D13" s="432">
        <v>1218105</v>
      </c>
      <c r="E13" s="30">
        <f>1218105+1053589+53625</f>
        <v>2325319</v>
      </c>
      <c r="F13" s="30">
        <v>2298507</v>
      </c>
      <c r="G13" s="30"/>
      <c r="H13" s="30"/>
      <c r="I13" s="30"/>
      <c r="J13" s="39"/>
      <c r="K13" s="65"/>
      <c r="L13" s="91"/>
      <c r="M13" s="91">
        <f>SUM(D13)</f>
        <v>1218105</v>
      </c>
      <c r="N13" s="91">
        <f>SUM(E13,H13,K13)</f>
        <v>2325319</v>
      </c>
      <c r="O13" s="91">
        <f>SUM(F13)</f>
        <v>2298507</v>
      </c>
      <c r="P13" s="3"/>
    </row>
    <row r="14" spans="1:16" ht="19.5" customHeight="1">
      <c r="A14" s="64"/>
      <c r="B14" s="343" t="s">
        <v>68</v>
      </c>
      <c r="C14" s="344"/>
      <c r="D14" s="433">
        <v>150000</v>
      </c>
      <c r="E14" s="39">
        <f>150000+39236+27838</f>
        <v>217074</v>
      </c>
      <c r="F14" s="39">
        <v>217117</v>
      </c>
      <c r="G14" s="39"/>
      <c r="H14" s="39"/>
      <c r="I14" s="39"/>
      <c r="J14" s="39"/>
      <c r="K14" s="65"/>
      <c r="L14" s="65"/>
      <c r="M14" s="91">
        <f>SUM(D14)</f>
        <v>150000</v>
      </c>
      <c r="N14" s="65">
        <f>SUM(E14,H14,K14)</f>
        <v>217074</v>
      </c>
      <c r="O14" s="91">
        <f>SUM(F14)</f>
        <v>217117</v>
      </c>
      <c r="P14" s="3"/>
    </row>
    <row r="15" spans="1:16" ht="19.5" customHeight="1">
      <c r="A15" s="64"/>
      <c r="B15" s="343" t="s">
        <v>66</v>
      </c>
      <c r="C15" s="344"/>
      <c r="D15" s="433"/>
      <c r="E15" s="39"/>
      <c r="F15" s="39"/>
      <c r="G15" s="39"/>
      <c r="H15" s="39">
        <v>85</v>
      </c>
      <c r="I15" s="39">
        <v>85</v>
      </c>
      <c r="J15" s="39"/>
      <c r="K15" s="65"/>
      <c r="L15" s="65">
        <v>7</v>
      </c>
      <c r="M15" s="91">
        <f>SUM(D15)</f>
        <v>0</v>
      </c>
      <c r="N15" s="65">
        <f>SUM(E15,H15,K15)</f>
        <v>85</v>
      </c>
      <c r="O15" s="91">
        <f>SUM(I15,L15)</f>
        <v>92</v>
      </c>
      <c r="P15" s="3"/>
    </row>
    <row r="16" spans="1:16" ht="19.5" customHeight="1" thickBot="1">
      <c r="A16" s="64"/>
      <c r="B16" s="343" t="s">
        <v>67</v>
      </c>
      <c r="C16" s="344"/>
      <c r="D16" s="434"/>
      <c r="E16" s="19"/>
      <c r="F16" s="19"/>
      <c r="G16" s="19"/>
      <c r="H16" s="19"/>
      <c r="I16" s="19"/>
      <c r="J16" s="19"/>
      <c r="K16" s="66"/>
      <c r="L16" s="66"/>
      <c r="M16" s="91">
        <f>SUM(D16)</f>
        <v>0</v>
      </c>
      <c r="N16" s="65">
        <f>SUM(E16,H16,K16)</f>
        <v>0</v>
      </c>
      <c r="O16" s="91">
        <f>SUM(F16)</f>
        <v>0</v>
      </c>
      <c r="P16" s="3"/>
    </row>
    <row r="17" spans="1:16" ht="27" customHeight="1" thickBot="1">
      <c r="A17" s="67" t="s">
        <v>85</v>
      </c>
      <c r="B17" s="341" t="s">
        <v>21</v>
      </c>
      <c r="C17" s="342"/>
      <c r="D17" s="68">
        <f>SUM(D13:D16)</f>
        <v>1368105</v>
      </c>
      <c r="E17" s="68">
        <f>SUM(E13:E16)</f>
        <v>2542393</v>
      </c>
      <c r="F17" s="68">
        <f>SUM(F13:F16)</f>
        <v>2515624</v>
      </c>
      <c r="G17" s="68"/>
      <c r="H17" s="68">
        <f>SUM(H15:H16)</f>
        <v>85</v>
      </c>
      <c r="I17" s="68">
        <f>SUM(I15:I16)</f>
        <v>85</v>
      </c>
      <c r="J17" s="68"/>
      <c r="K17" s="68"/>
      <c r="L17" s="68">
        <f>SUM(L15:L16)</f>
        <v>7</v>
      </c>
      <c r="M17" s="17">
        <f>SUM(M13:M16)</f>
        <v>1368105</v>
      </c>
      <c r="N17" s="17">
        <f>SUM(N13:N16)</f>
        <v>2542478</v>
      </c>
      <c r="O17" s="17">
        <f>SUM(O13:O16)</f>
        <v>2515716</v>
      </c>
      <c r="P17" s="3"/>
    </row>
    <row r="18" spans="3:10" ht="12.75">
      <c r="C18" s="15"/>
      <c r="D18" s="15"/>
      <c r="E18" s="15"/>
      <c r="F18" s="15"/>
      <c r="G18" s="15"/>
      <c r="H18" s="15"/>
      <c r="I18" s="15"/>
      <c r="J18" s="15"/>
    </row>
    <row r="20" spans="5:7" ht="12.75">
      <c r="E20" s="3"/>
      <c r="F20" s="3"/>
      <c r="G20" s="3"/>
    </row>
    <row r="25" spans="5:7" ht="12.75">
      <c r="E25" s="3"/>
      <c r="F25" s="3"/>
      <c r="G25" s="3"/>
    </row>
    <row r="27" spans="5:7" ht="12.75">
      <c r="E27" s="3"/>
      <c r="F27" s="3"/>
      <c r="G27" s="3"/>
    </row>
  </sheetData>
  <sheetProtection/>
  <mergeCells count="17">
    <mergeCell ref="D8:F8"/>
    <mergeCell ref="G8:I8"/>
    <mergeCell ref="J8:L8"/>
    <mergeCell ref="M8:O8"/>
    <mergeCell ref="A4:O4"/>
    <mergeCell ref="A5:O5"/>
    <mergeCell ref="K7:O7"/>
    <mergeCell ref="H1:N1"/>
    <mergeCell ref="B14:C14"/>
    <mergeCell ref="A10:C10"/>
    <mergeCell ref="A8:C9"/>
    <mergeCell ref="B17:C17"/>
    <mergeCell ref="B13:C13"/>
    <mergeCell ref="B15:C15"/>
    <mergeCell ref="B16:C16"/>
    <mergeCell ref="B11:C11"/>
    <mergeCell ref="B12:C12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15" width="9.25390625" style="0" customWidth="1"/>
  </cols>
  <sheetData>
    <row r="1" spans="8:15" ht="12.75">
      <c r="H1" s="348" t="s">
        <v>125</v>
      </c>
      <c r="I1" s="348"/>
      <c r="J1" s="348"/>
      <c r="K1" s="348"/>
      <c r="L1" s="348"/>
      <c r="M1" s="348"/>
      <c r="N1" s="348"/>
      <c r="O1" s="348"/>
    </row>
    <row r="2" spans="8:13" ht="12.75">
      <c r="H2" s="348"/>
      <c r="I2" s="348"/>
      <c r="J2" s="348"/>
      <c r="K2" s="348"/>
      <c r="L2" s="186"/>
      <c r="M2" s="186"/>
    </row>
    <row r="3" spans="1:13" ht="25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78"/>
      <c r="L3" s="78"/>
      <c r="M3" s="78"/>
    </row>
    <row r="4" spans="1:15" ht="33" customHeight="1">
      <c r="A4" s="321" t="s">
        <v>147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ht="25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35" t="s">
        <v>0</v>
      </c>
      <c r="O5" s="335"/>
    </row>
    <row r="6" spans="1:15" s="2" customFormat="1" ht="78" customHeight="1" thickBot="1">
      <c r="A6" s="315" t="s">
        <v>1</v>
      </c>
      <c r="B6" s="316"/>
      <c r="C6" s="317"/>
      <c r="D6" s="404" t="s">
        <v>18</v>
      </c>
      <c r="E6" s="405"/>
      <c r="F6" s="406"/>
      <c r="G6" s="303" t="s">
        <v>105</v>
      </c>
      <c r="H6" s="407"/>
      <c r="I6" s="304"/>
      <c r="J6" s="303" t="s">
        <v>106</v>
      </c>
      <c r="K6" s="407"/>
      <c r="L6" s="304"/>
      <c r="M6" s="322" t="s">
        <v>19</v>
      </c>
      <c r="N6" s="408"/>
      <c r="O6" s="323"/>
    </row>
    <row r="7" spans="1:15" s="2" customFormat="1" ht="19.5" customHeight="1" thickBot="1">
      <c r="A7" s="318"/>
      <c r="B7" s="319"/>
      <c r="C7" s="320"/>
      <c r="D7" s="370" t="s">
        <v>160</v>
      </c>
      <c r="E7" s="371" t="s">
        <v>130</v>
      </c>
      <c r="F7" s="371" t="s">
        <v>161</v>
      </c>
      <c r="G7" s="370" t="s">
        <v>160</v>
      </c>
      <c r="H7" s="371" t="s">
        <v>130</v>
      </c>
      <c r="I7" s="371" t="s">
        <v>161</v>
      </c>
      <c r="J7" s="370" t="s">
        <v>160</v>
      </c>
      <c r="K7" s="371" t="s">
        <v>130</v>
      </c>
      <c r="L7" s="371" t="s">
        <v>161</v>
      </c>
      <c r="M7" s="370" t="s">
        <v>160</v>
      </c>
      <c r="N7" s="371" t="s">
        <v>130</v>
      </c>
      <c r="O7" s="371" t="s">
        <v>161</v>
      </c>
    </row>
    <row r="8" spans="1:15" s="26" customFormat="1" ht="12.75" customHeight="1" thickBot="1">
      <c r="A8" s="326">
        <v>1</v>
      </c>
      <c r="B8" s="327"/>
      <c r="C8" s="328"/>
      <c r="D8" s="277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76">
        <v>11</v>
      </c>
      <c r="N8" s="187">
        <v>12</v>
      </c>
      <c r="O8" s="418">
        <v>13</v>
      </c>
    </row>
    <row r="9" spans="1:19" s="2" customFormat="1" ht="27" customHeight="1" thickBot="1">
      <c r="A9" s="69"/>
      <c r="B9" s="355" t="s">
        <v>15</v>
      </c>
      <c r="C9" s="356"/>
      <c r="D9" s="77">
        <v>27997</v>
      </c>
      <c r="E9" s="77">
        <f>27997-4071</f>
        <v>23926</v>
      </c>
      <c r="F9" s="77">
        <f>4474+18201</f>
        <v>22675</v>
      </c>
      <c r="G9" s="77"/>
      <c r="H9" s="70"/>
      <c r="I9" s="70"/>
      <c r="J9" s="70"/>
      <c r="K9" s="70"/>
      <c r="L9" s="70"/>
      <c r="M9" s="70">
        <f>SUM(D9)</f>
        <v>27997</v>
      </c>
      <c r="N9" s="17">
        <f>SUM(E9,K9)</f>
        <v>23926</v>
      </c>
      <c r="O9" s="17">
        <f aca="true" t="shared" si="0" ref="N9:O16">SUM(F9)</f>
        <v>22675</v>
      </c>
      <c r="S9" s="3"/>
    </row>
    <row r="10" spans="1:19" s="2" customFormat="1" ht="30.75" customHeight="1" thickBot="1">
      <c r="A10" s="69"/>
      <c r="B10" s="355" t="s">
        <v>16</v>
      </c>
      <c r="C10" s="356"/>
      <c r="D10" s="77">
        <v>1072</v>
      </c>
      <c r="E10" s="77">
        <v>1072</v>
      </c>
      <c r="F10" s="77">
        <f>568+406</f>
        <v>974</v>
      </c>
      <c r="G10" s="77"/>
      <c r="H10" s="70"/>
      <c r="I10" s="70"/>
      <c r="J10" s="70"/>
      <c r="K10" s="70"/>
      <c r="L10" s="70"/>
      <c r="M10" s="70">
        <f>SUM(D10)</f>
        <v>1072</v>
      </c>
      <c r="N10" s="17">
        <f>SUM(E10,K10)</f>
        <v>1072</v>
      </c>
      <c r="O10" s="17">
        <f t="shared" si="0"/>
        <v>974</v>
      </c>
      <c r="S10" s="3"/>
    </row>
    <row r="11" spans="1:19" s="2" customFormat="1" ht="27" customHeight="1" thickBot="1">
      <c r="A11" s="69"/>
      <c r="B11" s="353" t="s">
        <v>113</v>
      </c>
      <c r="C11" s="354"/>
      <c r="D11" s="77">
        <v>1300</v>
      </c>
      <c r="E11" s="77">
        <v>1300</v>
      </c>
      <c r="F11" s="77">
        <v>1084</v>
      </c>
      <c r="G11" s="77"/>
      <c r="H11" s="70"/>
      <c r="I11" s="70"/>
      <c r="J11" s="70"/>
      <c r="K11" s="70"/>
      <c r="L11" s="70"/>
      <c r="M11" s="70">
        <f>SUM(D11)</f>
        <v>1300</v>
      </c>
      <c r="N11" s="17">
        <f>SUM(E11,K11)</f>
        <v>1300</v>
      </c>
      <c r="O11" s="17">
        <f t="shared" si="0"/>
        <v>1084</v>
      </c>
      <c r="S11" s="3"/>
    </row>
    <row r="12" spans="1:19" s="2" customFormat="1" ht="27" customHeight="1" thickBot="1">
      <c r="A12" s="69"/>
      <c r="B12" s="353" t="s">
        <v>163</v>
      </c>
      <c r="C12" s="354"/>
      <c r="D12" s="77"/>
      <c r="E12" s="77"/>
      <c r="F12" s="77">
        <v>1593</v>
      </c>
      <c r="G12" s="77"/>
      <c r="H12" s="70"/>
      <c r="I12" s="70"/>
      <c r="J12" s="70"/>
      <c r="K12" s="70"/>
      <c r="L12" s="70"/>
      <c r="M12" s="70"/>
      <c r="N12" s="17"/>
      <c r="O12" s="17"/>
      <c r="S12" s="3"/>
    </row>
    <row r="13" spans="1:15" s="2" customFormat="1" ht="27" customHeight="1" thickBot="1">
      <c r="A13" s="71" t="s">
        <v>2</v>
      </c>
      <c r="B13" s="351" t="s">
        <v>74</v>
      </c>
      <c r="C13" s="352"/>
      <c r="D13" s="70">
        <f>SUM(D9:D11)</f>
        <v>30369</v>
      </c>
      <c r="E13" s="70">
        <f>SUM(E9:E11)</f>
        <v>26298</v>
      </c>
      <c r="F13" s="70">
        <f>SUM(F9:F12)</f>
        <v>26326</v>
      </c>
      <c r="G13" s="70"/>
      <c r="H13" s="70"/>
      <c r="I13" s="70"/>
      <c r="J13" s="70"/>
      <c r="K13" s="70"/>
      <c r="L13" s="70"/>
      <c r="M13" s="17">
        <f>SUM(D13,J13)</f>
        <v>30369</v>
      </c>
      <c r="N13" s="17">
        <f>SUM(E13,K13)</f>
        <v>26298</v>
      </c>
      <c r="O13" s="17">
        <f t="shared" si="0"/>
        <v>26326</v>
      </c>
    </row>
    <row r="14" spans="1:15" s="2" customFormat="1" ht="16.5" customHeight="1" thickBot="1">
      <c r="A14" s="25"/>
      <c r="B14" s="353"/>
      <c r="C14" s="354"/>
      <c r="D14" s="278"/>
      <c r="E14" s="29"/>
      <c r="F14" s="29"/>
      <c r="G14" s="19"/>
      <c r="H14" s="19"/>
      <c r="I14" s="19"/>
      <c r="J14" s="19"/>
      <c r="K14" s="19"/>
      <c r="L14" s="19"/>
      <c r="M14" s="19"/>
      <c r="N14" s="17">
        <f>SUM(E14,K14)</f>
        <v>0</v>
      </c>
      <c r="O14" s="17">
        <f t="shared" si="0"/>
        <v>0</v>
      </c>
    </row>
    <row r="15" spans="1:15" s="1" customFormat="1" ht="25.5" customHeight="1" thickBot="1">
      <c r="A15" s="28"/>
      <c r="B15" s="349" t="s">
        <v>159</v>
      </c>
      <c r="C15" s="350"/>
      <c r="D15" s="279"/>
      <c r="E15" s="200">
        <v>15748</v>
      </c>
      <c r="F15" s="200">
        <v>15748</v>
      </c>
      <c r="G15" s="419"/>
      <c r="H15" s="68"/>
      <c r="I15" s="68"/>
      <c r="J15" s="68"/>
      <c r="K15" s="17"/>
      <c r="L15" s="199"/>
      <c r="M15" s="199"/>
      <c r="N15" s="199">
        <f t="shared" si="0"/>
        <v>15748</v>
      </c>
      <c r="O15" s="199">
        <f t="shared" si="0"/>
        <v>15748</v>
      </c>
    </row>
    <row r="16" spans="1:15" s="1" customFormat="1" ht="37.5" customHeight="1" thickBot="1">
      <c r="A16" s="28"/>
      <c r="B16" s="349" t="s">
        <v>157</v>
      </c>
      <c r="C16" s="350"/>
      <c r="D16" s="200"/>
      <c r="E16" s="200">
        <v>35000</v>
      </c>
      <c r="F16" s="200">
        <v>35000</v>
      </c>
      <c r="G16" s="419"/>
      <c r="H16" s="68"/>
      <c r="I16" s="68"/>
      <c r="J16" s="68"/>
      <c r="K16" s="17"/>
      <c r="L16" s="199"/>
      <c r="M16" s="199">
        <f>SUM(D16)</f>
        <v>0</v>
      </c>
      <c r="N16" s="199">
        <f t="shared" si="0"/>
        <v>35000</v>
      </c>
      <c r="O16" s="199">
        <f t="shared" si="0"/>
        <v>35000</v>
      </c>
    </row>
    <row r="17" spans="1:15" s="1" customFormat="1" ht="25.5" customHeight="1" thickBot="1">
      <c r="A17" s="25" t="s">
        <v>3</v>
      </c>
      <c r="B17" s="351" t="s">
        <v>14</v>
      </c>
      <c r="C17" s="352"/>
      <c r="D17" s="17">
        <f>SUM(D15:D16)</f>
        <v>0</v>
      </c>
      <c r="E17" s="17">
        <f>SUM(E15:E16)</f>
        <v>50748</v>
      </c>
      <c r="F17" s="17">
        <f>SUM(F15:F16)</f>
        <v>50748</v>
      </c>
      <c r="G17" s="17"/>
      <c r="H17" s="17"/>
      <c r="I17" s="17"/>
      <c r="J17" s="17"/>
      <c r="K17" s="17"/>
      <c r="L17" s="17"/>
      <c r="M17" s="17">
        <f>SUM(D17,J17)</f>
        <v>0</v>
      </c>
      <c r="N17" s="17">
        <f>SUM(E17,K17)</f>
        <v>50748</v>
      </c>
      <c r="O17" s="17">
        <f>SUM(O15:O16)</f>
        <v>50748</v>
      </c>
    </row>
    <row r="18" spans="1:15" s="26" customFormat="1" ht="27" customHeight="1" thickBot="1">
      <c r="A18" s="72" t="s">
        <v>88</v>
      </c>
      <c r="B18" s="351" t="s">
        <v>75</v>
      </c>
      <c r="C18" s="352"/>
      <c r="D18" s="45">
        <f>SUM(D13,D17)</f>
        <v>30369</v>
      </c>
      <c r="E18" s="45">
        <f>SUM(E13,E17)</f>
        <v>77046</v>
      </c>
      <c r="F18" s="45">
        <f>SUM(F13,F17)</f>
        <v>77074</v>
      </c>
      <c r="G18" s="73"/>
      <c r="H18" s="73"/>
      <c r="I18" s="73"/>
      <c r="J18" s="73"/>
      <c r="K18" s="45"/>
      <c r="L18" s="74"/>
      <c r="M18" s="74">
        <f>SUM(M13,M17)</f>
        <v>30369</v>
      </c>
      <c r="N18" s="74">
        <f>SUM(N13,N17)</f>
        <v>77046</v>
      </c>
      <c r="O18" s="74">
        <f>SUM(O13,O17)</f>
        <v>77074</v>
      </c>
    </row>
    <row r="19" ht="12.75">
      <c r="N19" s="12"/>
    </row>
    <row r="20" ht="12.75">
      <c r="N20" s="12"/>
    </row>
    <row r="21" ht="12.75">
      <c r="N21" s="12"/>
    </row>
    <row r="26" spans="5:7" ht="12.75">
      <c r="E26" s="12"/>
      <c r="F26" s="12"/>
      <c r="G26" s="12"/>
    </row>
    <row r="28" spans="5:7" ht="12.75">
      <c r="E28" s="12"/>
      <c r="F28" s="12"/>
      <c r="G28" s="12"/>
    </row>
  </sheetData>
  <sheetProtection/>
  <mergeCells count="20">
    <mergeCell ref="J6:L6"/>
    <mergeCell ref="M6:O6"/>
    <mergeCell ref="H1:O1"/>
    <mergeCell ref="N5:O5"/>
    <mergeCell ref="B12:C12"/>
    <mergeCell ref="B17:C17"/>
    <mergeCell ref="A8:C8"/>
    <mergeCell ref="A4:O4"/>
    <mergeCell ref="B18:C18"/>
    <mergeCell ref="B14:C14"/>
    <mergeCell ref="B9:C9"/>
    <mergeCell ref="B10:C10"/>
    <mergeCell ref="B11:C11"/>
    <mergeCell ref="B13:C13"/>
    <mergeCell ref="B15:C15"/>
    <mergeCell ref="H2:K2"/>
    <mergeCell ref="B16:C16"/>
    <mergeCell ref="A6:C7"/>
    <mergeCell ref="D6:F6"/>
    <mergeCell ref="G6:I6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landscape" paperSize="9" scale="9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2020-05-25T14:14:46Z</cp:lastPrinted>
  <dcterms:created xsi:type="dcterms:W3CDTF">2011-02-03T10:02:06Z</dcterms:created>
  <dcterms:modified xsi:type="dcterms:W3CDTF">2020-05-26T13:37:57Z</dcterms:modified>
  <cp:category/>
  <cp:version/>
  <cp:contentType/>
  <cp:contentStatus/>
</cp:coreProperties>
</file>