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RENDELETEK\hatályos\2018\2018. évi kötségvetés\"/>
    </mc:Choice>
  </mc:AlternateContent>
  <bookViews>
    <workbookView xWindow="0" yWindow="120" windowWidth="28800" windowHeight="12315" firstSheet="11" activeTab="1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számú melléklet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'4.a.számú melléklet'!$1:$1</definedName>
    <definedName name="_xlnm.Print_Titles" localSheetId="9">'5.számú melléklet '!$2:$5</definedName>
    <definedName name="_xlnm.Print_Area" localSheetId="0">' 1.számú melléklet '!$A$1:$E$63</definedName>
    <definedName name="_xlnm.Print_Area" localSheetId="14">'10.számú melléklet '!$A$1:$O$26</definedName>
    <definedName name="_xlnm.Print_Area" localSheetId="3">'3.számú melléklet'!$A$1:$H$91</definedName>
    <definedName name="_xlnm.Print_Area" localSheetId="7">'4.b.számú melléklet  '!$A$1:$E$23</definedName>
    <definedName name="_xlnm.Print_Area" localSheetId="9">'5.számú melléklet '!$A$1:$G$68</definedName>
  </definedNames>
  <calcPr calcId="162913" calcMode="autoNoTable"/>
</workbook>
</file>

<file path=xl/calcChain.xml><?xml version="1.0" encoding="utf-8"?>
<calcChain xmlns="http://schemas.openxmlformats.org/spreadsheetml/2006/main">
  <c r="AS78" i="87" l="1"/>
  <c r="AR78" i="87"/>
  <c r="AL87" i="89"/>
  <c r="AK87" i="89"/>
  <c r="C83" i="77"/>
  <c r="D83" i="77"/>
  <c r="H83" i="77"/>
  <c r="G83" i="77"/>
  <c r="F83" i="77"/>
  <c r="E83" i="77"/>
  <c r="D42" i="67" l="1"/>
  <c r="AB16" i="87"/>
  <c r="Z16" i="87"/>
  <c r="Z74" i="87"/>
  <c r="Z28" i="87"/>
  <c r="Z9" i="87"/>
  <c r="Z25" i="87"/>
  <c r="P11" i="87"/>
  <c r="J77" i="87"/>
  <c r="J41" i="87"/>
  <c r="J28" i="87"/>
  <c r="J9" i="87"/>
  <c r="J6" i="87"/>
  <c r="J16" i="87"/>
  <c r="H77" i="87"/>
  <c r="H69" i="87"/>
  <c r="H55" i="87"/>
  <c r="H6" i="87"/>
  <c r="F77" i="87"/>
  <c r="F69" i="87"/>
  <c r="F55" i="87"/>
  <c r="F15" i="87"/>
  <c r="AA80" i="87"/>
  <c r="AA73" i="87"/>
  <c r="AA59" i="87"/>
  <c r="AA49" i="87"/>
  <c r="AA42" i="87"/>
  <c r="AA36" i="87"/>
  <c r="AA30" i="87"/>
  <c r="AA22" i="87"/>
  <c r="AA18" i="87"/>
  <c r="AA12" i="87"/>
  <c r="AA52" i="87" s="1"/>
  <c r="AA81" i="87" s="1"/>
  <c r="Y80" i="87"/>
  <c r="Y73" i="87"/>
  <c r="Y59" i="87"/>
  <c r="Y49" i="87"/>
  <c r="Y42" i="87"/>
  <c r="Y36" i="87"/>
  <c r="Y30" i="87"/>
  <c r="Y22" i="87"/>
  <c r="Y18" i="87"/>
  <c r="Y12" i="87"/>
  <c r="O80" i="87"/>
  <c r="O73" i="87"/>
  <c r="O59" i="87"/>
  <c r="O49" i="87"/>
  <c r="O42" i="87"/>
  <c r="O36" i="87"/>
  <c r="O30" i="87"/>
  <c r="O22" i="87"/>
  <c r="O18" i="87"/>
  <c r="O12" i="87"/>
  <c r="O52" i="87" s="1"/>
  <c r="O81" i="87" s="1"/>
  <c r="I80" i="87"/>
  <c r="I73" i="87"/>
  <c r="I55" i="87"/>
  <c r="I59" i="87" s="1"/>
  <c r="I49" i="87"/>
  <c r="I42" i="87"/>
  <c r="I36" i="87"/>
  <c r="I30" i="87"/>
  <c r="I22" i="87"/>
  <c r="I18" i="87"/>
  <c r="I12" i="87"/>
  <c r="I52" i="87" s="1"/>
  <c r="G80" i="87"/>
  <c r="G73" i="87"/>
  <c r="G55" i="87"/>
  <c r="G59" i="87" s="1"/>
  <c r="G49" i="87"/>
  <c r="G42" i="87"/>
  <c r="G36" i="87"/>
  <c r="G30" i="87"/>
  <c r="G22" i="87"/>
  <c r="G18" i="87"/>
  <c r="G12" i="87"/>
  <c r="E80" i="87"/>
  <c r="E73" i="87"/>
  <c r="E55" i="87"/>
  <c r="E59" i="87" s="1"/>
  <c r="E49" i="87"/>
  <c r="E42" i="87"/>
  <c r="E36" i="87"/>
  <c r="E30" i="87"/>
  <c r="E22" i="87"/>
  <c r="E18" i="87"/>
  <c r="E12" i="87"/>
  <c r="E52" i="87" s="1"/>
  <c r="E81" i="87" s="1"/>
  <c r="AL64" i="89"/>
  <c r="AK64" i="89"/>
  <c r="I13" i="89"/>
  <c r="N89" i="89"/>
  <c r="N82" i="89"/>
  <c r="N66" i="89"/>
  <c r="N57" i="89"/>
  <c r="N47" i="89"/>
  <c r="N41" i="89"/>
  <c r="N34" i="89"/>
  <c r="N27" i="89"/>
  <c r="N20" i="89"/>
  <c r="N16" i="89"/>
  <c r="N11" i="89"/>
  <c r="I6" i="89"/>
  <c r="D89" i="89"/>
  <c r="D82" i="89"/>
  <c r="D66" i="89"/>
  <c r="D57" i="89"/>
  <c r="D47" i="89"/>
  <c r="D41" i="89"/>
  <c r="D34" i="89"/>
  <c r="D27" i="89"/>
  <c r="D20" i="89"/>
  <c r="D16" i="89"/>
  <c r="D11" i="89"/>
  <c r="I81" i="87" l="1"/>
  <c r="G52" i="87"/>
  <c r="G81" i="87" s="1"/>
  <c r="D60" i="89"/>
  <c r="D90" i="89" s="1"/>
  <c r="N60" i="89"/>
  <c r="N90" i="89" s="1"/>
  <c r="Y52" i="87"/>
  <c r="Y81" i="87" s="1"/>
  <c r="C18" i="57"/>
  <c r="F17" i="57"/>
  <c r="F16" i="57"/>
  <c r="F6" i="57"/>
  <c r="F8" i="83"/>
  <c r="J65" i="70"/>
  <c r="I65" i="70"/>
  <c r="H65" i="70"/>
  <c r="H60" i="70"/>
  <c r="H57" i="70"/>
  <c r="H54" i="70"/>
  <c r="J49" i="70"/>
  <c r="I49" i="70"/>
  <c r="H49" i="70"/>
  <c r="H48" i="70"/>
  <c r="H47" i="70"/>
  <c r="J33" i="70"/>
  <c r="I33" i="70"/>
  <c r="H33" i="70"/>
  <c r="J32" i="70"/>
  <c r="I32" i="70"/>
  <c r="H32" i="70"/>
  <c r="J27" i="70"/>
  <c r="I27" i="70"/>
  <c r="H27" i="70"/>
  <c r="J21" i="70"/>
  <c r="I21" i="70"/>
  <c r="H21" i="70"/>
  <c r="J17" i="70"/>
  <c r="I17" i="70"/>
  <c r="H17" i="70"/>
  <c r="J11" i="70"/>
  <c r="H11" i="70"/>
  <c r="J10" i="70"/>
  <c r="I10" i="70"/>
  <c r="H10" i="70"/>
  <c r="J6" i="70"/>
  <c r="I6" i="70"/>
  <c r="H6" i="70"/>
  <c r="E68" i="65"/>
  <c r="C54" i="67" l="1"/>
  <c r="C53" i="67"/>
  <c r="E51" i="67"/>
  <c r="C51" i="67"/>
  <c r="E49" i="67"/>
  <c r="D49" i="67"/>
  <c r="C49" i="67"/>
  <c r="D48" i="67"/>
  <c r="C48" i="67"/>
  <c r="D47" i="67"/>
  <c r="C47" i="67"/>
  <c r="D46" i="67"/>
  <c r="C46" i="67"/>
  <c r="E61" i="67"/>
  <c r="D61" i="67"/>
  <c r="C61" i="67"/>
  <c r="E60" i="67"/>
  <c r="D60" i="67"/>
  <c r="C60" i="67"/>
  <c r="E59" i="67"/>
  <c r="D59" i="67"/>
  <c r="C59" i="67"/>
  <c r="D65" i="61"/>
  <c r="D58" i="61"/>
  <c r="E102" i="65" s="1"/>
  <c r="D14" i="61"/>
  <c r="D18" i="61"/>
  <c r="D23" i="61"/>
  <c r="G103" i="65"/>
  <c r="F103" i="65"/>
  <c r="C103" i="65"/>
  <c r="G100" i="65"/>
  <c r="F100" i="65"/>
  <c r="C100" i="65"/>
  <c r="G97" i="65"/>
  <c r="F97" i="65"/>
  <c r="C97" i="65"/>
  <c r="G110" i="65"/>
  <c r="F110" i="65"/>
  <c r="E110" i="65"/>
  <c r="D110" i="65"/>
  <c r="C110" i="65"/>
  <c r="G74" i="65"/>
  <c r="F74" i="65"/>
  <c r="E74" i="65"/>
  <c r="J26" i="70" s="1"/>
  <c r="D74" i="65"/>
  <c r="I26" i="70" s="1"/>
  <c r="C74" i="65"/>
  <c r="H26" i="70" s="1"/>
  <c r="G71" i="65"/>
  <c r="F71" i="65"/>
  <c r="D71" i="65"/>
  <c r="I25" i="70" s="1"/>
  <c r="I28" i="70" s="1"/>
  <c r="C71" i="65"/>
  <c r="H25" i="70" s="1"/>
  <c r="H28" i="70" s="1"/>
  <c r="E62" i="65"/>
  <c r="E61" i="65"/>
  <c r="E60" i="65"/>
  <c r="E48" i="65"/>
  <c r="E47" i="65"/>
  <c r="E46" i="65"/>
  <c r="G63" i="65"/>
  <c r="G65" i="65" s="1"/>
  <c r="F63" i="65"/>
  <c r="F65" i="65" s="1"/>
  <c r="D63" i="65"/>
  <c r="C63" i="65"/>
  <c r="G55" i="65"/>
  <c r="F55" i="65"/>
  <c r="E55" i="65"/>
  <c r="J16" i="70" s="1"/>
  <c r="D55" i="65"/>
  <c r="I16" i="70" s="1"/>
  <c r="C55" i="65"/>
  <c r="H16" i="70" s="1"/>
  <c r="G52" i="65"/>
  <c r="F52" i="65"/>
  <c r="E52" i="65"/>
  <c r="J15" i="70" s="1"/>
  <c r="D52" i="65"/>
  <c r="I15" i="70" s="1"/>
  <c r="C52" i="65"/>
  <c r="H15" i="70" s="1"/>
  <c r="G49" i="65"/>
  <c r="F49" i="65"/>
  <c r="D49" i="65"/>
  <c r="I14" i="70" s="1"/>
  <c r="C49" i="65"/>
  <c r="H14" i="70" s="1"/>
  <c r="E37" i="65"/>
  <c r="J8" i="70" s="1"/>
  <c r="G8" i="65"/>
  <c r="F8" i="65"/>
  <c r="E8" i="65"/>
  <c r="J5" i="70" s="1"/>
  <c r="D8" i="65"/>
  <c r="I5" i="70" s="1"/>
  <c r="C8" i="65"/>
  <c r="H5" i="70" s="1"/>
  <c r="E50" i="70"/>
  <c r="D50" i="70"/>
  <c r="C50" i="70"/>
  <c r="E49" i="70"/>
  <c r="D49" i="70"/>
  <c r="C49" i="70"/>
  <c r="E40" i="70"/>
  <c r="C40" i="70"/>
  <c r="E38" i="70"/>
  <c r="D38" i="70"/>
  <c r="C38" i="70"/>
  <c r="E36" i="70"/>
  <c r="D36" i="70"/>
  <c r="C36" i="70"/>
  <c r="E34" i="70"/>
  <c r="D34" i="70"/>
  <c r="C34" i="70"/>
  <c r="E33" i="70"/>
  <c r="D33" i="70"/>
  <c r="C33" i="70"/>
  <c r="E32" i="70"/>
  <c r="D32" i="70"/>
  <c r="C32" i="70"/>
  <c r="D26" i="70"/>
  <c r="C26" i="70"/>
  <c r="E25" i="70"/>
  <c r="D25" i="70"/>
  <c r="C25" i="70"/>
  <c r="E20" i="70"/>
  <c r="E23" i="70" s="1"/>
  <c r="L7" i="83" s="1"/>
  <c r="D20" i="70"/>
  <c r="C20" i="70"/>
  <c r="E15" i="70"/>
  <c r="D15" i="70"/>
  <c r="C15" i="70"/>
  <c r="C71" i="77"/>
  <c r="C14" i="70" s="1"/>
  <c r="E9" i="70"/>
  <c r="D9" i="70"/>
  <c r="C9" i="70"/>
  <c r="E7" i="70"/>
  <c r="D7" i="70"/>
  <c r="C7" i="70"/>
  <c r="E42" i="67"/>
  <c r="C42" i="67"/>
  <c r="E41" i="67"/>
  <c r="D41" i="67"/>
  <c r="C41" i="67"/>
  <c r="E37" i="67"/>
  <c r="E36" i="67"/>
  <c r="D37" i="67"/>
  <c r="D36" i="67"/>
  <c r="C37" i="67"/>
  <c r="C36" i="67"/>
  <c r="E32" i="67"/>
  <c r="E34" i="67" s="1"/>
  <c r="D32" i="67"/>
  <c r="C32" i="67"/>
  <c r="E12" i="67"/>
  <c r="G9" i="89" s="1"/>
  <c r="D12" i="67"/>
  <c r="C12" i="67"/>
  <c r="D11" i="67"/>
  <c r="C11" i="67"/>
  <c r="D10" i="67"/>
  <c r="E28" i="67"/>
  <c r="E30" i="67" s="1"/>
  <c r="E26" i="67"/>
  <c r="D26" i="67"/>
  <c r="C26" i="67"/>
  <c r="D24" i="67"/>
  <c r="D23" i="67"/>
  <c r="D22" i="67"/>
  <c r="D21" i="67"/>
  <c r="D20" i="67"/>
  <c r="C20" i="67"/>
  <c r="C24" i="67"/>
  <c r="C23" i="67"/>
  <c r="C22" i="67"/>
  <c r="C21" i="67"/>
  <c r="C13" i="67"/>
  <c r="C10" i="67"/>
  <c r="D71" i="77"/>
  <c r="D14" i="70" s="1"/>
  <c r="H71" i="77"/>
  <c r="G71" i="77"/>
  <c r="F71" i="77"/>
  <c r="E71" i="77"/>
  <c r="E14" i="70" s="1"/>
  <c r="H78" i="77"/>
  <c r="G78" i="77"/>
  <c r="F78" i="77"/>
  <c r="E78" i="77"/>
  <c r="D78" i="77"/>
  <c r="C78" i="77"/>
  <c r="E87" i="77"/>
  <c r="E60" i="70" s="1"/>
  <c r="E61" i="70" s="1"/>
  <c r="D87" i="77"/>
  <c r="D60" i="70" s="1"/>
  <c r="H87" i="77"/>
  <c r="H90" i="77" s="1"/>
  <c r="G87" i="77"/>
  <c r="G90" i="77" s="1"/>
  <c r="F87" i="77"/>
  <c r="F90" i="77" s="1"/>
  <c r="E26" i="70"/>
  <c r="C85" i="77"/>
  <c r="C27" i="77"/>
  <c r="E27" i="77"/>
  <c r="C33" i="77"/>
  <c r="C16" i="67" s="1"/>
  <c r="D33" i="77"/>
  <c r="D16" i="67" s="1"/>
  <c r="E32" i="77"/>
  <c r="E31" i="77"/>
  <c r="E13" i="77"/>
  <c r="E11" i="67" s="1"/>
  <c r="J65" i="78"/>
  <c r="G65" i="78"/>
  <c r="D65" i="78"/>
  <c r="J57" i="78"/>
  <c r="E12" i="77" s="1"/>
  <c r="E10" i="67" s="1"/>
  <c r="G57" i="78"/>
  <c r="D57" i="78"/>
  <c r="J52" i="78"/>
  <c r="E11" i="77" s="1"/>
  <c r="E9" i="67" s="1"/>
  <c r="G52" i="78"/>
  <c r="D11" i="77" s="1"/>
  <c r="D9" i="67" s="1"/>
  <c r="D52" i="78"/>
  <c r="C11" i="77" s="1"/>
  <c r="C9" i="67" s="1"/>
  <c r="J47" i="78"/>
  <c r="E12" i="65" s="1"/>
  <c r="E19" i="65" s="1"/>
  <c r="G47" i="78"/>
  <c r="D12" i="65" s="1"/>
  <c r="D47" i="78"/>
  <c r="C12" i="65" s="1"/>
  <c r="E32" i="60"/>
  <c r="E18" i="60"/>
  <c r="D67" i="61"/>
  <c r="E81" i="65" s="1"/>
  <c r="J48" i="70" s="1"/>
  <c r="D47" i="61"/>
  <c r="E99" i="65" s="1"/>
  <c r="D36" i="61"/>
  <c r="E96" i="65" s="1"/>
  <c r="E22" i="79"/>
  <c r="E18" i="79"/>
  <c r="E14" i="79"/>
  <c r="E11" i="79"/>
  <c r="E8" i="79"/>
  <c r="E93" i="65"/>
  <c r="J51" i="70" s="1"/>
  <c r="E90" i="65"/>
  <c r="E86" i="65"/>
  <c r="J50" i="70" s="1"/>
  <c r="E40" i="65"/>
  <c r="J9" i="70" s="1"/>
  <c r="E74" i="77"/>
  <c r="E59" i="77"/>
  <c r="E55" i="77"/>
  <c r="E52" i="77"/>
  <c r="E48" i="70" s="1"/>
  <c r="E48" i="77"/>
  <c r="E6" i="70" s="1"/>
  <c r="E39" i="77"/>
  <c r="E73" i="70"/>
  <c r="J73" i="70"/>
  <c r="J41" i="70"/>
  <c r="J38" i="78"/>
  <c r="J32" i="78"/>
  <c r="F7" i="83" s="1"/>
  <c r="J7" i="78"/>
  <c r="J5" i="78"/>
  <c r="E24" i="67"/>
  <c r="E23" i="67"/>
  <c r="E22" i="67"/>
  <c r="E21" i="67"/>
  <c r="E20" i="67"/>
  <c r="E48" i="67" l="1"/>
  <c r="E23" i="79"/>
  <c r="E13" i="67"/>
  <c r="D31" i="61"/>
  <c r="E80" i="65" s="1"/>
  <c r="J47" i="70" s="1"/>
  <c r="E38" i="67"/>
  <c r="E46" i="67"/>
  <c r="D62" i="67"/>
  <c r="E62" i="67"/>
  <c r="G57" i="65"/>
  <c r="E47" i="67"/>
  <c r="G76" i="65"/>
  <c r="J52" i="70"/>
  <c r="C62" i="67"/>
  <c r="J7" i="70"/>
  <c r="J12" i="70" s="1"/>
  <c r="E50" i="67"/>
  <c r="E103" i="65"/>
  <c r="J60" i="70"/>
  <c r="J61" i="70" s="1"/>
  <c r="E97" i="65"/>
  <c r="J54" i="70"/>
  <c r="J55" i="70" s="1"/>
  <c r="E90" i="77"/>
  <c r="E18" i="70"/>
  <c r="L6" i="83" s="1"/>
  <c r="E55" i="67"/>
  <c r="J48" i="78"/>
  <c r="E10" i="77" s="1"/>
  <c r="E8" i="67" s="1"/>
  <c r="C43" i="67"/>
  <c r="C76" i="65"/>
  <c r="E17" i="67"/>
  <c r="D65" i="65"/>
  <c r="I20" i="70"/>
  <c r="E100" i="65"/>
  <c r="J57" i="70"/>
  <c r="J58" i="70" s="1"/>
  <c r="E54" i="67"/>
  <c r="E9" i="77"/>
  <c r="E7" i="67" s="1"/>
  <c r="C65" i="65"/>
  <c r="H20" i="70"/>
  <c r="E33" i="60"/>
  <c r="E35" i="60" s="1"/>
  <c r="E53" i="67"/>
  <c r="C57" i="65"/>
  <c r="D76" i="65"/>
  <c r="E43" i="65"/>
  <c r="F57" i="65"/>
  <c r="D57" i="65"/>
  <c r="F76" i="65"/>
  <c r="E71" i="65"/>
  <c r="E49" i="65"/>
  <c r="E63" i="65"/>
  <c r="E41" i="70"/>
  <c r="E28" i="70"/>
  <c r="L8" i="83" s="1"/>
  <c r="E43" i="67"/>
  <c r="C86" i="77"/>
  <c r="C87" i="77" s="1"/>
  <c r="C60" i="70" s="1"/>
  <c r="E33" i="77"/>
  <c r="E25" i="67"/>
  <c r="J25" i="78"/>
  <c r="N22" i="57"/>
  <c r="N21" i="57"/>
  <c r="C3" i="57"/>
  <c r="N20" i="57"/>
  <c r="E52" i="67" l="1"/>
  <c r="D59" i="61"/>
  <c r="D68" i="61" s="1"/>
  <c r="J62" i="70"/>
  <c r="J74" i="70" s="1"/>
  <c r="E65" i="65"/>
  <c r="J20" i="70"/>
  <c r="J23" i="70" s="1"/>
  <c r="E57" i="65"/>
  <c r="J14" i="70"/>
  <c r="J18" i="70" s="1"/>
  <c r="D6" i="83" s="1"/>
  <c r="E56" i="67"/>
  <c r="E57" i="67" s="1"/>
  <c r="E63" i="67" s="1"/>
  <c r="J58" i="78"/>
  <c r="J60" i="78" s="1"/>
  <c r="E8" i="77"/>
  <c r="E40" i="77"/>
  <c r="E47" i="70" s="1"/>
  <c r="E52" i="70" s="1"/>
  <c r="E62" i="70" s="1"/>
  <c r="E74" i="70" s="1"/>
  <c r="E16" i="67"/>
  <c r="E18" i="67" s="1"/>
  <c r="E76" i="65"/>
  <c r="J25" i="70"/>
  <c r="J28" i="70" s="1"/>
  <c r="D8" i="83" s="1"/>
  <c r="C90" i="77"/>
  <c r="J55" i="87"/>
  <c r="E77" i="65" l="1"/>
  <c r="E6" i="67"/>
  <c r="E14" i="77"/>
  <c r="E28" i="77" s="1"/>
  <c r="D7" i="83"/>
  <c r="J29" i="70"/>
  <c r="J42" i="70" s="1"/>
  <c r="J75" i="70" s="1"/>
  <c r="J11" i="58"/>
  <c r="G11" i="58"/>
  <c r="E14" i="67" l="1"/>
  <c r="E39" i="67" s="1"/>
  <c r="E44" i="67" s="1"/>
  <c r="E9" i="89"/>
  <c r="E5" i="70"/>
  <c r="E12" i="70" s="1"/>
  <c r="E29" i="70" s="1"/>
  <c r="E42" i="70" s="1"/>
  <c r="E75" i="70" s="1"/>
  <c r="E60" i="77"/>
  <c r="E66" i="77" s="1"/>
  <c r="E91" i="77" s="1"/>
  <c r="Z21" i="87"/>
  <c r="AR79" i="87" l="1"/>
  <c r="AR77" i="87"/>
  <c r="AR76" i="87"/>
  <c r="AR75" i="87"/>
  <c r="AR74" i="87"/>
  <c r="AR72" i="87"/>
  <c r="AR71" i="87"/>
  <c r="AR70" i="87"/>
  <c r="AR69" i="87"/>
  <c r="AR68" i="87"/>
  <c r="AR67" i="87"/>
  <c r="AR66" i="87"/>
  <c r="AR65" i="87"/>
  <c r="AR64" i="87"/>
  <c r="AR63" i="87"/>
  <c r="AR62" i="87"/>
  <c r="AR61" i="87"/>
  <c r="AR60" i="87"/>
  <c r="AR58" i="87"/>
  <c r="AR57" i="87"/>
  <c r="AR56" i="87"/>
  <c r="AR55" i="87"/>
  <c r="AR54" i="87"/>
  <c r="AR53" i="87"/>
  <c r="AR51" i="87"/>
  <c r="AR50" i="87"/>
  <c r="AR48" i="87"/>
  <c r="AR47" i="87"/>
  <c r="AR46" i="87"/>
  <c r="AR45" i="87"/>
  <c r="AR44" i="87"/>
  <c r="AR43" i="87"/>
  <c r="AR41" i="87"/>
  <c r="AR40" i="87"/>
  <c r="AR39" i="87"/>
  <c r="AR38" i="87"/>
  <c r="AR37" i="87"/>
  <c r="AR35" i="87"/>
  <c r="AR34" i="87"/>
  <c r="AR33" i="87"/>
  <c r="AR32" i="87"/>
  <c r="AR31" i="87"/>
  <c r="AR29" i="87"/>
  <c r="AR28" i="87"/>
  <c r="AR27" i="87"/>
  <c r="AR26" i="87"/>
  <c r="AR25" i="87"/>
  <c r="AR24" i="87"/>
  <c r="AR23" i="87"/>
  <c r="AR21" i="87"/>
  <c r="AR20" i="87"/>
  <c r="AR19" i="87"/>
  <c r="AR17" i="87"/>
  <c r="AR16" i="87"/>
  <c r="AR15" i="87"/>
  <c r="AR14" i="87"/>
  <c r="AR13" i="87"/>
  <c r="AR11" i="87"/>
  <c r="AR10" i="87"/>
  <c r="AR9" i="87"/>
  <c r="AR8" i="87"/>
  <c r="AR7" i="87"/>
  <c r="AR6" i="87"/>
  <c r="AQ80" i="87"/>
  <c r="AQ73" i="87"/>
  <c r="AQ59" i="87"/>
  <c r="AQ49" i="87"/>
  <c r="AQ42" i="87"/>
  <c r="AQ36" i="87"/>
  <c r="AQ30" i="87"/>
  <c r="AQ22" i="87"/>
  <c r="AQ18" i="87"/>
  <c r="AQ12" i="87"/>
  <c r="AO80" i="87"/>
  <c r="AO73" i="87"/>
  <c r="AO59" i="87"/>
  <c r="AO49" i="87"/>
  <c r="AO42" i="87"/>
  <c r="AO36" i="87"/>
  <c r="AO30" i="87"/>
  <c r="AO22" i="87"/>
  <c r="AO18" i="87"/>
  <c r="AO12" i="87"/>
  <c r="AM80" i="87"/>
  <c r="AM73" i="87"/>
  <c r="AM59" i="87"/>
  <c r="AM49" i="87"/>
  <c r="AM42" i="87"/>
  <c r="AM36" i="87"/>
  <c r="AM30" i="87"/>
  <c r="AM22" i="87"/>
  <c r="AM18" i="87"/>
  <c r="AM12" i="87"/>
  <c r="AK80" i="87"/>
  <c r="AK73" i="87"/>
  <c r="AK59" i="87"/>
  <c r="AK49" i="87"/>
  <c r="AK42" i="87"/>
  <c r="AK36" i="87"/>
  <c r="AK30" i="87"/>
  <c r="AK22" i="87"/>
  <c r="AK18" i="87"/>
  <c r="AK12" i="87"/>
  <c r="AI80" i="87"/>
  <c r="AI73" i="87"/>
  <c r="AI59" i="87"/>
  <c r="AI49" i="87"/>
  <c r="AI42" i="87"/>
  <c r="AI36" i="87"/>
  <c r="AI30" i="87"/>
  <c r="AI22" i="87"/>
  <c r="AI18" i="87"/>
  <c r="AI12" i="87"/>
  <c r="AG80" i="87"/>
  <c r="AG73" i="87"/>
  <c r="AG59" i="87"/>
  <c r="AG49" i="87"/>
  <c r="AG42" i="87"/>
  <c r="AG36" i="87"/>
  <c r="AG30" i="87"/>
  <c r="AG22" i="87"/>
  <c r="AG18" i="87"/>
  <c r="AG12" i="87"/>
  <c r="AE80" i="87"/>
  <c r="AE73" i="87"/>
  <c r="AE59" i="87"/>
  <c r="AE49" i="87"/>
  <c r="AE42" i="87"/>
  <c r="AE36" i="87"/>
  <c r="AE30" i="87"/>
  <c r="AE22" i="87"/>
  <c r="AE18" i="87"/>
  <c r="AE12" i="87"/>
  <c r="AC80" i="87"/>
  <c r="AC73" i="87"/>
  <c r="AC59" i="87"/>
  <c r="AC49" i="87"/>
  <c r="AC42" i="87"/>
  <c r="AC36" i="87"/>
  <c r="AC30" i="87"/>
  <c r="AC22" i="87"/>
  <c r="AC18" i="87"/>
  <c r="AC12" i="87"/>
  <c r="U80" i="87"/>
  <c r="U73" i="87"/>
  <c r="U59" i="87"/>
  <c r="U49" i="87"/>
  <c r="U42" i="87"/>
  <c r="U36" i="87"/>
  <c r="U30" i="87"/>
  <c r="U22" i="87"/>
  <c r="U18" i="87"/>
  <c r="U12" i="87"/>
  <c r="S80" i="87"/>
  <c r="S73" i="87"/>
  <c r="S59" i="87"/>
  <c r="S49" i="87"/>
  <c r="S42" i="87"/>
  <c r="S36" i="87"/>
  <c r="S30" i="87"/>
  <c r="S22" i="87"/>
  <c r="S18" i="87"/>
  <c r="S12" i="87"/>
  <c r="Q80" i="87"/>
  <c r="Q73" i="87"/>
  <c r="Q59" i="87"/>
  <c r="Q49" i="87"/>
  <c r="Q42" i="87"/>
  <c r="Q36" i="87"/>
  <c r="Q30" i="87"/>
  <c r="Q22" i="87"/>
  <c r="Q18" i="87"/>
  <c r="Q12" i="87"/>
  <c r="M80" i="87"/>
  <c r="M73" i="87"/>
  <c r="M59" i="87"/>
  <c r="M49" i="87"/>
  <c r="M42" i="87"/>
  <c r="M36" i="87"/>
  <c r="M30" i="87"/>
  <c r="M22" i="87"/>
  <c r="M18" i="87"/>
  <c r="M12" i="87"/>
  <c r="K80" i="87"/>
  <c r="K73" i="87"/>
  <c r="K59" i="87"/>
  <c r="K49" i="87"/>
  <c r="K42" i="87"/>
  <c r="K36" i="87"/>
  <c r="K30" i="87"/>
  <c r="K22" i="87"/>
  <c r="K18" i="87"/>
  <c r="K12" i="87"/>
  <c r="AS75" i="87"/>
  <c r="AS72" i="87"/>
  <c r="AS71" i="87"/>
  <c r="AS70" i="87"/>
  <c r="AS68" i="87"/>
  <c r="AS67" i="87"/>
  <c r="AS64" i="87"/>
  <c r="AS63" i="87"/>
  <c r="AS61" i="87"/>
  <c r="AS60" i="87"/>
  <c r="AS58" i="87"/>
  <c r="AS57" i="87"/>
  <c r="AS56" i="87"/>
  <c r="AS54" i="87"/>
  <c r="AS53" i="87"/>
  <c r="AS51" i="87"/>
  <c r="AS50" i="87"/>
  <c r="AS47" i="87"/>
  <c r="AS46" i="87"/>
  <c r="AS45" i="87"/>
  <c r="AS44" i="87"/>
  <c r="AS43" i="87"/>
  <c r="AS40" i="87"/>
  <c r="AS39" i="87"/>
  <c r="AS37" i="87"/>
  <c r="AS35" i="87"/>
  <c r="AS34" i="87"/>
  <c r="AS33" i="87"/>
  <c r="AS31" i="87"/>
  <c r="AS29" i="87"/>
  <c r="AS26" i="87"/>
  <c r="AS23" i="87"/>
  <c r="AS21" i="87"/>
  <c r="AS19" i="87"/>
  <c r="AS17" i="87"/>
  <c r="AS15" i="87"/>
  <c r="AS14" i="87"/>
  <c r="AS13" i="87"/>
  <c r="AS10" i="87"/>
  <c r="AS8" i="87"/>
  <c r="AS7" i="87"/>
  <c r="K14" i="89"/>
  <c r="AK88" i="89"/>
  <c r="AK86" i="89"/>
  <c r="AK85" i="89"/>
  <c r="AK84" i="89"/>
  <c r="AK83" i="89"/>
  <c r="AK81" i="89"/>
  <c r="AK80" i="89"/>
  <c r="AK79" i="89"/>
  <c r="AK78" i="89"/>
  <c r="AK77" i="89"/>
  <c r="AK76" i="89"/>
  <c r="AK75" i="89"/>
  <c r="AK74" i="89"/>
  <c r="AK73" i="89"/>
  <c r="AK72" i="89"/>
  <c r="AK71" i="89"/>
  <c r="AK70" i="89"/>
  <c r="AK69" i="89"/>
  <c r="AK68" i="89"/>
  <c r="AK67" i="89"/>
  <c r="AK65" i="89"/>
  <c r="AK63" i="89"/>
  <c r="AK62" i="89"/>
  <c r="AK61" i="89"/>
  <c r="AK59" i="89"/>
  <c r="AK58" i="89"/>
  <c r="AK56" i="89"/>
  <c r="AK55" i="89"/>
  <c r="AK54" i="89"/>
  <c r="AK53" i="89"/>
  <c r="AK52" i="89"/>
  <c r="AK51" i="89"/>
  <c r="AK50" i="89"/>
  <c r="AK49" i="89"/>
  <c r="AK48" i="89"/>
  <c r="AK46" i="89"/>
  <c r="AK45" i="89"/>
  <c r="AK44" i="89"/>
  <c r="AK43" i="89"/>
  <c r="AK42" i="89"/>
  <c r="AK40" i="89"/>
  <c r="AK39" i="89"/>
  <c r="AK38" i="89"/>
  <c r="AK37" i="89"/>
  <c r="AK36" i="89"/>
  <c r="AK35" i="89"/>
  <c r="AK33" i="89"/>
  <c r="AK32" i="89"/>
  <c r="AK31" i="89"/>
  <c r="AK30" i="89"/>
  <c r="AK29" i="89"/>
  <c r="AK28" i="89"/>
  <c r="AK26" i="89"/>
  <c r="AK25" i="89"/>
  <c r="AK24" i="89"/>
  <c r="AK23" i="89"/>
  <c r="AK22" i="89"/>
  <c r="AK21" i="89"/>
  <c r="AK19" i="89"/>
  <c r="AK18" i="89"/>
  <c r="AK17" i="89"/>
  <c r="AK15" i="89"/>
  <c r="AK14" i="89"/>
  <c r="AK13" i="89"/>
  <c r="AK12" i="89"/>
  <c r="AK10" i="89"/>
  <c r="AK9" i="89"/>
  <c r="AK8" i="89"/>
  <c r="AK7" i="89"/>
  <c r="AK6" i="89"/>
  <c r="AI89" i="89"/>
  <c r="AI82" i="89"/>
  <c r="AI66" i="89"/>
  <c r="AI57" i="89"/>
  <c r="AI47" i="89"/>
  <c r="AI41" i="89"/>
  <c r="AI34" i="89"/>
  <c r="AI27" i="89"/>
  <c r="AI20" i="89"/>
  <c r="AI16" i="89"/>
  <c r="AI11" i="89"/>
  <c r="AG89" i="89"/>
  <c r="AG82" i="89"/>
  <c r="AG66" i="89"/>
  <c r="AG57" i="89"/>
  <c r="AG47" i="89"/>
  <c r="AG41" i="89"/>
  <c r="AG34" i="89"/>
  <c r="AG27" i="89"/>
  <c r="AG20" i="89"/>
  <c r="AG16" i="89"/>
  <c r="AG11" i="89"/>
  <c r="AE89" i="89"/>
  <c r="AE82" i="89"/>
  <c r="AE66" i="89"/>
  <c r="AE57" i="89"/>
  <c r="AE47" i="89"/>
  <c r="AE41" i="89"/>
  <c r="AE34" i="89"/>
  <c r="AE27" i="89"/>
  <c r="AE20" i="89"/>
  <c r="AE16" i="89"/>
  <c r="AE11" i="89"/>
  <c r="AC89" i="89"/>
  <c r="AC82" i="89"/>
  <c r="AC66" i="89"/>
  <c r="AC57" i="89"/>
  <c r="AC47" i="89"/>
  <c r="AC41" i="89"/>
  <c r="AC34" i="89"/>
  <c r="AC27" i="89"/>
  <c r="AC20" i="89"/>
  <c r="AC16" i="89"/>
  <c r="AC11" i="89"/>
  <c r="AA89" i="89"/>
  <c r="AA82" i="89"/>
  <c r="AA66" i="89"/>
  <c r="AA57" i="89"/>
  <c r="AA47" i="89"/>
  <c r="AA41" i="89"/>
  <c r="AA34" i="89"/>
  <c r="AA27" i="89"/>
  <c r="AA20" i="89"/>
  <c r="AA16" i="89"/>
  <c r="AA11" i="89"/>
  <c r="Y89" i="89"/>
  <c r="Y82" i="89"/>
  <c r="Y66" i="89"/>
  <c r="Y57" i="89"/>
  <c r="Y47" i="89"/>
  <c r="Y41" i="89"/>
  <c r="Y34" i="89"/>
  <c r="Y27" i="89"/>
  <c r="Y20" i="89"/>
  <c r="Y16" i="89"/>
  <c r="Y11" i="89"/>
  <c r="W89" i="89"/>
  <c r="W82" i="89"/>
  <c r="W66" i="89"/>
  <c r="W57" i="89"/>
  <c r="W47" i="89"/>
  <c r="W41" i="89"/>
  <c r="W34" i="89"/>
  <c r="W27" i="89"/>
  <c r="W20" i="89"/>
  <c r="W16" i="89"/>
  <c r="W11" i="89"/>
  <c r="R89" i="89"/>
  <c r="R82" i="89"/>
  <c r="R66" i="89"/>
  <c r="R57" i="89"/>
  <c r="R47" i="89"/>
  <c r="R41" i="89"/>
  <c r="R34" i="89"/>
  <c r="R27" i="89"/>
  <c r="R20" i="89"/>
  <c r="R16" i="89"/>
  <c r="R11" i="89"/>
  <c r="P89" i="89"/>
  <c r="P82" i="89"/>
  <c r="P66" i="89"/>
  <c r="P57" i="89"/>
  <c r="P47" i="89"/>
  <c r="P41" i="89"/>
  <c r="P34" i="89"/>
  <c r="P27" i="89"/>
  <c r="P20" i="89"/>
  <c r="P16" i="89"/>
  <c r="P11" i="89"/>
  <c r="L89" i="89"/>
  <c r="L82" i="89"/>
  <c r="L66" i="89"/>
  <c r="L57" i="89"/>
  <c r="L47" i="89"/>
  <c r="L41" i="89"/>
  <c r="L34" i="89"/>
  <c r="L27" i="89"/>
  <c r="L20" i="89"/>
  <c r="L16" i="89"/>
  <c r="L11" i="89"/>
  <c r="J89" i="89"/>
  <c r="J82" i="89"/>
  <c r="J66" i="89"/>
  <c r="J57" i="89"/>
  <c r="J47" i="89"/>
  <c r="J41" i="89"/>
  <c r="J34" i="89"/>
  <c r="J27" i="89"/>
  <c r="J20" i="89"/>
  <c r="J16" i="89"/>
  <c r="J11" i="89"/>
  <c r="H89" i="89"/>
  <c r="H82" i="89"/>
  <c r="H66" i="89"/>
  <c r="H57" i="89"/>
  <c r="H47" i="89"/>
  <c r="H41" i="89"/>
  <c r="H34" i="89"/>
  <c r="H27" i="89"/>
  <c r="H20" i="89"/>
  <c r="H16" i="89"/>
  <c r="H11" i="89"/>
  <c r="F89" i="89"/>
  <c r="F82" i="89"/>
  <c r="F66" i="89"/>
  <c r="F57" i="89"/>
  <c r="F47" i="89"/>
  <c r="F41" i="89"/>
  <c r="F34" i="89"/>
  <c r="F27" i="89"/>
  <c r="F20" i="89"/>
  <c r="F16" i="89"/>
  <c r="F11" i="89"/>
  <c r="L60" i="89" l="1"/>
  <c r="L90" i="89" s="1"/>
  <c r="W60" i="89"/>
  <c r="W90" i="89" s="1"/>
  <c r="AE60" i="89"/>
  <c r="AE90" i="89" s="1"/>
  <c r="Q52" i="87"/>
  <c r="Q81" i="87" s="1"/>
  <c r="AQ52" i="87"/>
  <c r="AQ81" i="87" s="1"/>
  <c r="AK41" i="89"/>
  <c r="AK47" i="89"/>
  <c r="AO52" i="87"/>
  <c r="AO81" i="87" s="1"/>
  <c r="AK52" i="87"/>
  <c r="AK81" i="87" s="1"/>
  <c r="AC52" i="87"/>
  <c r="AC81" i="87" s="1"/>
  <c r="AK82" i="89"/>
  <c r="J60" i="89"/>
  <c r="J90" i="89" s="1"/>
  <c r="AK89" i="89"/>
  <c r="AC60" i="89"/>
  <c r="AC90" i="89" s="1"/>
  <c r="AR36" i="87"/>
  <c r="K52" i="87"/>
  <c r="K81" i="87" s="1"/>
  <c r="M52" i="87"/>
  <c r="M81" i="87" s="1"/>
  <c r="U52" i="87"/>
  <c r="U81" i="87" s="1"/>
  <c r="AK34" i="89"/>
  <c r="P60" i="89"/>
  <c r="P90" i="89" s="1"/>
  <c r="AI60" i="89"/>
  <c r="AI90" i="89" s="1"/>
  <c r="AE52" i="87"/>
  <c r="AE81" i="87" s="1"/>
  <c r="AI52" i="87"/>
  <c r="AI81" i="87" s="1"/>
  <c r="F60" i="89"/>
  <c r="F90" i="89" s="1"/>
  <c r="AK16" i="89"/>
  <c r="AK66" i="89"/>
  <c r="AG60" i="89"/>
  <c r="AG90" i="89" s="1"/>
  <c r="AM52" i="87"/>
  <c r="AM81" i="87" s="1"/>
  <c r="AG52" i="87"/>
  <c r="AG81" i="87" s="1"/>
  <c r="AR59" i="87"/>
  <c r="AR30" i="87"/>
  <c r="AR22" i="87"/>
  <c r="AR18" i="87"/>
  <c r="AR42" i="87"/>
  <c r="S52" i="87"/>
  <c r="S81" i="87" s="1"/>
  <c r="AR12" i="87"/>
  <c r="AR73" i="87"/>
  <c r="AR80" i="87"/>
  <c r="AR49" i="87"/>
  <c r="AK27" i="89"/>
  <c r="AK20" i="89"/>
  <c r="AA60" i="89"/>
  <c r="AA90" i="89" s="1"/>
  <c r="Y60" i="89"/>
  <c r="Y90" i="89" s="1"/>
  <c r="R60" i="89"/>
  <c r="R90" i="89" s="1"/>
  <c r="AK57" i="89"/>
  <c r="H60" i="89"/>
  <c r="H90" i="89" s="1"/>
  <c r="AK11" i="89"/>
  <c r="K8" i="89"/>
  <c r="D39" i="77"/>
  <c r="D17" i="67" s="1"/>
  <c r="D18" i="67" s="1"/>
  <c r="H39" i="77"/>
  <c r="H40" i="77" s="1"/>
  <c r="G39" i="77"/>
  <c r="G40" i="77" s="1"/>
  <c r="F39" i="77"/>
  <c r="F40" i="77" s="1"/>
  <c r="C39" i="77"/>
  <c r="C17" i="67" s="1"/>
  <c r="C18" i="67" s="1"/>
  <c r="C40" i="77" l="1"/>
  <c r="C47" i="70" s="1"/>
  <c r="D40" i="77"/>
  <c r="D47" i="70" s="1"/>
  <c r="AR81" i="87"/>
  <c r="AR52" i="87"/>
  <c r="AK60" i="89"/>
  <c r="AK90" i="89"/>
  <c r="AS41" i="87"/>
  <c r="D37" i="65"/>
  <c r="I8" i="70" s="1"/>
  <c r="J13" i="75" l="1"/>
  <c r="I13" i="75"/>
  <c r="H13" i="75"/>
  <c r="G13" i="75"/>
  <c r="F13" i="75"/>
  <c r="E13" i="75"/>
  <c r="C13" i="75"/>
  <c r="D22" i="79"/>
  <c r="G47" i="61" l="1"/>
  <c r="F47" i="61"/>
  <c r="E47" i="61"/>
  <c r="AB9" i="87"/>
  <c r="Z38" i="87"/>
  <c r="AS38" i="87" s="1"/>
  <c r="P16" i="87" l="1"/>
  <c r="D32" i="60" l="1"/>
  <c r="AS9" i="87" l="1"/>
  <c r="I8" i="89"/>
  <c r="I26" i="89"/>
  <c r="Z27" i="87" l="1"/>
  <c r="AS27" i="87" s="1"/>
  <c r="AS25" i="87"/>
  <c r="Z20" i="87"/>
  <c r="AS20" i="87" s="1"/>
  <c r="T6" i="87"/>
  <c r="AS55" i="87"/>
  <c r="AJ28" i="87"/>
  <c r="AH24" i="87"/>
  <c r="AF24" i="87"/>
  <c r="R48" i="87"/>
  <c r="P32" i="87"/>
  <c r="AS32" i="87" s="1"/>
  <c r="Z22" i="89"/>
  <c r="AH59" i="89"/>
  <c r="Q56" i="89"/>
  <c r="D27" i="77"/>
  <c r="D13" i="67" s="1"/>
  <c r="AS16" i="87" l="1"/>
  <c r="AS24" i="87"/>
  <c r="AS28" i="87"/>
  <c r="Z79" i="87"/>
  <c r="AS79" i="87" s="1"/>
  <c r="Z77" i="87"/>
  <c r="AS77" i="87" s="1"/>
  <c r="Z76" i="87"/>
  <c r="AS76" i="87" s="1"/>
  <c r="AS74" i="87"/>
  <c r="Z66" i="87"/>
  <c r="AS66" i="87" s="1"/>
  <c r="Z65" i="87"/>
  <c r="AS65" i="87" s="1"/>
  <c r="Z62" i="87"/>
  <c r="AS62" i="87" s="1"/>
  <c r="Z69" i="87"/>
  <c r="AS69" i="87" s="1"/>
  <c r="O89" i="89" l="1"/>
  <c r="AN80" i="87" l="1"/>
  <c r="AN73" i="87"/>
  <c r="AN59" i="87"/>
  <c r="AN49" i="87"/>
  <c r="AN42" i="87"/>
  <c r="AN36" i="87"/>
  <c r="AN30" i="87"/>
  <c r="AN22" i="87"/>
  <c r="AN18" i="87"/>
  <c r="AN12" i="87"/>
  <c r="G37" i="65"/>
  <c r="F37" i="65"/>
  <c r="C37" i="65"/>
  <c r="H8" i="70" s="1"/>
  <c r="G90" i="65"/>
  <c r="F90" i="65"/>
  <c r="C90" i="65"/>
  <c r="D90" i="65"/>
  <c r="G31" i="61"/>
  <c r="F31" i="61"/>
  <c r="E31" i="61"/>
  <c r="C31" i="61"/>
  <c r="D80" i="65" s="1"/>
  <c r="G67" i="61"/>
  <c r="F67" i="61"/>
  <c r="E67" i="61"/>
  <c r="E94" i="65" s="1"/>
  <c r="E104" i="65" s="1"/>
  <c r="E111" i="65" s="1"/>
  <c r="C67" i="61"/>
  <c r="D81" i="65" s="1"/>
  <c r="I47" i="70" l="1"/>
  <c r="D54" i="67"/>
  <c r="I48" i="70"/>
  <c r="AN52" i="87"/>
  <c r="AL63" i="89"/>
  <c r="AN81" i="87" l="1"/>
  <c r="D38" i="78" l="1"/>
  <c r="D48" i="78" s="1"/>
  <c r="C10" i="77" s="1"/>
  <c r="C8" i="67" s="1"/>
  <c r="O19" i="57" l="1"/>
  <c r="AB27" i="89"/>
  <c r="H8" i="81" l="1"/>
  <c r="G16" i="86" l="1"/>
  <c r="G15" i="86"/>
  <c r="G11" i="86"/>
  <c r="G10" i="86"/>
  <c r="G9" i="86"/>
  <c r="G8" i="86"/>
  <c r="G7" i="86"/>
  <c r="G6" i="86"/>
  <c r="E17" i="86"/>
  <c r="E12" i="86"/>
  <c r="C17" i="86"/>
  <c r="C12" i="86"/>
  <c r="G17" i="86" l="1"/>
  <c r="C18" i="86"/>
  <c r="G12" i="86"/>
  <c r="E18" i="86"/>
  <c r="G18" i="86" l="1"/>
  <c r="O82" i="89"/>
  <c r="J80" i="87"/>
  <c r="H80" i="87"/>
  <c r="F80" i="87"/>
  <c r="J73" i="87"/>
  <c r="H73" i="87"/>
  <c r="F73" i="87"/>
  <c r="L6" i="81" l="1"/>
  <c r="F58" i="61" l="1"/>
  <c r="F36" i="61"/>
  <c r="F93" i="65"/>
  <c r="F86" i="65"/>
  <c r="F94" i="65" s="1"/>
  <c r="F104" i="65" s="1"/>
  <c r="F40" i="65"/>
  <c r="F19" i="65"/>
  <c r="AJ57" i="89"/>
  <c r="AH57" i="89"/>
  <c r="AF57" i="89"/>
  <c r="AD57" i="89"/>
  <c r="AB57" i="89"/>
  <c r="Z57" i="89"/>
  <c r="X57" i="89"/>
  <c r="M57" i="89"/>
  <c r="K57" i="89"/>
  <c r="I57" i="89"/>
  <c r="G57" i="89"/>
  <c r="G74" i="77"/>
  <c r="G59" i="77"/>
  <c r="G55" i="77"/>
  <c r="G52" i="77"/>
  <c r="G48" i="77"/>
  <c r="G27" i="77"/>
  <c r="G14" i="77"/>
  <c r="F43" i="65" l="1"/>
  <c r="F77" i="65" s="1"/>
  <c r="F111" i="65" s="1"/>
  <c r="F59" i="61"/>
  <c r="F68" i="61" s="1"/>
  <c r="G28" i="77"/>
  <c r="G5" i="78"/>
  <c r="E6" i="83" s="1"/>
  <c r="F6" i="83" s="1"/>
  <c r="G60" i="77" l="1"/>
  <c r="G66" i="77" s="1"/>
  <c r="G91" i="77" s="1"/>
  <c r="AJ89" i="89"/>
  <c r="AH89" i="89"/>
  <c r="AF89" i="89"/>
  <c r="AD89" i="89"/>
  <c r="AB89" i="89"/>
  <c r="Z89" i="89"/>
  <c r="X89" i="89"/>
  <c r="S89" i="89"/>
  <c r="Q89" i="89"/>
  <c r="M89" i="89"/>
  <c r="K89" i="89"/>
  <c r="D61" i="70" s="1"/>
  <c r="I89" i="89"/>
  <c r="G89" i="89"/>
  <c r="E89" i="89"/>
  <c r="AL88" i="89"/>
  <c r="AL86" i="89"/>
  <c r="AL85" i="89"/>
  <c r="AL84" i="89"/>
  <c r="AL83" i="89"/>
  <c r="AJ82" i="89"/>
  <c r="AH82" i="89"/>
  <c r="AF82" i="89"/>
  <c r="AD82" i="89"/>
  <c r="AB82" i="89"/>
  <c r="Z82" i="89"/>
  <c r="X82" i="89"/>
  <c r="S82" i="89"/>
  <c r="Q82" i="89"/>
  <c r="M82" i="89"/>
  <c r="K82" i="89"/>
  <c r="I82" i="89"/>
  <c r="G82" i="89"/>
  <c r="E82" i="89"/>
  <c r="AL81" i="89"/>
  <c r="AL80" i="89"/>
  <c r="AL79" i="89"/>
  <c r="AL78" i="89"/>
  <c r="AL77" i="89"/>
  <c r="AL76" i="89"/>
  <c r="AL75" i="89"/>
  <c r="AL74" i="89"/>
  <c r="AL73" i="89"/>
  <c r="AL72" i="89"/>
  <c r="AL71" i="89"/>
  <c r="AL70" i="89"/>
  <c r="AL69" i="89"/>
  <c r="AL68" i="89"/>
  <c r="AL67" i="89"/>
  <c r="AJ66" i="89"/>
  <c r="AH66" i="89"/>
  <c r="AF66" i="89"/>
  <c r="AD66" i="89"/>
  <c r="AB66" i="89"/>
  <c r="Z66" i="89"/>
  <c r="X66" i="89"/>
  <c r="S66" i="89"/>
  <c r="Q66" i="89"/>
  <c r="O66" i="89"/>
  <c r="M66" i="89"/>
  <c r="K66" i="89"/>
  <c r="I66" i="89"/>
  <c r="G66" i="89"/>
  <c r="E66" i="89"/>
  <c r="AL65" i="89"/>
  <c r="AL62" i="89"/>
  <c r="AL61" i="89"/>
  <c r="AH58" i="89"/>
  <c r="AF58" i="89"/>
  <c r="AD58" i="89"/>
  <c r="AF59" i="89"/>
  <c r="AD59" i="89"/>
  <c r="E57" i="89"/>
  <c r="S57" i="89"/>
  <c r="AL55" i="89"/>
  <c r="AL54" i="89"/>
  <c r="O57" i="89"/>
  <c r="AL52" i="89"/>
  <c r="AL51" i="89"/>
  <c r="AL50" i="89"/>
  <c r="AL49" i="89"/>
  <c r="AL48" i="89"/>
  <c r="AJ47" i="89"/>
  <c r="AH47" i="89"/>
  <c r="AF47" i="89"/>
  <c r="AD47" i="89"/>
  <c r="AB47" i="89"/>
  <c r="Z47" i="89"/>
  <c r="X47" i="89"/>
  <c r="S47" i="89"/>
  <c r="Q47" i="89"/>
  <c r="O47" i="89"/>
  <c r="M47" i="89"/>
  <c r="K47" i="89"/>
  <c r="I47" i="89"/>
  <c r="G47" i="89"/>
  <c r="E47" i="89"/>
  <c r="AL46" i="89"/>
  <c r="AL45" i="89"/>
  <c r="AL44" i="89"/>
  <c r="AL43" i="89"/>
  <c r="AL42" i="89"/>
  <c r="AJ41" i="89"/>
  <c r="AH41" i="89"/>
  <c r="AF41" i="89"/>
  <c r="AD41" i="89"/>
  <c r="AB41" i="89"/>
  <c r="Z41" i="89"/>
  <c r="X41" i="89"/>
  <c r="S41" i="89"/>
  <c r="Q41" i="89"/>
  <c r="O41" i="89"/>
  <c r="M41" i="89"/>
  <c r="K41" i="89"/>
  <c r="I41" i="89"/>
  <c r="G41" i="89"/>
  <c r="E41" i="89"/>
  <c r="AL40" i="89"/>
  <c r="AL39" i="89"/>
  <c r="AL38" i="89"/>
  <c r="AL37" i="89"/>
  <c r="AL36" i="89"/>
  <c r="AL35" i="89"/>
  <c r="AJ34" i="89"/>
  <c r="AH34" i="89"/>
  <c r="AF34" i="89"/>
  <c r="AD34" i="89"/>
  <c r="AB34" i="89"/>
  <c r="Z34" i="89"/>
  <c r="X34" i="89"/>
  <c r="S34" i="89"/>
  <c r="Q34" i="89"/>
  <c r="O34" i="89"/>
  <c r="M34" i="89"/>
  <c r="K34" i="89"/>
  <c r="G34" i="89"/>
  <c r="E34" i="89"/>
  <c r="AL33" i="89"/>
  <c r="AL31" i="89"/>
  <c r="AL30" i="89"/>
  <c r="AL29" i="89"/>
  <c r="AL28" i="89"/>
  <c r="AJ27" i="89"/>
  <c r="AH27" i="89"/>
  <c r="AF27" i="89"/>
  <c r="AD27" i="89"/>
  <c r="X27" i="89"/>
  <c r="S27" i="89"/>
  <c r="Q27" i="89"/>
  <c r="M27" i="89"/>
  <c r="K27" i="89"/>
  <c r="I27" i="89"/>
  <c r="G27" i="89"/>
  <c r="E27" i="89"/>
  <c r="O27" i="89"/>
  <c r="AL25" i="89"/>
  <c r="AL24" i="89"/>
  <c r="AL23" i="89"/>
  <c r="Z27" i="89"/>
  <c r="AL21" i="89"/>
  <c r="AJ20" i="89"/>
  <c r="Z20" i="89"/>
  <c r="X20" i="89"/>
  <c r="S20" i="89"/>
  <c r="Q20" i="89"/>
  <c r="M20" i="89"/>
  <c r="K20" i="89"/>
  <c r="I20" i="89"/>
  <c r="G20" i="89"/>
  <c r="E20" i="89"/>
  <c r="AB20" i="89"/>
  <c r="O20" i="89"/>
  <c r="AL17" i="89"/>
  <c r="AJ16" i="89"/>
  <c r="AH16" i="89"/>
  <c r="AH20" i="89" s="1"/>
  <c r="AF16" i="89"/>
  <c r="AF20" i="89" s="1"/>
  <c r="AD16" i="89"/>
  <c r="AD20" i="89" s="1"/>
  <c r="Z16" i="89"/>
  <c r="X16" i="89"/>
  <c r="S16" i="89"/>
  <c r="Q16" i="89"/>
  <c r="M16" i="89"/>
  <c r="K16" i="89"/>
  <c r="G16" i="89"/>
  <c r="E16" i="89"/>
  <c r="AL15" i="89"/>
  <c r="AB16" i="89"/>
  <c r="O16" i="89"/>
  <c r="AL12" i="89"/>
  <c r="AH11" i="89"/>
  <c r="AF11" i="89"/>
  <c r="AD11" i="89"/>
  <c r="AB11" i="89"/>
  <c r="Z11" i="89"/>
  <c r="S11" i="89"/>
  <c r="Q11" i="89"/>
  <c r="M11" i="89"/>
  <c r="K11" i="89"/>
  <c r="I11" i="89"/>
  <c r="G11" i="89"/>
  <c r="X11" i="89"/>
  <c r="AL7" i="89"/>
  <c r="AP80" i="87"/>
  <c r="AL80" i="87"/>
  <c r="AJ80" i="87"/>
  <c r="AH80" i="87"/>
  <c r="AF80" i="87"/>
  <c r="AD80" i="87"/>
  <c r="AB80" i="87"/>
  <c r="Z80" i="87"/>
  <c r="V80" i="87"/>
  <c r="T80" i="87"/>
  <c r="R80" i="87"/>
  <c r="P80" i="87"/>
  <c r="N80" i="87"/>
  <c r="L80" i="87"/>
  <c r="D80" i="87"/>
  <c r="AP73" i="87"/>
  <c r="AL73" i="87"/>
  <c r="AJ73" i="87"/>
  <c r="AH73" i="87"/>
  <c r="AF73" i="87"/>
  <c r="AD73" i="87"/>
  <c r="AB73" i="87"/>
  <c r="Z73" i="87"/>
  <c r="V73" i="87"/>
  <c r="T73" i="87"/>
  <c r="R73" i="87"/>
  <c r="P73" i="87"/>
  <c r="N73" i="87"/>
  <c r="L73" i="87"/>
  <c r="D73" i="87"/>
  <c r="AP59" i="87"/>
  <c r="AL59" i="87"/>
  <c r="AJ59" i="87"/>
  <c r="AH59" i="87"/>
  <c r="AF59" i="87"/>
  <c r="AD59" i="87"/>
  <c r="AB59" i="87"/>
  <c r="Z59" i="87"/>
  <c r="V59" i="87"/>
  <c r="T59" i="87"/>
  <c r="R59" i="87"/>
  <c r="P59" i="87"/>
  <c r="N59" i="87"/>
  <c r="L59" i="87"/>
  <c r="J59" i="87"/>
  <c r="H59" i="87"/>
  <c r="F59" i="87"/>
  <c r="D59" i="87"/>
  <c r="AP49" i="87"/>
  <c r="AL49" i="87"/>
  <c r="AJ49" i="87"/>
  <c r="AH49" i="87"/>
  <c r="AF49" i="87"/>
  <c r="AD49" i="87"/>
  <c r="AB49" i="87"/>
  <c r="Z49" i="87"/>
  <c r="V49" i="87"/>
  <c r="T49" i="87"/>
  <c r="N49" i="87"/>
  <c r="D49" i="87"/>
  <c r="R49" i="87"/>
  <c r="H49" i="87"/>
  <c r="F49" i="87"/>
  <c r="AP42" i="87"/>
  <c r="AL42" i="87"/>
  <c r="AJ42" i="87"/>
  <c r="AH42" i="87"/>
  <c r="AF42" i="87"/>
  <c r="AD42" i="87"/>
  <c r="AB42" i="87"/>
  <c r="Z42" i="87"/>
  <c r="V42" i="87"/>
  <c r="R42" i="87"/>
  <c r="P42" i="87"/>
  <c r="N42" i="87"/>
  <c r="L42" i="87"/>
  <c r="T42" i="87"/>
  <c r="H42" i="87"/>
  <c r="F42" i="87"/>
  <c r="AP36" i="87"/>
  <c r="AL36" i="87"/>
  <c r="AJ36" i="87"/>
  <c r="AH36" i="87"/>
  <c r="AF36" i="87"/>
  <c r="AD36" i="87"/>
  <c r="AB36" i="87"/>
  <c r="Z36" i="87"/>
  <c r="V36" i="87"/>
  <c r="T36" i="87"/>
  <c r="R36" i="87"/>
  <c r="P36" i="87"/>
  <c r="N36" i="87"/>
  <c r="L36" i="87"/>
  <c r="D36" i="87"/>
  <c r="H36" i="87"/>
  <c r="F36" i="87"/>
  <c r="AP30" i="87"/>
  <c r="AL30" i="87"/>
  <c r="AD30" i="87"/>
  <c r="V30" i="87"/>
  <c r="T30" i="87"/>
  <c r="R30" i="87"/>
  <c r="P30" i="87"/>
  <c r="N30" i="87"/>
  <c r="L30" i="87"/>
  <c r="H30" i="87"/>
  <c r="F30" i="87"/>
  <c r="AJ30" i="87"/>
  <c r="AB30" i="87"/>
  <c r="AH30" i="87"/>
  <c r="AF30" i="87"/>
  <c r="AP22" i="87"/>
  <c r="AL22" i="87"/>
  <c r="AJ22" i="87"/>
  <c r="AH22" i="87"/>
  <c r="AF22" i="87"/>
  <c r="AD22" i="87"/>
  <c r="AB22" i="87"/>
  <c r="V22" i="87"/>
  <c r="T22" i="87"/>
  <c r="R22" i="87"/>
  <c r="P22" i="87"/>
  <c r="N22" i="87"/>
  <c r="L22" i="87"/>
  <c r="H22" i="87"/>
  <c r="F22" i="87"/>
  <c r="AP18" i="87"/>
  <c r="AL18" i="87"/>
  <c r="AJ18" i="87"/>
  <c r="AH18" i="87"/>
  <c r="AF18" i="87"/>
  <c r="AD18" i="87"/>
  <c r="AB18" i="87"/>
  <c r="V18" i="87"/>
  <c r="T18" i="87"/>
  <c r="R18" i="87"/>
  <c r="P18" i="87"/>
  <c r="N18" i="87"/>
  <c r="L18" i="87"/>
  <c r="D18" i="87"/>
  <c r="H18" i="87"/>
  <c r="F18" i="87"/>
  <c r="AL12" i="87"/>
  <c r="AJ12" i="87"/>
  <c r="AH12" i="87"/>
  <c r="AF12" i="87"/>
  <c r="AD12" i="87"/>
  <c r="T12" i="87"/>
  <c r="R12" i="87"/>
  <c r="N12" i="87"/>
  <c r="L12" i="87"/>
  <c r="D12" i="87"/>
  <c r="AB12" i="87"/>
  <c r="H12" i="87"/>
  <c r="AS73" i="87" l="1"/>
  <c r="AS59" i="87"/>
  <c r="AS80" i="87"/>
  <c r="R52" i="87"/>
  <c r="G60" i="89"/>
  <c r="G90" i="89" s="1"/>
  <c r="I16" i="89"/>
  <c r="AL56" i="89"/>
  <c r="Q57" i="89"/>
  <c r="N52" i="87"/>
  <c r="N81" i="87" s="1"/>
  <c r="D52" i="87"/>
  <c r="D81" i="87" s="1"/>
  <c r="AD52" i="87"/>
  <c r="AL52" i="87"/>
  <c r="J22" i="87"/>
  <c r="X60" i="89"/>
  <c r="S60" i="89"/>
  <c r="AL41" i="89"/>
  <c r="AL47" i="89"/>
  <c r="AL89" i="89"/>
  <c r="K60" i="89"/>
  <c r="AL66" i="89"/>
  <c r="AL82" i="89"/>
  <c r="J18" i="87"/>
  <c r="AJ52" i="87"/>
  <c r="AJ81" i="87" s="1"/>
  <c r="AF60" i="89"/>
  <c r="AF90" i="89" s="1"/>
  <c r="J42" i="87"/>
  <c r="AS42" i="87" s="1"/>
  <c r="AB52" i="87"/>
  <c r="AB60" i="89"/>
  <c r="I34" i="89"/>
  <c r="AL34" i="89" s="1"/>
  <c r="Z18" i="87"/>
  <c r="Z22" i="87"/>
  <c r="J36" i="87"/>
  <c r="AS36" i="87" s="1"/>
  <c r="J12" i="87"/>
  <c r="AF52" i="87"/>
  <c r="Z30" i="87"/>
  <c r="AL19" i="89"/>
  <c r="AL26" i="89"/>
  <c r="AL59" i="89"/>
  <c r="Z60" i="89"/>
  <c r="AH60" i="89"/>
  <c r="AL20" i="89"/>
  <c r="AD60" i="89"/>
  <c r="AD90" i="89" s="1"/>
  <c r="AL6" i="89"/>
  <c r="AL14" i="89"/>
  <c r="AL18" i="89"/>
  <c r="AL22" i="89"/>
  <c r="AL32" i="89"/>
  <c r="AL53" i="89"/>
  <c r="AL27" i="89"/>
  <c r="AL13" i="89"/>
  <c r="H52" i="87"/>
  <c r="H81" i="87" s="1"/>
  <c r="T52" i="87"/>
  <c r="AH52" i="87"/>
  <c r="F12" i="87"/>
  <c r="AP12" i="87"/>
  <c r="AP52" i="87" s="1"/>
  <c r="J30" i="87"/>
  <c r="P49" i="87"/>
  <c r="J49" i="87"/>
  <c r="C47" i="61"/>
  <c r="D99" i="65" s="1"/>
  <c r="D100" i="65" l="1"/>
  <c r="I57" i="70"/>
  <c r="D40" i="70"/>
  <c r="D43" i="67"/>
  <c r="D90" i="77"/>
  <c r="AS18" i="87"/>
  <c r="AS30" i="87"/>
  <c r="AS22" i="87"/>
  <c r="K90" i="89"/>
  <c r="I60" i="89"/>
  <c r="I90" i="89" s="1"/>
  <c r="AL16" i="89"/>
  <c r="AL57" i="89"/>
  <c r="AH90" i="89"/>
  <c r="AF81" i="87"/>
  <c r="X90" i="89"/>
  <c r="AD81" i="87"/>
  <c r="T81" i="87"/>
  <c r="Z90" i="89"/>
  <c r="R81" i="87"/>
  <c r="AB90" i="89"/>
  <c r="S90" i="89"/>
  <c r="D33" i="67" s="1"/>
  <c r="D8" i="70"/>
  <c r="AP81" i="87"/>
  <c r="AH81" i="87"/>
  <c r="AL81" i="87"/>
  <c r="Q60" i="89"/>
  <c r="AB81" i="87"/>
  <c r="J52" i="87"/>
  <c r="J81" i="87" s="1"/>
  <c r="F52" i="87"/>
  <c r="Q90" i="89" l="1"/>
  <c r="F81" i="87"/>
  <c r="C38" i="67"/>
  <c r="C34" i="67"/>
  <c r="C25" i="67"/>
  <c r="N25" i="57" l="1"/>
  <c r="G58" i="61"/>
  <c r="E58" i="61"/>
  <c r="C58" i="61"/>
  <c r="D102" i="65" s="1"/>
  <c r="D8" i="79"/>
  <c r="H55" i="77"/>
  <c r="F55" i="77"/>
  <c r="D55" i="77"/>
  <c r="C55" i="77"/>
  <c r="D103" i="65" l="1"/>
  <c r="I60" i="70"/>
  <c r="I61" i="70" s="1"/>
  <c r="C8" i="83" s="1"/>
  <c r="D18" i="79"/>
  <c r="D14" i="79"/>
  <c r="D11" i="79"/>
  <c r="I58" i="70"/>
  <c r="D73" i="70"/>
  <c r="D23" i="79" l="1"/>
  <c r="L48" i="87" s="1"/>
  <c r="AS48" i="87" s="1"/>
  <c r="I18" i="70"/>
  <c r="I23" i="70"/>
  <c r="C7" i="83" s="1"/>
  <c r="D23" i="70"/>
  <c r="K7" i="83" s="1"/>
  <c r="H16" i="86"/>
  <c r="F17" i="86"/>
  <c r="D18" i="60"/>
  <c r="D33" i="60" s="1"/>
  <c r="G36" i="61"/>
  <c r="E36" i="61"/>
  <c r="C36" i="61"/>
  <c r="D96" i="65" s="1"/>
  <c r="H55" i="70"/>
  <c r="C73" i="70"/>
  <c r="O22" i="57"/>
  <c r="O21" i="57"/>
  <c r="F12" i="86"/>
  <c r="H48" i="77"/>
  <c r="F48" i="77"/>
  <c r="D48" i="77"/>
  <c r="G38" i="78"/>
  <c r="G48" i="78" s="1"/>
  <c r="D10" i="77" s="1"/>
  <c r="D8" i="67" s="1"/>
  <c r="G32" i="78"/>
  <c r="G7" i="78"/>
  <c r="G25" i="78" s="1"/>
  <c r="D17" i="86"/>
  <c r="H6" i="86"/>
  <c r="C93" i="65"/>
  <c r="H51" i="70" s="1"/>
  <c r="C86" i="65"/>
  <c r="C40" i="65"/>
  <c r="H9" i="70" s="1"/>
  <c r="C19" i="65"/>
  <c r="H61" i="70"/>
  <c r="H58" i="70"/>
  <c r="C74" i="77"/>
  <c r="C59" i="77"/>
  <c r="C52" i="77"/>
  <c r="C48" i="77"/>
  <c r="C6" i="70" s="1"/>
  <c r="D25" i="67"/>
  <c r="H15" i="86"/>
  <c r="D12" i="86"/>
  <c r="H8" i="86"/>
  <c r="H9" i="86"/>
  <c r="H10" i="86"/>
  <c r="H11" i="86"/>
  <c r="H7" i="86"/>
  <c r="C22" i="79"/>
  <c r="C28" i="70"/>
  <c r="C23" i="70"/>
  <c r="D18" i="70"/>
  <c r="K6" i="83" s="1"/>
  <c r="H74" i="77"/>
  <c r="H59" i="77"/>
  <c r="H52" i="77"/>
  <c r="H27" i="77"/>
  <c r="H14" i="77"/>
  <c r="F9" i="83"/>
  <c r="C14" i="57"/>
  <c r="K8" i="59"/>
  <c r="L8" i="59"/>
  <c r="J8" i="59"/>
  <c r="I8" i="59"/>
  <c r="H8" i="59"/>
  <c r="G8" i="59"/>
  <c r="F8" i="59"/>
  <c r="M7" i="59"/>
  <c r="M6" i="59"/>
  <c r="M5" i="59"/>
  <c r="L12" i="81"/>
  <c r="L13" i="81"/>
  <c r="L14" i="81"/>
  <c r="L18" i="81"/>
  <c r="L17" i="81"/>
  <c r="F14" i="77"/>
  <c r="L9" i="81"/>
  <c r="L7" i="81"/>
  <c r="L5" i="81"/>
  <c r="L4" i="81"/>
  <c r="B8" i="81"/>
  <c r="B15" i="81"/>
  <c r="B19" i="81"/>
  <c r="O12" i="57"/>
  <c r="K19" i="81"/>
  <c r="J19" i="81"/>
  <c r="I19" i="81"/>
  <c r="G19" i="81"/>
  <c r="F19" i="81"/>
  <c r="E19" i="81"/>
  <c r="D19" i="81"/>
  <c r="C19" i="81"/>
  <c r="D93" i="65"/>
  <c r="I51" i="70" s="1"/>
  <c r="D86" i="65"/>
  <c r="D40" i="65"/>
  <c r="I9" i="70" s="1"/>
  <c r="F74" i="77"/>
  <c r="F59" i="77"/>
  <c r="F52" i="77"/>
  <c r="F27" i="77"/>
  <c r="D52" i="77"/>
  <c r="D59" i="77"/>
  <c r="D74" i="77"/>
  <c r="O23" i="57"/>
  <c r="O13" i="57"/>
  <c r="O11" i="57"/>
  <c r="O10" i="57"/>
  <c r="O9" i="57"/>
  <c r="O8" i="57"/>
  <c r="G40" i="65"/>
  <c r="D32" i="78"/>
  <c r="C9" i="77" s="1"/>
  <c r="C7" i="67" s="1"/>
  <c r="D25" i="78"/>
  <c r="O7" i="57"/>
  <c r="C18" i="79"/>
  <c r="C14" i="79"/>
  <c r="C11" i="79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E25" i="57"/>
  <c r="F25" i="57"/>
  <c r="G25" i="57"/>
  <c r="H25" i="57"/>
  <c r="I25" i="57"/>
  <c r="J25" i="57"/>
  <c r="K25" i="57"/>
  <c r="L25" i="57"/>
  <c r="M25" i="57"/>
  <c r="O20" i="57"/>
  <c r="O5" i="57"/>
  <c r="L3" i="81"/>
  <c r="G93" i="65"/>
  <c r="J13" i="58"/>
  <c r="G13" i="58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G86" i="65"/>
  <c r="G94" i="65" s="1"/>
  <c r="G104" i="65" s="1"/>
  <c r="G19" i="65"/>
  <c r="E8" i="59"/>
  <c r="O16" i="57"/>
  <c r="O17" i="57"/>
  <c r="O4" i="57"/>
  <c r="O6" i="57"/>
  <c r="K8" i="58"/>
  <c r="K10" i="58"/>
  <c r="G58" i="78" l="1"/>
  <c r="G60" i="78" s="1"/>
  <c r="D97" i="65"/>
  <c r="I54" i="70"/>
  <c r="I55" i="70" s="1"/>
  <c r="C6" i="83" s="1"/>
  <c r="D53" i="67"/>
  <c r="C8" i="77"/>
  <c r="C6" i="67" s="1"/>
  <c r="C14" i="67" s="1"/>
  <c r="D58" i="78"/>
  <c r="D60" i="78" s="1"/>
  <c r="C48" i="70"/>
  <c r="C28" i="67"/>
  <c r="C30" i="67" s="1"/>
  <c r="M58" i="89"/>
  <c r="AL58" i="89" s="1"/>
  <c r="D6" i="70"/>
  <c r="I50" i="70"/>
  <c r="D55" i="67"/>
  <c r="D94" i="65"/>
  <c r="H7" i="70"/>
  <c r="C50" i="67"/>
  <c r="C52" i="67" s="1"/>
  <c r="D28" i="67"/>
  <c r="D30" i="67" s="1"/>
  <c r="D48" i="70"/>
  <c r="H50" i="70"/>
  <c r="C55" i="67"/>
  <c r="C56" i="67" s="1"/>
  <c r="C94" i="65"/>
  <c r="C104" i="65" s="1"/>
  <c r="C43" i="65"/>
  <c r="G43" i="65"/>
  <c r="G77" i="65" s="1"/>
  <c r="G111" i="65" s="1"/>
  <c r="C14" i="77"/>
  <c r="C28" i="77" s="1"/>
  <c r="K11" i="58"/>
  <c r="K13" i="58" s="1"/>
  <c r="D19" i="65"/>
  <c r="M60" i="89"/>
  <c r="L15" i="81"/>
  <c r="D8" i="77"/>
  <c r="D6" i="67" s="1"/>
  <c r="E9" i="83"/>
  <c r="D9" i="77"/>
  <c r="D7" i="67" s="1"/>
  <c r="F26" i="57"/>
  <c r="G26" i="57"/>
  <c r="H23" i="70"/>
  <c r="D20" i="81"/>
  <c r="C59" i="61"/>
  <c r="C68" i="61" s="1"/>
  <c r="E59" i="61"/>
  <c r="E68" i="61" s="1"/>
  <c r="F20" i="81"/>
  <c r="E20" i="81"/>
  <c r="H26" i="57"/>
  <c r="D26" i="57"/>
  <c r="B20" i="81"/>
  <c r="C20" i="81"/>
  <c r="M8" i="59"/>
  <c r="H17" i="86"/>
  <c r="H18" i="70"/>
  <c r="I20" i="81"/>
  <c r="M26" i="57"/>
  <c r="I26" i="57"/>
  <c r="F18" i="86"/>
  <c r="D35" i="60"/>
  <c r="J20" i="81"/>
  <c r="K20" i="81"/>
  <c r="E26" i="57"/>
  <c r="G59" i="61"/>
  <c r="G68" i="61" s="1"/>
  <c r="C26" i="57"/>
  <c r="H28" i="77"/>
  <c r="H60" i="77" s="1"/>
  <c r="H66" i="77" s="1"/>
  <c r="I41" i="70"/>
  <c r="G20" i="81"/>
  <c r="I73" i="70"/>
  <c r="K26" i="57"/>
  <c r="C23" i="79"/>
  <c r="L19" i="81"/>
  <c r="D28" i="70"/>
  <c r="K8" i="83" s="1"/>
  <c r="H12" i="86"/>
  <c r="J26" i="57"/>
  <c r="O25" i="57"/>
  <c r="O14" i="57"/>
  <c r="L26" i="57"/>
  <c r="F28" i="77"/>
  <c r="F60" i="77" s="1"/>
  <c r="F66" i="77" s="1"/>
  <c r="H73" i="70"/>
  <c r="C18" i="70"/>
  <c r="C41" i="70"/>
  <c r="H7" i="83"/>
  <c r="J7" i="83" s="1"/>
  <c r="N7" i="83" s="1"/>
  <c r="L8" i="81"/>
  <c r="D18" i="86"/>
  <c r="C39" i="67" l="1"/>
  <c r="C44" i="67" s="1"/>
  <c r="I7" i="70"/>
  <c r="C57" i="67"/>
  <c r="C63" i="67" s="1"/>
  <c r="D104" i="65"/>
  <c r="C60" i="77"/>
  <c r="C66" i="77" s="1"/>
  <c r="C91" i="77" s="1"/>
  <c r="C5" i="70"/>
  <c r="D14" i="77"/>
  <c r="D28" i="77" s="1"/>
  <c r="D5" i="70" s="1"/>
  <c r="P12" i="87"/>
  <c r="AS11" i="87"/>
  <c r="L49" i="87"/>
  <c r="AS49" i="87" s="1"/>
  <c r="D42" i="65"/>
  <c r="D50" i="67" s="1"/>
  <c r="AS6" i="87"/>
  <c r="M90" i="89"/>
  <c r="E11" i="89"/>
  <c r="E60" i="89" s="1"/>
  <c r="AL9" i="89"/>
  <c r="G8" i="83"/>
  <c r="I8" i="83" s="1"/>
  <c r="M8" i="83" s="1"/>
  <c r="H8" i="83"/>
  <c r="J8" i="83" s="1"/>
  <c r="N8" i="83" s="1"/>
  <c r="H91" i="77"/>
  <c r="L20" i="81"/>
  <c r="K9" i="83"/>
  <c r="H18" i="86"/>
  <c r="G7" i="83"/>
  <c r="I7" i="83" s="1"/>
  <c r="M7" i="83" s="1"/>
  <c r="D52" i="70"/>
  <c r="D62" i="70" s="1"/>
  <c r="D74" i="70" s="1"/>
  <c r="F91" i="77"/>
  <c r="H6" i="83"/>
  <c r="J6" i="83" s="1"/>
  <c r="N6" i="83" s="1"/>
  <c r="D9" i="83"/>
  <c r="L9" i="83"/>
  <c r="G6" i="83"/>
  <c r="I6" i="83" s="1"/>
  <c r="D34" i="67"/>
  <c r="D14" i="67"/>
  <c r="C9" i="83"/>
  <c r="D43" i="65" l="1"/>
  <c r="D77" i="65" s="1"/>
  <c r="D111" i="65" s="1"/>
  <c r="I11" i="70"/>
  <c r="D51" i="67"/>
  <c r="P52" i="87"/>
  <c r="E90" i="89"/>
  <c r="L52" i="87"/>
  <c r="V12" i="87"/>
  <c r="V52" i="87" s="1"/>
  <c r="H52" i="70"/>
  <c r="H62" i="70" s="1"/>
  <c r="H74" i="70" s="1"/>
  <c r="N9" i="83"/>
  <c r="H41" i="70"/>
  <c r="J9" i="83"/>
  <c r="H9" i="83"/>
  <c r="G9" i="83"/>
  <c r="C52" i="70"/>
  <c r="C62" i="70" s="1"/>
  <c r="C74" i="70" s="1"/>
  <c r="D38" i="67"/>
  <c r="D39" i="67" s="1"/>
  <c r="D44" i="67" s="1"/>
  <c r="H12" i="70"/>
  <c r="H29" i="70" s="1"/>
  <c r="C12" i="70"/>
  <c r="C29" i="70" s="1"/>
  <c r="C42" i="70" s="1"/>
  <c r="M6" i="83"/>
  <c r="M9" i="83" s="1"/>
  <c r="I9" i="83"/>
  <c r="P81" i="87" l="1"/>
  <c r="L81" i="87"/>
  <c r="V81" i="87"/>
  <c r="H42" i="70"/>
  <c r="H75" i="70" s="1"/>
  <c r="C75" i="70"/>
  <c r="I12" i="70" l="1"/>
  <c r="I29" i="70" s="1"/>
  <c r="I42" i="70" s="1"/>
  <c r="AL8" i="89"/>
  <c r="O11" i="89"/>
  <c r="O60" i="89" s="1"/>
  <c r="D60" i="77" s="1"/>
  <c r="D66" i="77" s="1"/>
  <c r="AJ11" i="89"/>
  <c r="AL10" i="89"/>
  <c r="Z12" i="87"/>
  <c r="AS12" i="87" s="1"/>
  <c r="D52" i="67" l="1"/>
  <c r="D12" i="70"/>
  <c r="D29" i="70" s="1"/>
  <c r="O90" i="89"/>
  <c r="AJ60" i="89"/>
  <c r="AL11" i="89"/>
  <c r="AL60" i="89" s="1"/>
  <c r="Z52" i="87"/>
  <c r="AS52" i="87" s="1"/>
  <c r="D41" i="70" l="1"/>
  <c r="D42" i="70" s="1"/>
  <c r="D75" i="70" s="1"/>
  <c r="D91" i="77"/>
  <c r="AJ90" i="89"/>
  <c r="I52" i="70"/>
  <c r="I62" i="70" s="1"/>
  <c r="I74" i="70" s="1"/>
  <c r="I75" i="70" s="1"/>
  <c r="Z81" i="87"/>
  <c r="AS81" i="87" s="1"/>
  <c r="D56" i="67" l="1"/>
  <c r="AL90" i="89"/>
  <c r="D57" i="67" l="1"/>
  <c r="D63" i="67" s="1"/>
  <c r="C77" i="65"/>
  <c r="C111" i="65" s="1"/>
</calcChain>
</file>

<file path=xl/sharedStrings.xml><?xml version="1.0" encoding="utf-8"?>
<sst xmlns="http://schemas.openxmlformats.org/spreadsheetml/2006/main" count="1853" uniqueCount="930">
  <si>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</si>
  <si>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</si>
  <si>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</si>
  <si>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</si>
  <si>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</si>
  <si>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</si>
  <si>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</si>
  <si>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</si>
  <si>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</si>
  <si>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</si>
  <si>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</si>
  <si>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</si>
  <si>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</si>
  <si>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</si>
  <si>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</si>
  <si>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</si>
  <si>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</si>
  <si>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</si>
  <si>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</si>
  <si>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</si>
  <si>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</si>
  <si>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</si>
  <si>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</si>
  <si>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</si>
  <si>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</si>
  <si>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</si>
  <si>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</si>
  <si>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</si>
  <si>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</si>
  <si>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</si>
  <si>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</si>
  <si>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</si>
  <si>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</si>
  <si>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</si>
  <si>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</si>
  <si>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</si>
  <si>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</si>
  <si>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</si>
  <si>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</si>
  <si>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</si>
  <si>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</si>
  <si>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</si>
  <si>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</si>
  <si>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</si>
  <si>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</si>
  <si>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</si>
  <si>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</si>
  <si>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</si>
  <si>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</si>
  <si>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</si>
  <si>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</si>
  <si>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</si>
  <si>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</si>
  <si>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</si>
  <si>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</si>
  <si>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</si>
  <si>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</si>
  <si>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</si>
  <si>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</si>
  <si>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</si>
  <si>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</si>
  <si>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</si>
  <si>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</si>
  <si>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</si>
  <si>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</si>
  <si>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</si>
  <si>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</si>
  <si>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</si>
  <si>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</si>
  <si>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</si>
  <si>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</si>
  <si>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</si>
  <si>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</si>
  <si>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</si>
  <si>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</si>
  <si>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</si>
  <si>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</si>
  <si>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</si>
  <si>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</si>
  <si>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</si>
  <si>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</si>
  <si>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</si>
  <si>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</si>
  <si>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</si>
  <si>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</si>
  <si>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</si>
  <si>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</si>
  <si>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</si>
  <si>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</si>
  <si>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</si>
  <si>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</si>
  <si>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</si>
  <si>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</si>
  <si>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</si>
  <si>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</si>
  <si>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</si>
  <si>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</si>
  <si>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</si>
  <si>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</si>
  <si>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</si>
  <si>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</si>
  <si>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</si>
  <si>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</si>
  <si>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</si>
  <si>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</si>
  <si>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</si>
  <si>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</si>
  <si>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</si>
  <si>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</si>
  <si>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</si>
  <si>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</si>
  <si>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</si>
  <si>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</si>
  <si>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</si>
  <si>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</si>
  <si>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</si>
  <si>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</si>
  <si>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</si>
  <si>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</si>
  <si>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</si>
  <si>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</si>
  <si>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</si>
  <si>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>Lakástámogatás ( K87)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</si>
  <si>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</si>
  <si>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</si>
  <si>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</si>
  <si>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</si>
  <si>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</si>
  <si>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</si>
  <si>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</si>
  <si>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</si>
  <si>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</si>
  <si>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</si>
  <si>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</si>
  <si>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</si>
  <si>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</si>
  <si>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</si>
  <si>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</si>
  <si>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</si>
  <si>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</si>
  <si>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</si>
  <si>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</si>
  <si>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</si>
  <si>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</si>
  <si>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</si>
  <si>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</si>
  <si>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</si>
  <si>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</si>
  <si>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</si>
  <si>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</si>
  <si>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</si>
  <si>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</si>
  <si>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</si>
  <si>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</si>
  <si>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</si>
  <si>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</si>
  <si>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</si>
  <si>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</si>
  <si>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</si>
  <si>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</si>
  <si>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</si>
  <si>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</si>
  <si>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</si>
  <si>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</si>
  <si>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</si>
  <si>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</si>
  <si>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</si>
  <si>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</si>
  <si>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</si>
  <si>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</si>
  <si>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</si>
  <si>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</si>
  <si>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</si>
  <si>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</si>
  <si>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</si>
  <si>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</si>
  <si>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</si>
  <si>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</si>
  <si>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>11.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</si>
  <si>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</si>
  <si>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</si>
  <si>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</si>
  <si>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</si>
  <si>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</si>
  <si>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</si>
  <si>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</si>
  <si>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</si>
  <si>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</si>
  <si>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</si>
  <si>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</si>
  <si>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</si>
  <si>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</si>
  <si>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</si>
  <si>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</si>
  <si>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</si>
  <si>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</si>
  <si>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</si>
  <si>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</si>
  <si>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</si>
  <si>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</si>
  <si>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</si>
  <si>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</si>
  <si>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</si>
  <si>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</si>
  <si>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</si>
  <si>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</si>
  <si>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</si>
  <si>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</si>
  <si>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</si>
  <si>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</si>
  <si>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</si>
  <si>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</si>
  <si>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</si>
  <si>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</si>
  <si>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</si>
  <si>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</si>
  <si>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</si>
  <si>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</si>
  <si>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</si>
  <si>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</si>
  <si>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</si>
  <si>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</si>
  <si>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</si>
  <si>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</si>
  <si>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</si>
  <si>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</si>
  <si>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</si>
  <si>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</si>
  <si>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</si>
  <si>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</si>
  <si>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</si>
  <si>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</si>
  <si>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</si>
  <si>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</si>
  <si>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</si>
  <si>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</si>
  <si>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</si>
  <si>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Felhalmozási célú átvett pénzeszköz összesen </t>
  </si>
  <si>
    <t xml:space="preserve">Finanszírozási bevételek </t>
  </si>
  <si>
    <t>B114</t>
  </si>
  <si>
    <t xml:space="preserve">    Egyéb célú támogatás államházt. Belül  összesen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</si>
  <si>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</si>
  <si>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</si>
  <si>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</si>
  <si>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</si>
  <si>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</si>
  <si>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</si>
  <si>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</si>
  <si>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</si>
  <si>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</si>
  <si>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</si>
  <si>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</si>
  <si>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</si>
  <si>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>b) település-üzemeltetéshez kapcsolódó feladataellátás t.beszámítás után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</si>
  <si>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</si>
  <si>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</si>
  <si>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</si>
  <si>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</si>
  <si>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</si>
  <si>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</si>
  <si>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</si>
  <si>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</si>
  <si>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</si>
  <si>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</si>
  <si>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</si>
  <si>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</si>
  <si>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</si>
  <si>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</si>
  <si>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</si>
  <si>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</si>
  <si>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</si>
  <si>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</si>
  <si>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</si>
  <si>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</si>
  <si>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</si>
  <si>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</si>
  <si>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</si>
  <si>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2017. évi terv</t>
  </si>
  <si>
    <t>Működési célú kölcsönök állh. Kívülre (K508)</t>
  </si>
  <si>
    <t>Egyéb felhalmozási célú támogatások államházt. Kívülre (K89)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</si>
  <si>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</si>
  <si>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</si>
  <si>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</si>
  <si>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</si>
  <si>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</si>
  <si>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</si>
  <si>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</si>
  <si>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</si>
  <si>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</si>
  <si>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Felhalmozási bevételek összesen:</t>
  </si>
  <si>
    <t>9.</t>
  </si>
  <si>
    <t>Közös Önkormányzati Hivatal összesen:</t>
  </si>
  <si>
    <t>Felhalmozási kiadások összesen:</t>
  </si>
  <si>
    <t>Felújítások összesen:</t>
  </si>
  <si>
    <t>Elvonások, befizetések K502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</si>
  <si>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</si>
  <si>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</si>
  <si>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</si>
  <si>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</si>
  <si>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</si>
  <si>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</si>
  <si>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</si>
  <si>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</si>
  <si>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</si>
  <si>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</si>
  <si>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</si>
  <si>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</si>
  <si>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</si>
  <si>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</si>
  <si>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</si>
  <si>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</si>
  <si>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</si>
  <si>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</si>
  <si>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</si>
  <si>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</si>
  <si>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</si>
  <si>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</si>
  <si>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</si>
  <si>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</si>
  <si>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</si>
  <si>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</si>
  <si>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</si>
  <si>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</si>
  <si>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</si>
  <si>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</si>
  <si>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</si>
  <si>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</si>
  <si>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</si>
  <si>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</si>
  <si>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</si>
  <si>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</si>
  <si>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</si>
  <si>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</si>
  <si>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</si>
  <si>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</si>
  <si>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</si>
  <si>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</si>
  <si>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</si>
  <si>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</si>
  <si>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</si>
  <si>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</si>
  <si>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</si>
  <si>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</si>
  <si>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</si>
  <si>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</si>
  <si>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</si>
  <si>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</si>
  <si>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</si>
  <si>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</si>
  <si>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</si>
  <si>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</si>
  <si>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</si>
  <si>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</si>
  <si>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</si>
  <si>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</si>
  <si>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</si>
  <si>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</si>
  <si>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</si>
  <si>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</si>
  <si>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</si>
  <si>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</si>
  <si>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</si>
  <si>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</si>
  <si>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</si>
  <si>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</si>
  <si>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</si>
  <si>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</si>
  <si>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</si>
  <si>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</si>
  <si>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</si>
  <si>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</si>
  <si>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</si>
  <si>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</si>
  <si>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</si>
  <si>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</si>
  <si>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</si>
  <si>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</si>
  <si>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</si>
  <si>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</si>
  <si>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</si>
  <si>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</si>
  <si>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</si>
  <si>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</si>
  <si>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</si>
  <si>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</si>
  <si>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</si>
  <si>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</si>
  <si>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</si>
  <si>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>Zalakarosi Közös Önkormányzati Hivatal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</si>
  <si>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</si>
  <si>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</si>
  <si>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</si>
  <si>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</si>
  <si>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</si>
  <si>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</si>
  <si>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</si>
  <si>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</si>
  <si>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</si>
  <si>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</si>
  <si>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</si>
  <si>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>Áhb. Támogajtás megelőlegez.</t>
  </si>
  <si>
    <t>2019. évi számított előirányz.</t>
  </si>
  <si>
    <t xml:space="preserve">Bútorok, székek, kisértékű eszközök beszerzése </t>
  </si>
  <si>
    <t xml:space="preserve">C. Zalakarosi Óvoda és Bölcsőde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</si>
  <si>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</si>
  <si>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</si>
  <si>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</si>
  <si>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</si>
  <si>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</si>
  <si>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</si>
  <si>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</si>
  <si>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</si>
  <si>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</si>
  <si>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</si>
  <si>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</si>
  <si>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</si>
  <si>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</si>
  <si>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</si>
  <si>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</si>
  <si>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</si>
  <si>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</si>
  <si>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</si>
  <si>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2019. évi terv</t>
  </si>
  <si>
    <t>Sor- szám</t>
  </si>
  <si>
    <t>Kormányzati funkció száma</t>
  </si>
  <si>
    <t>Összewsen</t>
  </si>
  <si>
    <t>Műk.célú kölcsön visszatérülés              B64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</si>
  <si>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</si>
  <si>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</si>
  <si>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</si>
  <si>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</si>
  <si>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</si>
  <si>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</si>
  <si>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</si>
  <si>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</si>
  <si>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</si>
  <si>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</si>
  <si>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</si>
  <si>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</si>
  <si>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</si>
  <si>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</si>
  <si>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</si>
  <si>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</si>
  <si>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</si>
  <si>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</si>
  <si>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</si>
  <si>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</si>
  <si>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</si>
  <si>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</si>
  <si>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</si>
  <si>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</si>
  <si>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</si>
  <si>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</si>
  <si>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</si>
  <si>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</si>
  <si>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</si>
  <si>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</si>
  <si>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</si>
  <si>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</si>
  <si>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</si>
  <si>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</si>
  <si>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</si>
  <si>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</si>
  <si>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</si>
  <si>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</si>
  <si>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</si>
  <si>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</si>
  <si>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</si>
  <si>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</si>
  <si>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</si>
  <si>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</si>
  <si>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</si>
  <si>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</si>
  <si>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</si>
  <si>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</si>
  <si>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</si>
  <si>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</si>
  <si>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</si>
  <si>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</si>
  <si>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</si>
  <si>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</si>
  <si>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</si>
  <si>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</si>
  <si>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</si>
  <si>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</si>
  <si>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</si>
  <si>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</si>
  <si>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</si>
  <si>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</si>
  <si>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</si>
  <si>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</si>
  <si>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</si>
  <si>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</si>
  <si>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</si>
  <si>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</si>
  <si>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</si>
  <si>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</si>
  <si>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</si>
  <si>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</si>
  <si>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</si>
  <si>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</si>
  <si>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</si>
  <si>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</si>
  <si>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</si>
  <si>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</si>
  <si>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</si>
  <si>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</si>
  <si>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</si>
  <si>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</si>
  <si>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</si>
  <si>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</si>
  <si>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</si>
  <si>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</si>
  <si>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</si>
  <si>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</si>
  <si>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</si>
  <si>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</si>
  <si>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</si>
  <si>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</si>
  <si>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</si>
  <si>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</si>
  <si>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</si>
  <si>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</si>
  <si>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</si>
  <si>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</si>
  <si>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</si>
  <si>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</si>
  <si>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</si>
  <si>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</si>
  <si>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</si>
  <si>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</si>
  <si>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</si>
  <si>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</si>
  <si>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</si>
  <si>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</si>
  <si>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</si>
  <si>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</si>
  <si>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</si>
  <si>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</si>
  <si>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</si>
  <si>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</si>
  <si>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</si>
  <si>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</si>
  <si>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</si>
  <si>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</si>
  <si>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</si>
  <si>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</si>
  <si>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</si>
  <si>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</si>
  <si>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</si>
  <si>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</si>
  <si>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</si>
  <si>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</si>
  <si>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</si>
  <si>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</si>
  <si>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</si>
  <si>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</si>
  <si>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</si>
  <si>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</si>
  <si>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</si>
  <si>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</si>
  <si>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</si>
  <si>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</si>
  <si>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</si>
  <si>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</si>
  <si>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</si>
  <si>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</si>
  <si>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</si>
  <si>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</si>
  <si>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</si>
  <si>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</si>
  <si>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</si>
  <si>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</si>
  <si>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</si>
  <si>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</si>
  <si>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</si>
  <si>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</si>
  <si>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</si>
  <si>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</si>
  <si>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</si>
  <si>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</si>
  <si>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</si>
  <si>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</si>
  <si>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</si>
  <si>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</si>
  <si>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</si>
  <si>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</si>
  <si>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</si>
  <si>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</si>
  <si>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</si>
  <si>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</si>
  <si>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</si>
  <si>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</si>
  <si>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</si>
  <si>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</si>
  <si>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</si>
  <si>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</si>
  <si>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</si>
  <si>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</si>
  <si>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</si>
  <si>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</si>
  <si>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</si>
  <si>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</si>
  <si>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</si>
  <si>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</si>
  <si>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</si>
  <si>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</si>
  <si>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</si>
  <si>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</si>
  <si>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</si>
  <si>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</si>
  <si>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</si>
  <si>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</si>
  <si>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</si>
  <si>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</si>
  <si>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</si>
  <si>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</si>
  <si>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</si>
  <si>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</si>
  <si>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</si>
  <si>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</si>
  <si>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</si>
  <si>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</si>
  <si>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</si>
  <si>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</si>
  <si>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</si>
  <si>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</si>
  <si>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</si>
  <si>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</si>
  <si>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</si>
  <si>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</si>
  <si>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</si>
  <si>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</si>
  <si>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</si>
  <si>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</si>
  <si>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</si>
  <si>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</si>
  <si>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</si>
  <si>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>Belföldi értékpapír beváltás</t>
  </si>
  <si>
    <t>Felhalmozási célú támogatás államháztartáson belülre (K84)</t>
  </si>
  <si>
    <t>Felhalmozási célú támogatás államháztartáson belülre összesen:</t>
  </si>
  <si>
    <t>Zalakarosi Óvoda és Bölcsőde  összesen:</t>
  </si>
  <si>
    <t>Zalakarosi Közösségi Ház és Könyvtár összesen:</t>
  </si>
  <si>
    <t>Finanszirozási bevételek</t>
  </si>
  <si>
    <t>Önkormányzok működési támogatása                                 B11</t>
  </si>
  <si>
    <t>Belföldi értékpapírok beváltása                      B812</t>
  </si>
  <si>
    <t xml:space="preserve">2./ Csúszda </t>
  </si>
  <si>
    <t>Hozzájárulás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</si>
  <si>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</si>
  <si>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</si>
  <si>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</si>
  <si>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</si>
  <si>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</si>
  <si>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Felhalmozási célú átvett pénzeszköz                                                                B7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</si>
  <si>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</si>
  <si>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</si>
  <si>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</si>
  <si>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</si>
  <si>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</si>
  <si>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</si>
  <si>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</si>
  <si>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</si>
  <si>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</si>
  <si>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</si>
  <si>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</si>
  <si>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</si>
  <si>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</si>
  <si>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</si>
  <si>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</si>
  <si>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</si>
  <si>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</si>
  <si>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</si>
  <si>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</si>
  <si>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</si>
  <si>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</si>
  <si>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</si>
  <si>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</si>
  <si>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</si>
  <si>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2017.évi terv</t>
  </si>
  <si>
    <t>2017. évi eredeti előirányzat</t>
  </si>
  <si>
    <t>Hulladékudvar területén zárt szennyviztároló kialakitása</t>
  </si>
  <si>
    <t xml:space="preserve">Ütéscsillapító burkolat csere udvari játékok alatt </t>
  </si>
  <si>
    <t>Utak, hidak,  járdák építésére, felújítására</t>
  </si>
  <si>
    <t>Önkormányzati épületek felújítása</t>
  </si>
  <si>
    <t>2017.évi eredeti előirányzat</t>
  </si>
  <si>
    <t>4. Minősített óvodapedatógusok kiegészítő támogatása</t>
  </si>
  <si>
    <t xml:space="preserve">       Család-és gyermekjóléti szolgálat</t>
  </si>
  <si>
    <t>2020. évi terv</t>
  </si>
  <si>
    <t>2020. évi számított előirányz.</t>
  </si>
  <si>
    <t>4. Családsegítés</t>
  </si>
  <si>
    <t xml:space="preserve">5. Közfoglalkoztatás </t>
  </si>
  <si>
    <t xml:space="preserve">2017. évi </t>
  </si>
  <si>
    <t>Választott tisztségviselő</t>
  </si>
  <si>
    <t>063020</t>
  </si>
  <si>
    <t>2018. évi eredeti előirányzat</t>
  </si>
  <si>
    <t>2018.évi eredeti előirányzat</t>
  </si>
  <si>
    <t>2021. évi terv</t>
  </si>
  <si>
    <t>2018.évi terv</t>
  </si>
  <si>
    <t xml:space="preserve">2018. évi </t>
  </si>
  <si>
    <t>2018. évi előirányzat</t>
  </si>
  <si>
    <t>2021. évi számított előirányz.</t>
  </si>
  <si>
    <t>2018. évben tervezett</t>
  </si>
  <si>
    <t>2018. évben  tervezett</t>
  </si>
  <si>
    <t>2018.évi előirányzat</t>
  </si>
  <si>
    <t>2018. évi  létszám-  keret</t>
  </si>
  <si>
    <t>2017.évi záró létszám tev</t>
  </si>
  <si>
    <t>2018.évi          eredeti</t>
  </si>
  <si>
    <t xml:space="preserve">1.ba Házi  segítségnyújtás - személyi gondozás </t>
  </si>
  <si>
    <t xml:space="preserve">1.ba Házi  segítségnyújtás - személyi gondozás - társulás által történő feladatellátás </t>
  </si>
  <si>
    <t>Öntözőrendszer kiépítése zöldterületeken</t>
  </si>
  <si>
    <t>Fürdő Vendégház fejlesztése (számítógép,tv.)</t>
  </si>
  <si>
    <t xml:space="preserve">INTERREG horvát-magyar kerékpárút </t>
  </si>
  <si>
    <t>Iparterület fejlesztés Behiákon</t>
  </si>
  <si>
    <t>Napelemes rendszer kiépítése</t>
  </si>
  <si>
    <t>Civil Ház bővítés tetőtérben</t>
  </si>
  <si>
    <t>Belterületi út és járdafelújítás pályázatból</t>
  </si>
  <si>
    <t xml:space="preserve">Gyógyhelyi központ kialakítás GINOP </t>
  </si>
  <si>
    <t>Bodahegyi úton hídépítés</t>
  </si>
  <si>
    <t>Térfigyelő kamerarendszer bővítés - rendszámfelismerő</t>
  </si>
  <si>
    <t>Útépítéshez kisajátítás</t>
  </si>
  <si>
    <t>Termál úti sárfelhordáshoz vízelvezetés</t>
  </si>
  <si>
    <t>Fő u. 6. egészségház felújítása</t>
  </si>
  <si>
    <t>Petőfi u. Ny-i oldalán ivóvízvezeték átépítés</t>
  </si>
  <si>
    <t>Fő u. Ny-i oldalán zárt csapadékcsatorna kiépítés</t>
  </si>
  <si>
    <t>Számítástechnikai eszközök (számítógép,monitor,nyomt.)</t>
  </si>
  <si>
    <t>Telefonkészülékek, egyéb kisértékű eszközök</t>
  </si>
  <si>
    <t>Civil Ház bővítés pályázatból</t>
  </si>
  <si>
    <t>Móra F. iskola lapostető rekonstrukció</t>
  </si>
  <si>
    <t>Kertmozi tető felújítás</t>
  </si>
  <si>
    <t>Berkenye köz csapadékvíz elvezetés tervezése</t>
  </si>
  <si>
    <t>Bölcsődébe számítógép</t>
  </si>
  <si>
    <t>Bölcsődébe árnyékoló</t>
  </si>
  <si>
    <t>Óvodába projektor,vetítővászon</t>
  </si>
  <si>
    <t>Óvodába udvari játék</t>
  </si>
  <si>
    <t>Óvodába ventillátorok</t>
  </si>
  <si>
    <t>Konyhai eszközök</t>
  </si>
  <si>
    <t>Óvodába mágneszár</t>
  </si>
  <si>
    <t>Óvodába rajzasztal, és 10 db szék</t>
  </si>
  <si>
    <t>Kertmoziba hangfal</t>
  </si>
  <si>
    <t>Laptop</t>
  </si>
  <si>
    <t>Szerszámok</t>
  </si>
  <si>
    <t>Könyvtárba fűtőberendezés</t>
  </si>
  <si>
    <t>Könyvtárba fényképezőgép</t>
  </si>
  <si>
    <t>Állvány néptáncos ruháknak</t>
  </si>
  <si>
    <t>Könyvtárba babzsákfotel</t>
  </si>
  <si>
    <t>Zalakarosi Közösségi Ház össz.</t>
  </si>
  <si>
    <t>063080</t>
  </si>
  <si>
    <t>Termáltó és ökopart fejlesztés</t>
  </si>
  <si>
    <t xml:space="preserve">  1.3.6. Iparterület fejlesztése pályázati támogatás</t>
  </si>
  <si>
    <t xml:space="preserve">  1.3.7. Interreg kerékpárút építés pályázati támogatás</t>
  </si>
  <si>
    <t xml:space="preserve">  1.3.8. Napelemes rendszer kiépítése pályázati támogatás</t>
  </si>
  <si>
    <t xml:space="preserve">  1.3.9. Gyógyhelyi központ kialakítása  pályázati támogatás</t>
  </si>
  <si>
    <t>Játszóterek fejlesztése</t>
  </si>
  <si>
    <t xml:space="preserve">Hivatali épület nagyterem tetővilágító, mennyezet rek. </t>
  </si>
  <si>
    <t xml:space="preserve">Közmunkások cafetéria támogatására </t>
  </si>
  <si>
    <t xml:space="preserve">Futballpálya, öltöző tervezése, építése </t>
  </si>
  <si>
    <r>
      <t xml:space="preserve">Interreg kerékpárút építés 2019.évi kiadásainak </t>
    </r>
    <r>
      <rPr>
        <b/>
        <sz val="12"/>
        <color indexed="8"/>
        <rFont val="Arial"/>
        <family val="2"/>
        <charset val="238"/>
      </rPr>
      <t>önrésze</t>
    </r>
  </si>
  <si>
    <r>
      <t xml:space="preserve">Gyógyhelyi központ kialakítás 2019.évi kiadásainak </t>
    </r>
    <r>
      <rPr>
        <b/>
        <sz val="12"/>
        <color indexed="8"/>
        <rFont val="Arial"/>
        <family val="2"/>
        <charset val="238"/>
      </rPr>
      <t>önrésze</t>
    </r>
  </si>
  <si>
    <t xml:space="preserve">Iparterület fejlesztés </t>
  </si>
  <si>
    <t xml:space="preserve">Kerékpárút  Interreg HUHR </t>
  </si>
  <si>
    <t xml:space="preserve">Gyógyhelyi központ GINOP </t>
  </si>
  <si>
    <t>2019. és azt követő évben tervezett</t>
  </si>
  <si>
    <r>
      <t>Hazai, valamint 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</si>
  <si>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Belterületi út, járda felújítás</t>
  </si>
  <si>
    <t xml:space="preserve">Civil Ház bővítés </t>
  </si>
  <si>
    <t>Működési célú támogatások államháztartéson belülről</t>
  </si>
  <si>
    <t>Működési célú támogatások államházt.belülről összesen</t>
  </si>
  <si>
    <t>Felhalmozás célú támogatás államháztartáson belülről</t>
  </si>
  <si>
    <t>2.1. Önkormányzat felhalmozási támogatása</t>
  </si>
  <si>
    <t xml:space="preserve">  Önkormányzat felhalmozási támogatása összesen</t>
  </si>
  <si>
    <t>Felhalmozási célú támogatás összesen</t>
  </si>
  <si>
    <t>2.2. Felhalmozás célú támogatás államházt. Belőlről</t>
  </si>
  <si>
    <t>Egyéb műk.c. átvett pénzeszköz                            B65</t>
  </si>
  <si>
    <t>Felhalm.célú kölcsön visszatérülés                         B74</t>
  </si>
  <si>
    <t>Egyéb felhalm.c. átvett pénzeszköz                           B75</t>
  </si>
  <si>
    <t>Támogatás megelőlegezés           B814</t>
  </si>
  <si>
    <t>Értékpapír vásárlás                  K9</t>
  </si>
  <si>
    <t xml:space="preserve">Egyéb szennyvízberuházás </t>
  </si>
  <si>
    <t>Viziközmű beruházás 2017. évről áthúzódó</t>
  </si>
  <si>
    <t xml:space="preserve">Bérleti díjakból </t>
  </si>
  <si>
    <t>K1</t>
  </si>
  <si>
    <t>2018. évi         I. módosítás</t>
  </si>
  <si>
    <t>2018.évi módosítás</t>
  </si>
  <si>
    <t>2018. évi   I.módosítás</t>
  </si>
  <si>
    <t>2018. évi I.módosítás</t>
  </si>
  <si>
    <t>2018. évi  I.módosítás</t>
  </si>
  <si>
    <t>2018. évi módosított</t>
  </si>
  <si>
    <t xml:space="preserve">1.a Házi  segítségnyújtás- segítés </t>
  </si>
  <si>
    <t>1. Egyes szociális és gyermekjóléti feladatok támogatása</t>
  </si>
  <si>
    <t>2. Önkormányzatot és intézményeit megillető szociális ágazati pótlék</t>
  </si>
  <si>
    <t>3. Székhely település által lehívandó szoc. Feladatok támogatása</t>
  </si>
  <si>
    <t>3.Székhely település által lehívandó szociális feladatok támogatása összesen:</t>
  </si>
  <si>
    <t xml:space="preserve">IV Teleülési önkorm kulturális feladatainak támogatása </t>
  </si>
  <si>
    <t>1. Közművelődési és kulturális feladatok támogatása</t>
  </si>
  <si>
    <t>2. Kulturális illetménypótlék támogatása</t>
  </si>
  <si>
    <t>IV Teleülési önkorm kulturális feladatainak támogatása összesen:</t>
  </si>
  <si>
    <t>1. Bérkompenzáció támogatása</t>
  </si>
  <si>
    <t>2. ASP működtetés támogatása</t>
  </si>
  <si>
    <t>V.Működési célú költségv.és kiegészítő támogatások összesen:</t>
  </si>
  <si>
    <t>3. Szociális célú tüzifa kiegészítő támogatása</t>
  </si>
  <si>
    <t>VI. Elszámolásból származó bevételek</t>
  </si>
  <si>
    <t>VII. Önkormányzatok felhalmozási célú támogatásai</t>
  </si>
  <si>
    <t>1. Helyi utak, járdák felújításának támogatása</t>
  </si>
  <si>
    <t>2. Vis Maior támogatás</t>
  </si>
  <si>
    <t>3. Közművelődési érdekeltségnövelő támogatás</t>
  </si>
  <si>
    <t>VII. Önkormányzatok felhalmozási célú támogatásai összesen:</t>
  </si>
  <si>
    <t>f.) 2017.december havi bérkompenzáció</t>
  </si>
  <si>
    <t xml:space="preserve">  1.1.6 Elszámolásból származó bevételek</t>
  </si>
  <si>
    <t>1.3. Egyéb célú támogatás államháztartáson belülről</t>
  </si>
  <si>
    <t xml:space="preserve">  1.3.10. Autómentes nap (előző évi)  pályázati támogatás</t>
  </si>
  <si>
    <t xml:space="preserve">  2.1.1 Belterületi út és járdafelújítás  támogatása</t>
  </si>
  <si>
    <t xml:space="preserve">  2.1.2. Vis Maior támogatása</t>
  </si>
  <si>
    <t>Felhalmozási  célú támogatások áht-n  belülről összesen</t>
  </si>
  <si>
    <t xml:space="preserve">  1.3.11.Közösségi Ház - civil szervezetek fel nem haszn.tám.</t>
  </si>
  <si>
    <t xml:space="preserve">  2.2.1. Iparterület fejlesztése pályázati támogatás</t>
  </si>
  <si>
    <t xml:space="preserve">  2.2.2. Interreg kerékpárút építés pályázati támogatás</t>
  </si>
  <si>
    <t xml:space="preserve">  2.2.3. Napelemes rendszer kiépítése pályázati támogatás</t>
  </si>
  <si>
    <t xml:space="preserve">  2.2.4. Gyógyhelyi központ kialakítása  pályázati támogatás</t>
  </si>
  <si>
    <t xml:space="preserve">3.1. Építmény adó </t>
  </si>
  <si>
    <t xml:space="preserve">3.2. Kommunális adó </t>
  </si>
  <si>
    <t>3.3. Idegenforgalmi adó tartózkodás után</t>
  </si>
  <si>
    <t xml:space="preserve">3.4. Iparűzési adó </t>
  </si>
  <si>
    <t xml:space="preserve">3.5. Gépjárműadó </t>
  </si>
  <si>
    <t>3.6. Egyéb közhatalmi bevételek</t>
  </si>
  <si>
    <t>5.1. Ingatlan értékesités</t>
  </si>
  <si>
    <t xml:space="preserve">6.1. Szociális kölcsön visszatérülése </t>
  </si>
  <si>
    <t xml:space="preserve">7.1. Lakásépítési és munkáltatói kölcsön visszatérülése </t>
  </si>
  <si>
    <t>7.2. Háztartásból átvett felhalmozási pe. - közmű hozzájárulás részlet</t>
  </si>
  <si>
    <t xml:space="preserve">1.1.Zalakaros Város Önkormányzatától projektmenedzseri díj  </t>
  </si>
  <si>
    <t>1.2. Országgyűlési képviselő választások támogatása</t>
  </si>
  <si>
    <t>III.</t>
  </si>
  <si>
    <t xml:space="preserve">II. </t>
  </si>
  <si>
    <t>Felhalmozási célú támogatás államháztartáson belülről</t>
  </si>
  <si>
    <t>1. Civil Ház bővítésére támogatás</t>
  </si>
  <si>
    <t>2. Sik Sándor pályázati támogatás</t>
  </si>
  <si>
    <t>Sík Sándor pályázati támogatás</t>
  </si>
  <si>
    <t>Működési célú támogatás áht-n  belülről összesen</t>
  </si>
  <si>
    <t>Felhalmozási célú támogatás áht-n  belülről összesen</t>
  </si>
  <si>
    <t>IV.</t>
  </si>
  <si>
    <t>B116</t>
  </si>
  <si>
    <t>Elszámolásból származó bevételek</t>
  </si>
  <si>
    <t>B21</t>
  </si>
  <si>
    <t>Önkormányzatok felhalmozási célú támogatása</t>
  </si>
  <si>
    <t>Belföldi értékpapír vásárás</t>
  </si>
  <si>
    <t>B813</t>
  </si>
  <si>
    <t>B812</t>
  </si>
  <si>
    <t>Előző évi maradvány</t>
  </si>
  <si>
    <t>Belföldi finanszírozási bevételek összesen</t>
  </si>
  <si>
    <t>Felhalmozási célú  támogatás</t>
  </si>
  <si>
    <t>Működési kiadások</t>
  </si>
  <si>
    <t>Működési kiadások összesen:</t>
  </si>
  <si>
    <t>Sor-szám</t>
  </si>
  <si>
    <t>c</t>
  </si>
  <si>
    <t>1.1. Személyi kiadások (K1)</t>
  </si>
  <si>
    <t>1.2. Munkaadót terhelő járulékok (K2)</t>
  </si>
  <si>
    <t>1.3. Dologi kiadások (K3)</t>
  </si>
  <si>
    <t>Ellátottak pénzbeli hozzájárulása (K4)</t>
  </si>
  <si>
    <t xml:space="preserve">3.1. Zalakarosi Kistérség Többcélú Társulása hétvégi orvosi ügyelet </t>
  </si>
  <si>
    <t xml:space="preserve">3.3. Bursa ösztöndíjra </t>
  </si>
  <si>
    <t>3.4. Zala megyei Önkormányzatnak - Zalavári emlékpark működtetésére</t>
  </si>
  <si>
    <t xml:space="preserve">3.5. Zalakarosi Közös Önkormányzati Hivatalnak projektmenedzseri díj </t>
  </si>
  <si>
    <t>3.2. Zalakarosi Kistérs. Többc. Társ. Székhelye ált lehívott szoc.felad.tám.</t>
  </si>
  <si>
    <t>3.6. Zalakaros Kistérségi Társulásnak szociális ágazati pótlék átadás</t>
  </si>
  <si>
    <t>3.7. Zalakaros Kistérségi Társulásnak bérkompenzáció átadás</t>
  </si>
  <si>
    <t>3.8. Zalakarosi Közösségi Ház és Könyvtár -  művészeti csoportok támog.</t>
  </si>
  <si>
    <t>4.1 Zalakarosi Turisztikai Egyesület működési támogatása</t>
  </si>
  <si>
    <t>4.2 Zalakarosi Turisztikai Nonprofit Kft működési támogatása</t>
  </si>
  <si>
    <t>4.3 Szálláshelyek minősítésének támogatása lakosság részére</t>
  </si>
  <si>
    <t xml:space="preserve">4.4. Nemzetközi Sakkverseny rendezésére </t>
  </si>
  <si>
    <t>4.5. Karos Park Kft.részére közfoglalkoztatottak cafetéria támogatására</t>
  </si>
  <si>
    <t>4.6. Zalakaros Sportjáért Közhasznú Közalapítvány támogatása</t>
  </si>
  <si>
    <t>4.7. Zalakaros Sportjáért Közhasznú Közalapítvány támogatása</t>
  </si>
  <si>
    <t>4.8. Kanizsa Diákkosárlabda klub támogatása</t>
  </si>
  <si>
    <t>4.9. Karos Sprint Uszóklub támogatása</t>
  </si>
  <si>
    <t>4.10. Zalakaros és Térsége Sportegyesület támogatása</t>
  </si>
  <si>
    <t>4.11. Sensei Németh Budo Akadémia támogatása</t>
  </si>
  <si>
    <t>4.12. Önkéntes Tűzoltó Egyesület támogatása</t>
  </si>
  <si>
    <t>4.13. Zalakarosi Polgárőr Egyesület támogatása</t>
  </si>
  <si>
    <t>4.14. Zalakarosi Közbiztonságáért Közalapítvány támogatása</t>
  </si>
  <si>
    <t>4.15. Zalakarosi Iskoláért Alapítvány támogatása</t>
  </si>
  <si>
    <t>4.16. Zalaegerszegi Motorosrepülő Klub támogatása</t>
  </si>
  <si>
    <t>Egyéb működési célú támogatás  államháztart. kívülre összesen</t>
  </si>
  <si>
    <t>Egyéb működési célú támogatások  államháztartáson kívülre (K512)</t>
  </si>
  <si>
    <t xml:space="preserve">Működési célú kölcsönök államháztartáson kívülre összesen </t>
  </si>
  <si>
    <t>Zalakaros Város Önkormányzata</t>
  </si>
  <si>
    <t xml:space="preserve">5.1. Szociális célú kölcsönök </t>
  </si>
  <si>
    <t xml:space="preserve">Önkormányzat  működési célú kiadásai összesen </t>
  </si>
  <si>
    <t xml:space="preserve">2.1. Zalaszabar Községnek hivatal működtetéséhez átadás </t>
  </si>
  <si>
    <t>Egyéb működési célú támogatások államháztart. belülre összesen</t>
  </si>
  <si>
    <t>Egyéb működési célú támogatások  államháztart. kívülre összesen</t>
  </si>
  <si>
    <t>3.1. M7 Takarékszövetkezetnek választásnapi átlagbér kifizetésre</t>
  </si>
  <si>
    <t>2.1. Zalakaros Önkormányzat részére fel nem használt civil szerv.támog.</t>
  </si>
  <si>
    <t>Közös Önkormányzati Hivatal  működési kiadásai összesen</t>
  </si>
  <si>
    <t>Zalakarosi Óvoda és Bölcsőde  működési kiadásai összesen</t>
  </si>
  <si>
    <t xml:space="preserve">4.1 Lakásépítési-, vásárlási vissza nem térítendő támogatás  </t>
  </si>
  <si>
    <t>5.1. Karos-Park Kft-nek árokásógép lízingelés részletei</t>
  </si>
  <si>
    <t>5.2. Plébánia részére felhalmozási támogatás</t>
  </si>
  <si>
    <t>Zalakaros Önkormányzat felhalmozási céltú kiadásai összesen</t>
  </si>
  <si>
    <t>Zalakarosi Közösségi Ház és Könyvtár  működési kiadásai össz.</t>
  </si>
  <si>
    <t>Zalakarosi Óvoda és Bölcsöde</t>
  </si>
  <si>
    <t>Beruházások (K6)</t>
  </si>
  <si>
    <t>Felújítások (K7)</t>
  </si>
  <si>
    <t>1. Hiteltörlesztés (K911)</t>
  </si>
  <si>
    <t>2. Belföldi értékpapír vásárlás (K9)</t>
  </si>
  <si>
    <t>3. Támogatás megelőlegezés visszafizetés (K914)</t>
  </si>
  <si>
    <t>Kiadások mindösszesen</t>
  </si>
  <si>
    <t>Működési célú kiadások</t>
  </si>
  <si>
    <t>Felhalmozási célú kiadások</t>
  </si>
  <si>
    <t>Felhalmozási célú kiadások összesen</t>
  </si>
  <si>
    <t>Finanszirozási kiadások összesen</t>
  </si>
  <si>
    <t>19.</t>
  </si>
  <si>
    <t>20.</t>
  </si>
  <si>
    <t>21.</t>
  </si>
  <si>
    <t>22.</t>
  </si>
  <si>
    <t>Települési Arculati kézikönyv elkészítése</t>
  </si>
  <si>
    <t>Kerékpárút ároklefedés</t>
  </si>
  <si>
    <t>Ivóviz vezeték kiviteli tervek</t>
  </si>
  <si>
    <t>Zalakaros, 1329 hrsz-on erdősítés</t>
  </si>
  <si>
    <t>Csóri Sándor pályázat beruházási kiadásai</t>
  </si>
  <si>
    <t xml:space="preserve">Hiteltörlesztés </t>
  </si>
  <si>
    <t xml:space="preserve">Belföldi értékpapír vásárlás </t>
  </si>
  <si>
    <t xml:space="preserve">Támogatás megelőlegezés visszafizetés </t>
  </si>
  <si>
    <t>4.2. Működési támogatás áht. Belülre</t>
  </si>
  <si>
    <t>Közművelődési érdekeltségnövelő pályázat i önrész</t>
  </si>
  <si>
    <t>2018. évi               I. módosítás</t>
  </si>
  <si>
    <t>016010</t>
  </si>
  <si>
    <t>Országgyűlési képviselő választások</t>
  </si>
  <si>
    <t>2018. évi             I. módosítás</t>
  </si>
  <si>
    <t>Támogjatási célú finanszirozási műveletek</t>
  </si>
  <si>
    <t>Művészeti csoportok támogatására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</si>
</sst>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4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6">
    <xf numFmtId="0" fontId="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7" fillId="0" borderId="0"/>
    <xf numFmtId="164" fontId="47" fillId="0" borderId="0" applyFont="0" applyFill="0" applyBorder="0" applyAlignment="0" applyProtection="0"/>
  </cellStyleXfs>
  <cellXfs count="768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3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0" fontId="11" fillId="0" borderId="1" xfId="2" applyFont="1" applyBorder="1"/>
    <xf numFmtId="0" fontId="30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0" fillId="2" borderId="1" xfId="0" applyFill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5" fillId="2" borderId="1" xfId="9" applyFont="1" applyFill="1" applyBorder="1"/>
    <xf numFmtId="0" fontId="36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5" fillId="0" borderId="1" xfId="9" applyFont="1" applyBorder="1" applyAlignment="1">
      <alignment horizontal="left" vertical="distributed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0" fontId="36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6" fillId="0" borderId="6" xfId="1" applyFont="1" applyBorder="1" applyAlignment="1">
      <alignment vertical="center"/>
    </xf>
    <xf numFmtId="0" fontId="21" fillId="0" borderId="0" xfId="0" applyFont="1" applyAlignment="1">
      <alignment wrapText="1"/>
    </xf>
    <xf numFmtId="0" fontId="34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1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1" fillId="2" borderId="1" xfId="0" applyFont="1" applyFill="1" applyBorder="1"/>
    <xf numFmtId="0" fontId="34" fillId="2" borderId="1" xfId="0" applyFont="1" applyFill="1" applyBorder="1"/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1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8" applyFont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0" fontId="35" fillId="0" borderId="1" xfId="9" applyFont="1" applyBorder="1" applyAlignment="1">
      <alignment horizontal="center" vertical="distributed"/>
    </xf>
    <xf numFmtId="0" fontId="35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0" fontId="16" fillId="4" borderId="14" xfId="10" applyFont="1" applyFill="1" applyBorder="1" applyAlignment="1">
      <alignment horizont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5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1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19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19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0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0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0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1" xfId="10" applyFont="1" applyFill="1" applyBorder="1" applyAlignment="1">
      <alignment horizontal="left" vertical="center" wrapText="1"/>
    </xf>
    <xf numFmtId="0" fontId="17" fillId="4" borderId="22" xfId="10" applyFont="1" applyFill="1" applyBorder="1" applyAlignment="1">
      <alignment horizontal="right" vertical="center" wrapText="1"/>
    </xf>
    <xf numFmtId="3" fontId="17" fillId="4" borderId="23" xfId="10" applyNumberFormat="1" applyFont="1" applyFill="1" applyBorder="1" applyAlignment="1">
      <alignment horizontal="right" vertical="center" wrapText="1"/>
    </xf>
    <xf numFmtId="0" fontId="16" fillId="4" borderId="24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5" fillId="5" borderId="1" xfId="0" applyFont="1" applyFill="1" applyBorder="1" applyAlignment="1">
      <alignment horizontal="center"/>
    </xf>
    <xf numFmtId="3" fontId="33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4" fillId="5" borderId="1" xfId="0" applyFont="1" applyFill="1" applyBorder="1"/>
    <xf numFmtId="0" fontId="41" fillId="2" borderId="1" xfId="0" applyFont="1" applyFill="1" applyBorder="1" applyAlignment="1"/>
    <xf numFmtId="0" fontId="0" fillId="2" borderId="1" xfId="0" applyFont="1" applyFill="1" applyBorder="1"/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5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3" fillId="5" borderId="1" xfId="0" applyFont="1" applyFill="1" applyBorder="1" applyAlignment="1">
      <alignment horizontal="left" vertical="center"/>
    </xf>
    <xf numFmtId="3" fontId="33" fillId="5" borderId="1" xfId="0" applyNumberFormat="1" applyFont="1" applyFill="1" applyBorder="1" applyAlignment="1">
      <alignment horizontal="right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25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6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5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left"/>
    </xf>
    <xf numFmtId="0" fontId="10" fillId="0" borderId="1" xfId="7" applyBorder="1"/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0" fillId="0" borderId="1" xfId="9" applyBorder="1"/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27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3" fillId="6" borderId="1" xfId="0" applyNumberFormat="1" applyFont="1" applyFill="1" applyBorder="1" applyAlignment="1">
      <alignment horizontal="right" vertical="center"/>
    </xf>
    <xf numFmtId="3" fontId="33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3" fillId="8" borderId="9" xfId="0" applyNumberFormat="1" applyFont="1" applyFill="1" applyBorder="1" applyAlignment="1">
      <alignment horizontal="right" vertical="center"/>
    </xf>
    <xf numFmtId="0" fontId="44" fillId="6" borderId="1" xfId="0" applyFont="1" applyFill="1" applyBorder="1" applyAlignment="1">
      <alignment vertical="center"/>
    </xf>
    <xf numFmtId="0" fontId="44" fillId="8" borderId="4" xfId="0" applyFont="1" applyFill="1" applyBorder="1" applyAlignment="1">
      <alignment vertical="center"/>
    </xf>
    <xf numFmtId="0" fontId="44" fillId="8" borderId="25" xfId="0" applyFont="1" applyFill="1" applyBorder="1" applyAlignment="1">
      <alignment vertical="center"/>
    </xf>
    <xf numFmtId="3" fontId="33" fillId="8" borderId="1" xfId="0" applyNumberFormat="1" applyFont="1" applyFill="1" applyBorder="1" applyAlignment="1">
      <alignment vertic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10" fillId="6" borderId="1" xfId="9" applyNumberFormat="1" applyFill="1" applyBorder="1" applyAlignment="1">
      <alignment vertical="center" wrapText="1"/>
    </xf>
    <xf numFmtId="3" fontId="37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3" fontId="16" fillId="5" borderId="1" xfId="9" applyNumberFormat="1" applyFont="1" applyFill="1" applyBorder="1"/>
    <xf numFmtId="0" fontId="31" fillId="8" borderId="1" xfId="14" applyFont="1" applyFill="1" applyBorder="1" applyAlignment="1">
      <alignment horizontal="center" vertical="center" wrapText="1"/>
    </xf>
    <xf numFmtId="0" fontId="47" fillId="0" borderId="0" xfId="14"/>
    <xf numFmtId="0" fontId="47" fillId="0" borderId="1" xfId="14" applyBorder="1" applyAlignment="1">
      <alignment vertical="center" wrapText="1"/>
    </xf>
    <xf numFmtId="0" fontId="33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6" borderId="1" xfId="14" applyNumberFormat="1" applyFont="1" applyFill="1" applyBorder="1" applyAlignment="1">
      <alignment horizontal="center" vertical="center" wrapText="1"/>
    </xf>
    <xf numFmtId="0" fontId="6" fillId="6" borderId="1" xfId="14" applyFont="1" applyFill="1" applyBorder="1" applyAlignment="1">
      <alignment horizontal="center" vertical="center" wrapText="1"/>
    </xf>
    <xf numFmtId="3" fontId="2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6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6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6" borderId="1" xfId="14" applyFont="1" applyFill="1" applyBorder="1" applyAlignment="1">
      <alignment horizontal="right" vertical="center" wrapText="1"/>
    </xf>
    <xf numFmtId="0" fontId="47" fillId="6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3" fontId="5" fillId="8" borderId="1" xfId="14" applyNumberFormat="1" applyFont="1" applyFill="1" applyBorder="1" applyAlignment="1">
      <alignment horizontal="right" vertical="center" wrapText="1"/>
    </xf>
    <xf numFmtId="0" fontId="47" fillId="0" borderId="1" xfId="14" applyBorder="1" applyAlignment="1">
      <alignment horizontal="center" vertical="center" wrapText="1"/>
    </xf>
    <xf numFmtId="0" fontId="33" fillId="0" borderId="1" xfId="14" applyFont="1" applyBorder="1" applyAlignment="1">
      <alignment horizontal="right" vertical="center" wrapText="1"/>
    </xf>
    <xf numFmtId="0" fontId="45" fillId="0" borderId="1" xfId="14" applyFont="1" applyBorder="1" applyAlignment="1">
      <alignment horizontal="center" vertical="center" wrapText="1"/>
    </xf>
    <xf numFmtId="0" fontId="45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8" borderId="1" xfId="14" applyFont="1" applyFill="1" applyBorder="1" applyAlignment="1">
      <alignment horizontal="center" vertical="center" wrapText="1"/>
    </xf>
    <xf numFmtId="165" fontId="5" fillId="8" borderId="1" xfId="14" applyNumberFormat="1" applyFont="1" applyFill="1" applyBorder="1" applyAlignment="1">
      <alignment horizontal="right" vertical="center" wrapText="1"/>
    </xf>
    <xf numFmtId="165" fontId="5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165" fontId="6" fillId="5" borderId="1" xfId="14" applyNumberFormat="1" applyFont="1" applyFill="1" applyBorder="1" applyAlignment="1">
      <alignment horizontal="right" vertical="center" wrapText="1"/>
    </xf>
    <xf numFmtId="3" fontId="6" fillId="5" borderId="1" xfId="14" applyNumberFormat="1" applyFont="1" applyFill="1" applyBorder="1" applyAlignment="1">
      <alignment horizontal="right" vertical="center" wrapText="1"/>
    </xf>
    <xf numFmtId="165" fontId="5" fillId="8" borderId="1" xfId="14" applyNumberFormat="1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165" fontId="5" fillId="7" borderId="1" xfId="14" applyNumberFormat="1" applyFont="1" applyFill="1" applyBorder="1" applyAlignment="1">
      <alignment horizontal="right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3" fillId="0" borderId="1" xfId="14" applyFont="1" applyFill="1" applyBorder="1" applyAlignment="1">
      <alignment horizontal="left" vertical="center"/>
    </xf>
    <xf numFmtId="0" fontId="5" fillId="0" borderId="1" xfId="14" applyFont="1" applyBorder="1" applyAlignment="1">
      <alignment horizontal="center"/>
    </xf>
    <xf numFmtId="0" fontId="47" fillId="0" borderId="1" xfId="14" applyBorder="1"/>
    <xf numFmtId="0" fontId="5" fillId="0" borderId="1" xfId="14" applyFont="1" applyBorder="1" applyAlignment="1">
      <alignment vertical="center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/>
    </xf>
    <xf numFmtId="49" fontId="6" fillId="6" borderId="1" xfId="14" applyNumberFormat="1" applyFont="1" applyFill="1" applyBorder="1" applyAlignment="1">
      <alignment horizontal="center" vertical="center"/>
    </xf>
    <xf numFmtId="0" fontId="6" fillId="6" borderId="1" xfId="14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6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0" fontId="33" fillId="0" borderId="1" xfId="14" applyFont="1" applyBorder="1" applyAlignment="1">
      <alignment horizontal="center" vertical="center"/>
    </xf>
    <xf numFmtId="0" fontId="45" fillId="0" borderId="1" xfId="14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7" fillId="5" borderId="1" xfId="14" applyFill="1" applyBorder="1"/>
    <xf numFmtId="0" fontId="25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7" borderId="1" xfId="0" applyFill="1" applyBorder="1"/>
    <xf numFmtId="0" fontId="34" fillId="7" borderId="1" xfId="0" applyFont="1" applyFill="1" applyBorder="1"/>
    <xf numFmtId="0" fontId="0" fillId="0" borderId="0" xfId="0" applyFill="1"/>
    <xf numFmtId="0" fontId="11" fillId="0" borderId="0" xfId="8" applyFont="1"/>
    <xf numFmtId="0" fontId="1" fillId="0" borderId="0" xfId="12"/>
    <xf numFmtId="0" fontId="11" fillId="8" borderId="1" xfId="1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10" fillId="0" borderId="1" xfId="7" applyFont="1" applyBorder="1" applyAlignment="1">
      <alignment vertical="center"/>
    </xf>
    <xf numFmtId="0" fontId="7" fillId="0" borderId="1" xfId="6" applyFont="1" applyBorder="1" applyAlignment="1">
      <alignment wrapText="1"/>
    </xf>
    <xf numFmtId="3" fontId="7" fillId="5" borderId="1" xfId="6" applyNumberFormat="1" applyFont="1" applyFill="1" applyBorder="1" applyAlignment="1">
      <alignment horizontal="right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9" fillId="0" borderId="3" xfId="8" applyNumberFormat="1" applyFont="1" applyBorder="1" applyAlignment="1">
      <alignment vertical="distributed"/>
    </xf>
    <xf numFmtId="3" fontId="7" fillId="0" borderId="19" xfId="8" applyNumberFormat="1" applyFont="1" applyBorder="1" applyAlignment="1">
      <alignment vertical="distributed"/>
    </xf>
    <xf numFmtId="3" fontId="9" fillId="0" borderId="14" xfId="8" applyNumberFormat="1" applyFont="1" applyBorder="1" applyAlignment="1">
      <alignment vertical="distributed"/>
    </xf>
    <xf numFmtId="3" fontId="9" fillId="0" borderId="21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38" fillId="0" borderId="4" xfId="8" applyFont="1" applyBorder="1" applyAlignment="1">
      <alignment vertical="distributed"/>
    </xf>
    <xf numFmtId="3" fontId="9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6" fillId="0" borderId="0" xfId="10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right" vertical="center" wrapText="1"/>
    </xf>
    <xf numFmtId="3" fontId="16" fillId="0" borderId="0" xfId="10" applyNumberFormat="1" applyFont="1" applyFill="1" applyBorder="1" applyAlignment="1">
      <alignment horizontal="right" vertical="center" wrapText="1"/>
    </xf>
    <xf numFmtId="0" fontId="22" fillId="0" borderId="0" xfId="10" applyFont="1" applyFill="1" applyBorder="1" applyAlignment="1">
      <alignment horizontal="center" vertical="center" wrapText="1"/>
    </xf>
    <xf numFmtId="3" fontId="13" fillId="5" borderId="1" xfId="7" applyNumberFormat="1" applyFont="1" applyFill="1" applyBorder="1" applyAlignment="1">
      <alignment horizontal="right" vertical="center"/>
    </xf>
    <xf numFmtId="3" fontId="12" fillId="5" borderId="1" xfId="7" applyNumberFormat="1" applyFont="1" applyFill="1" applyBorder="1" applyAlignment="1">
      <alignment horizontal="right" vertical="center"/>
    </xf>
    <xf numFmtId="0" fontId="47" fillId="8" borderId="1" xfId="14" applyFont="1" applyFill="1" applyBorder="1" applyAlignment="1">
      <alignment horizontal="center" vertical="center"/>
    </xf>
    <xf numFmtId="0" fontId="47" fillId="8" borderId="1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3" fontId="33" fillId="0" borderId="1" xfId="14" applyNumberFormat="1" applyFont="1" applyFill="1" applyBorder="1" applyAlignment="1">
      <alignment horizontal="right" vertical="center"/>
    </xf>
    <xf numFmtId="3" fontId="31" fillId="0" borderId="1" xfId="14" applyNumberFormat="1" applyFont="1" applyFill="1" applyBorder="1" applyAlignment="1">
      <alignment horizontal="right" vertical="distributed"/>
    </xf>
    <xf numFmtId="3" fontId="5" fillId="0" borderId="1" xfId="14" applyNumberFormat="1" applyFont="1" applyBorder="1" applyAlignment="1">
      <alignment horizontal="right" vertical="center"/>
    </xf>
    <xf numFmtId="3" fontId="3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Border="1" applyAlignment="1">
      <alignment horizontal="right" vertical="center"/>
    </xf>
    <xf numFmtId="3" fontId="2" fillId="6" borderId="1" xfId="15" applyNumberFormat="1" applyFont="1" applyFill="1" applyBorder="1" applyAlignment="1">
      <alignment horizontal="right" vertical="center"/>
    </xf>
    <xf numFmtId="3" fontId="2" fillId="6" borderId="1" xfId="14" applyNumberFormat="1" applyFont="1" applyFill="1" applyBorder="1" applyAlignment="1">
      <alignment horizontal="right" vertical="center"/>
    </xf>
    <xf numFmtId="3" fontId="6" fillId="5" borderId="1" xfId="14" applyNumberFormat="1" applyFont="1" applyFill="1" applyBorder="1" applyAlignment="1">
      <alignment horizontal="right" vertical="center"/>
    </xf>
    <xf numFmtId="3" fontId="2" fillId="5" borderId="1" xfId="14" applyNumberFormat="1" applyFont="1" applyFill="1" applyBorder="1" applyAlignment="1">
      <alignment horizontal="right" vertical="center"/>
    </xf>
    <xf numFmtId="3" fontId="3" fillId="5" borderId="1" xfId="14" applyNumberFormat="1" applyFont="1" applyFill="1" applyBorder="1" applyAlignment="1">
      <alignment horizontal="right" vertical="center"/>
    </xf>
    <xf numFmtId="3" fontId="2" fillId="8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center"/>
    </xf>
    <xf numFmtId="3" fontId="3" fillId="0" borderId="1" xfId="14" applyNumberFormat="1" applyFont="1" applyFill="1" applyBorder="1" applyAlignment="1">
      <alignment horizontal="right" vertical="center"/>
    </xf>
    <xf numFmtId="3" fontId="2" fillId="9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distributed"/>
    </xf>
    <xf numFmtId="0" fontId="4" fillId="8" borderId="2" xfId="14" applyFont="1" applyFill="1" applyBorder="1" applyAlignment="1">
      <alignment horizontal="center" vertical="center" wrapText="1"/>
    </xf>
    <xf numFmtId="3" fontId="33" fillId="0" borderId="1" xfId="14" applyNumberFormat="1" applyFont="1" applyBorder="1" applyAlignment="1">
      <alignment horizontal="right" vertical="center" wrapText="1"/>
    </xf>
    <xf numFmtId="3" fontId="7" fillId="0" borderId="1" xfId="8" applyNumberFormat="1" applyFont="1" applyFill="1" applyBorder="1" applyAlignment="1">
      <alignment vertical="distributed"/>
    </xf>
    <xf numFmtId="3" fontId="7" fillId="0" borderId="19" xfId="8" applyNumberFormat="1" applyFont="1" applyFill="1" applyBorder="1" applyAlignment="1">
      <alignment vertical="distributed"/>
    </xf>
    <xf numFmtId="3" fontId="7" fillId="0" borderId="1" xfId="6" applyNumberFormat="1" applyFont="1" applyFill="1" applyBorder="1"/>
    <xf numFmtId="3" fontId="7" fillId="0" borderId="1" xfId="6" applyNumberFormat="1" applyFont="1" applyFill="1" applyBorder="1" applyAlignment="1">
      <alignment horizontal="right"/>
    </xf>
    <xf numFmtId="3" fontId="12" fillId="0" borderId="1" xfId="3" applyNumberFormat="1" applyFont="1" applyBorder="1" applyAlignment="1">
      <alignment vertical="center"/>
    </xf>
    <xf numFmtId="3" fontId="12" fillId="6" borderId="1" xfId="3" applyNumberFormat="1" applyFont="1" applyFill="1" applyBorder="1" applyAlignment="1">
      <alignment vertical="center"/>
    </xf>
    <xf numFmtId="3" fontId="13" fillId="6" borderId="1" xfId="3" applyNumberFormat="1" applyFont="1" applyFill="1" applyBorder="1" applyAlignment="1">
      <alignment vertical="center"/>
    </xf>
    <xf numFmtId="3" fontId="12" fillId="0" borderId="0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 wrapText="1"/>
    </xf>
    <xf numFmtId="0" fontId="13" fillId="6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 wrapText="1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 wrapText="1"/>
    </xf>
    <xf numFmtId="3" fontId="12" fillId="5" borderId="1" xfId="5" applyNumberFormat="1" applyFont="1" applyFill="1" applyBorder="1"/>
    <xf numFmtId="0" fontId="12" fillId="5" borderId="1" xfId="12" applyFont="1" applyFill="1" applyBorder="1"/>
    <xf numFmtId="3" fontId="12" fillId="5" borderId="1" xfId="1" applyNumberFormat="1" applyFont="1" applyFill="1" applyBorder="1" applyAlignment="1">
      <alignment vertical="center"/>
    </xf>
    <xf numFmtId="3" fontId="12" fillId="5" borderId="1" xfId="1" applyNumberFormat="1" applyFont="1" applyFill="1" applyBorder="1" applyAlignment="1">
      <alignment horizontal="right" vertical="center"/>
    </xf>
    <xf numFmtId="0" fontId="12" fillId="0" borderId="6" xfId="1" applyFont="1" applyBorder="1" applyAlignment="1">
      <alignment vertical="center"/>
    </xf>
    <xf numFmtId="3" fontId="12" fillId="0" borderId="1" xfId="5" applyNumberFormat="1" applyFont="1" applyFill="1" applyBorder="1"/>
    <xf numFmtId="3" fontId="12" fillId="0" borderId="6" xfId="1" applyNumberFormat="1" applyFont="1" applyFill="1" applyBorder="1" applyAlignment="1">
      <alignment vertical="center"/>
    </xf>
    <xf numFmtId="3" fontId="12" fillId="0" borderId="0" xfId="5" applyNumberFormat="1" applyFont="1" applyFill="1" applyBorder="1"/>
    <xf numFmtId="3" fontId="12" fillId="0" borderId="8" xfId="1" applyNumberFormat="1" applyFont="1" applyFill="1" applyBorder="1" applyAlignment="1">
      <alignment vertical="center"/>
    </xf>
    <xf numFmtId="165" fontId="12" fillId="0" borderId="8" xfId="1" applyNumberFormat="1" applyFont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3" fontId="12" fillId="0" borderId="9" xfId="5" applyNumberFormat="1" applyFont="1" applyFill="1" applyBorder="1"/>
    <xf numFmtId="0" fontId="12" fillId="0" borderId="9" xfId="12" applyFont="1" applyBorder="1"/>
    <xf numFmtId="0" fontId="12" fillId="0" borderId="1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0" borderId="1" xfId="12" applyFont="1" applyBorder="1"/>
    <xf numFmtId="0" fontId="13" fillId="6" borderId="1" xfId="1" applyFont="1" applyFill="1" applyBorder="1" applyAlignment="1">
      <alignment vertical="center"/>
    </xf>
    <xf numFmtId="0" fontId="13" fillId="6" borderId="4" xfId="1" applyFont="1" applyFill="1" applyBorder="1" applyAlignment="1">
      <alignment horizontal="left" vertical="center"/>
    </xf>
    <xf numFmtId="0" fontId="13" fillId="6" borderId="29" xfId="1" applyFont="1" applyFill="1" applyBorder="1" applyAlignment="1">
      <alignment horizontal="left" vertical="center"/>
    </xf>
    <xf numFmtId="0" fontId="13" fillId="6" borderId="25" xfId="1" applyFont="1" applyFill="1" applyBorder="1" applyAlignment="1">
      <alignment horizontal="left" vertical="center"/>
    </xf>
    <xf numFmtId="0" fontId="12" fillId="5" borderId="1" xfId="1" applyFont="1" applyFill="1" applyBorder="1" applyAlignment="1">
      <alignment vertical="center"/>
    </xf>
    <xf numFmtId="0" fontId="13" fillId="6" borderId="1" xfId="1" applyFont="1" applyFill="1" applyBorder="1" applyAlignment="1">
      <alignment horizontal="left" vertical="center"/>
    </xf>
    <xf numFmtId="3" fontId="13" fillId="6" borderId="1" xfId="1" applyNumberFormat="1" applyFont="1" applyFill="1" applyBorder="1" applyAlignment="1">
      <alignment horizontal="right" vertical="center"/>
    </xf>
    <xf numFmtId="0" fontId="13" fillId="8" borderId="1" xfId="5" applyFont="1" applyFill="1" applyBorder="1"/>
    <xf numFmtId="0" fontId="12" fillId="5" borderId="1" xfId="1" applyFont="1" applyFill="1" applyBorder="1" applyAlignment="1">
      <alignment horizontal="left" vertical="center"/>
    </xf>
    <xf numFmtId="3" fontId="12" fillId="5" borderId="1" xfId="1" applyNumberFormat="1" applyFont="1" applyFill="1" applyBorder="1" applyAlignment="1">
      <alignment horizontal="left" vertical="center"/>
    </xf>
    <xf numFmtId="3" fontId="13" fillId="6" borderId="1" xfId="1" applyNumberFormat="1" applyFont="1" applyFill="1" applyBorder="1" applyAlignment="1">
      <alignment horizontal="center" vertical="center"/>
    </xf>
    <xf numFmtId="3" fontId="12" fillId="8" borderId="1" xfId="12" applyNumberFormat="1" applyFont="1" applyFill="1" applyBorder="1"/>
    <xf numFmtId="3" fontId="13" fillId="8" borderId="1" xfId="1" applyNumberFormat="1" applyFont="1" applyFill="1" applyBorder="1" applyAlignment="1">
      <alignment horizontal="right" vertical="center"/>
    </xf>
    <xf numFmtId="3" fontId="13" fillId="8" borderId="1" xfId="5" applyNumberFormat="1" applyFont="1" applyFill="1" applyBorder="1" applyAlignment="1">
      <alignment horizontal="right"/>
    </xf>
    <xf numFmtId="3" fontId="13" fillId="8" borderId="1" xfId="12" applyNumberFormat="1" applyFont="1" applyFill="1" applyBorder="1" applyAlignment="1">
      <alignment horizontal="right"/>
    </xf>
    <xf numFmtId="3" fontId="13" fillId="6" borderId="1" xfId="5" applyNumberFormat="1" applyFont="1" applyFill="1" applyBorder="1" applyAlignment="1">
      <alignment horizontal="right"/>
    </xf>
    <xf numFmtId="3" fontId="12" fillId="8" borderId="1" xfId="12" applyNumberFormat="1" applyFont="1" applyFill="1" applyBorder="1" applyAlignment="1">
      <alignment horizontal="right"/>
    </xf>
    <xf numFmtId="0" fontId="12" fillId="0" borderId="1" xfId="0" applyFont="1" applyBorder="1"/>
    <xf numFmtId="0" fontId="21" fillId="0" borderId="1" xfId="0" applyFont="1" applyBorder="1"/>
    <xf numFmtId="0" fontId="13" fillId="8" borderId="1" xfId="0" applyFont="1" applyFill="1" applyBorder="1"/>
    <xf numFmtId="3" fontId="21" fillId="0" borderId="1" xfId="0" applyNumberFormat="1" applyFont="1" applyBorder="1"/>
    <xf numFmtId="3" fontId="13" fillId="8" borderId="1" xfId="0" applyNumberFormat="1" applyFont="1" applyFill="1" applyBorder="1"/>
    <xf numFmtId="3" fontId="12" fillId="0" borderId="1" xfId="0" applyNumberFormat="1" applyFont="1" applyBorder="1"/>
    <xf numFmtId="0" fontId="13" fillId="5" borderId="1" xfId="7" applyFont="1" applyFill="1" applyBorder="1" applyAlignment="1">
      <alignment horizontal="left"/>
    </xf>
    <xf numFmtId="0" fontId="12" fillId="0" borderId="1" xfId="7" applyFont="1" applyBorder="1" applyAlignment="1">
      <alignment horizontal="center"/>
    </xf>
    <xf numFmtId="0" fontId="12" fillId="0" borderId="4" xfId="7" applyFont="1" applyBorder="1"/>
    <xf numFmtId="49" fontId="13" fillId="5" borderId="1" xfId="7" applyNumberFormat="1" applyFont="1" applyFill="1" applyBorder="1" applyAlignment="1">
      <alignment horizontal="center"/>
    </xf>
    <xf numFmtId="49" fontId="12" fillId="5" borderId="1" xfId="7" applyNumberFormat="1" applyFont="1" applyFill="1" applyBorder="1" applyAlignment="1">
      <alignment horizontal="center"/>
    </xf>
    <xf numFmtId="0" fontId="12" fillId="5" borderId="1" xfId="7" applyFont="1" applyFill="1" applyBorder="1" applyAlignment="1">
      <alignment horizontal="left"/>
    </xf>
    <xf numFmtId="0" fontId="9" fillId="8" borderId="1" xfId="13" applyFont="1" applyFill="1" applyBorder="1" applyAlignment="1">
      <alignment horizontal="center" vertical="center" wrapText="1"/>
    </xf>
    <xf numFmtId="0" fontId="9" fillId="0" borderId="2" xfId="13" applyFont="1" applyFill="1" applyBorder="1" applyAlignment="1">
      <alignment vertical="center" wrapText="1"/>
    </xf>
    <xf numFmtId="0" fontId="38" fillId="0" borderId="2" xfId="13" applyFont="1" applyBorder="1" applyAlignment="1">
      <alignment vertical="center" wrapText="1"/>
    </xf>
    <xf numFmtId="3" fontId="9" fillId="3" borderId="2" xfId="13" applyNumberFormat="1" applyFont="1" applyFill="1" applyBorder="1" applyAlignment="1">
      <alignment horizontal="center" vertical="center" wrapText="1"/>
    </xf>
    <xf numFmtId="3" fontId="9" fillId="0" borderId="2" xfId="13" applyNumberFormat="1" applyFont="1" applyFill="1" applyBorder="1" applyAlignment="1">
      <alignment horizontal="right" vertical="center" wrapText="1"/>
    </xf>
    <xf numFmtId="0" fontId="9" fillId="0" borderId="2" xfId="13" applyFont="1" applyBorder="1" applyAlignment="1">
      <alignment horizontal="center" vertical="center" wrapText="1"/>
    </xf>
    <xf numFmtId="0" fontId="9" fillId="0" borderId="2" xfId="13" applyFont="1" applyBorder="1" applyAlignment="1">
      <alignment vertical="center" wrapText="1"/>
    </xf>
    <xf numFmtId="3" fontId="7" fillId="0" borderId="1" xfId="13" applyNumberFormat="1" applyFont="1" applyBorder="1" applyAlignment="1">
      <alignment vertical="center" wrapText="1"/>
    </xf>
    <xf numFmtId="0" fontId="7" fillId="0" borderId="2" xfId="13" applyFont="1" applyBorder="1" applyAlignment="1">
      <alignment vertical="center" wrapText="1"/>
    </xf>
    <xf numFmtId="3" fontId="7" fillId="0" borderId="2" xfId="13" applyNumberFormat="1" applyFont="1" applyFill="1" applyBorder="1" applyAlignment="1">
      <alignment horizontal="right" vertical="center" wrapText="1"/>
    </xf>
    <xf numFmtId="0" fontId="9" fillId="6" borderId="2" xfId="13" applyFont="1" applyFill="1" applyBorder="1" applyAlignment="1">
      <alignment horizontal="center" vertical="center" wrapText="1"/>
    </xf>
    <xf numFmtId="0" fontId="9" fillId="6" borderId="2" xfId="13" applyFont="1" applyFill="1" applyBorder="1" applyAlignment="1">
      <alignment vertical="center" wrapText="1"/>
    </xf>
    <xf numFmtId="3" fontId="9" fillId="6" borderId="2" xfId="13" applyNumberFormat="1" applyFont="1" applyFill="1" applyBorder="1" applyAlignment="1">
      <alignment horizontal="right" vertical="center" wrapText="1"/>
    </xf>
    <xf numFmtId="0" fontId="7" fillId="0" borderId="1" xfId="13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 wrapText="1"/>
    </xf>
    <xf numFmtId="0" fontId="7" fillId="0" borderId="2" xfId="13" applyFont="1" applyBorder="1" applyAlignment="1">
      <alignment horizontal="left" vertical="center" wrapText="1"/>
    </xf>
    <xf numFmtId="16" fontId="7" fillId="0" borderId="1" xfId="13" applyNumberFormat="1" applyBorder="1" applyAlignment="1">
      <alignment horizontal="center" vertical="center" wrapText="1"/>
    </xf>
    <xf numFmtId="3" fontId="9" fillId="6" borderId="1" xfId="13" applyNumberFormat="1" applyFont="1" applyFill="1" applyBorder="1" applyAlignment="1">
      <alignment vertical="center" wrapText="1"/>
    </xf>
    <xf numFmtId="0" fontId="9" fillId="0" borderId="1" xfId="13" applyNumberFormat="1" applyFont="1" applyBorder="1" applyAlignment="1">
      <alignment horizontal="center" vertical="center" wrapText="1"/>
    </xf>
    <xf numFmtId="0" fontId="9" fillId="0" borderId="1" xfId="13" applyFont="1" applyBorder="1" applyAlignment="1">
      <alignment vertical="center" wrapText="1"/>
    </xf>
    <xf numFmtId="3" fontId="9" fillId="0" borderId="1" xfId="13" applyNumberFormat="1" applyFont="1" applyBorder="1" applyAlignment="1">
      <alignment vertical="center" wrapText="1"/>
    </xf>
    <xf numFmtId="16" fontId="7" fillId="0" borderId="1" xfId="13" applyNumberFormat="1" applyFont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vertical="center" wrapText="1"/>
    </xf>
    <xf numFmtId="16" fontId="7" fillId="0" borderId="2" xfId="13" applyNumberFormat="1" applyFont="1" applyBorder="1" applyAlignment="1">
      <alignment vertical="center" wrapText="1"/>
    </xf>
    <xf numFmtId="16" fontId="7" fillId="0" borderId="2" xfId="13" applyNumberFormat="1" applyFont="1" applyBorder="1" applyAlignment="1">
      <alignment horizontal="left" vertical="center" wrapText="1"/>
    </xf>
    <xf numFmtId="0" fontId="7" fillId="0" borderId="1" xfId="13" applyFont="1" applyBorder="1" applyAlignment="1">
      <alignment horizontal="center" vertical="center" wrapText="1"/>
    </xf>
    <xf numFmtId="0" fontId="9" fillId="6" borderId="1" xfId="13" applyFont="1" applyFill="1" applyBorder="1" applyAlignment="1">
      <alignment vertical="center" wrapText="1"/>
    </xf>
    <xf numFmtId="0" fontId="9" fillId="0" borderId="1" xfId="13" applyFont="1" applyBorder="1" applyAlignment="1">
      <alignment horizontal="center" vertical="center" wrapText="1"/>
    </xf>
    <xf numFmtId="3" fontId="7" fillId="0" borderId="1" xfId="13" applyNumberFormat="1" applyFont="1" applyBorder="1" applyAlignment="1">
      <alignment horizontal="right" vertical="center" wrapText="1"/>
    </xf>
    <xf numFmtId="0" fontId="9" fillId="8" borderId="2" xfId="13" applyFont="1" applyFill="1" applyBorder="1" applyAlignment="1">
      <alignment vertical="center" wrapText="1"/>
    </xf>
    <xf numFmtId="3" fontId="9" fillId="8" borderId="1" xfId="13" applyNumberFormat="1" applyFont="1" applyFill="1" applyBorder="1" applyAlignment="1">
      <alignment vertical="center" wrapText="1"/>
    </xf>
    <xf numFmtId="0" fontId="7" fillId="5" borderId="2" xfId="13" applyFont="1" applyFill="1" applyBorder="1" applyAlignment="1">
      <alignment vertical="center" wrapText="1"/>
    </xf>
    <xf numFmtId="3" fontId="7" fillId="5" borderId="1" xfId="13" applyNumberFormat="1" applyFont="1" applyFill="1" applyBorder="1" applyAlignment="1">
      <alignment vertical="center" wrapText="1"/>
    </xf>
    <xf numFmtId="3" fontId="9" fillId="6" borderId="2" xfId="13" applyNumberFormat="1" applyFont="1" applyFill="1" applyBorder="1" applyAlignment="1">
      <alignment vertical="center" wrapText="1"/>
    </xf>
    <xf numFmtId="0" fontId="24" fillId="0" borderId="1" xfId="13" applyFont="1" applyBorder="1" applyAlignment="1">
      <alignment horizontal="center" vertical="center" wrapText="1"/>
    </xf>
    <xf numFmtId="3" fontId="7" fillId="6" borderId="1" xfId="13" applyNumberFormat="1" applyFont="1" applyFill="1" applyBorder="1" applyAlignment="1">
      <alignment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25" fillId="8" borderId="1" xfId="13" applyFont="1" applyFill="1" applyBorder="1" applyAlignment="1">
      <alignment horizontal="center" vertical="center" wrapText="1"/>
    </xf>
    <xf numFmtId="16" fontId="9" fillId="6" borderId="2" xfId="13" applyNumberFormat="1" applyFont="1" applyFill="1" applyBorder="1" applyAlignment="1">
      <alignment vertical="center" wrapText="1"/>
    </xf>
    <xf numFmtId="0" fontId="9" fillId="8" borderId="1" xfId="13" applyFont="1" applyFill="1" applyBorder="1" applyAlignment="1">
      <alignment vertical="center" wrapText="1"/>
    </xf>
    <xf numFmtId="3" fontId="7" fillId="0" borderId="1" xfId="13" applyNumberFormat="1" applyBorder="1" applyAlignment="1">
      <alignment vertical="center" wrapText="1"/>
    </xf>
    <xf numFmtId="0" fontId="7" fillId="8" borderId="0" xfId="13" applyFill="1" applyAlignment="1">
      <alignment horizontal="center" vertical="center" wrapText="1"/>
    </xf>
    <xf numFmtId="0" fontId="38" fillId="8" borderId="5" xfId="13" applyFont="1" applyFill="1" applyBorder="1" applyAlignment="1">
      <alignment vertical="center" wrapText="1"/>
    </xf>
    <xf numFmtId="0" fontId="7" fillId="0" borderId="1" xfId="13" applyBorder="1" applyAlignment="1">
      <alignment vertical="center" wrapText="1"/>
    </xf>
    <xf numFmtId="0" fontId="7" fillId="8" borderId="1" xfId="13" applyFill="1" applyBorder="1" applyAlignment="1">
      <alignment vertical="center" wrapText="1"/>
    </xf>
    <xf numFmtId="0" fontId="13" fillId="0" borderId="1" xfId="4" applyFont="1" applyBorder="1" applyAlignment="1">
      <alignment horizontal="left"/>
    </xf>
    <xf numFmtId="0" fontId="13" fillId="5" borderId="1" xfId="4" applyFont="1" applyFill="1" applyBorder="1" applyAlignment="1">
      <alignment horizontal="center"/>
    </xf>
    <xf numFmtId="0" fontId="13" fillId="8" borderId="1" xfId="4" applyFont="1" applyFill="1" applyBorder="1" applyAlignment="1">
      <alignment horizontal="left"/>
    </xf>
    <xf numFmtId="3" fontId="12" fillId="0" borderId="1" xfId="4" applyNumberFormat="1" applyFont="1" applyBorder="1" applyAlignment="1">
      <alignment horizontal="right" vertical="center"/>
    </xf>
    <xf numFmtId="0" fontId="12" fillId="5" borderId="1" xfId="4" applyFont="1" applyFill="1" applyBorder="1" applyAlignment="1">
      <alignment horizontal="center" vertical="center"/>
    </xf>
    <xf numFmtId="0" fontId="12" fillId="5" borderId="1" xfId="4" applyFont="1" applyFill="1" applyBorder="1" applyAlignment="1">
      <alignment horizontal="left"/>
    </xf>
    <xf numFmtId="3" fontId="12" fillId="5" borderId="1" xfId="4" applyNumberFormat="1" applyFont="1" applyFill="1" applyBorder="1" applyAlignment="1">
      <alignment horizontal="right" vertical="center"/>
    </xf>
    <xf numFmtId="0" fontId="21" fillId="5" borderId="1" xfId="4" applyFont="1" applyFill="1" applyBorder="1" applyAlignment="1">
      <alignment horizontal="center" vertical="center"/>
    </xf>
    <xf numFmtId="3" fontId="21" fillId="5" borderId="1" xfId="4" applyNumberFormat="1" applyFont="1" applyFill="1" applyBorder="1" applyAlignment="1">
      <alignment horizontal="right" vertical="center"/>
    </xf>
    <xf numFmtId="0" fontId="21" fillId="5" borderId="1" xfId="4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32" fillId="8" borderId="1" xfId="14" applyFont="1" applyFill="1" applyBorder="1" applyAlignment="1">
      <alignment vertical="center" wrapText="1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8" borderId="4" xfId="7" applyFont="1" applyFill="1" applyBorder="1" applyAlignment="1">
      <alignment horizontal="center"/>
    </xf>
    <xf numFmtId="0" fontId="13" fillId="8" borderId="25" xfId="7" applyFont="1" applyFill="1" applyBorder="1" applyAlignment="1">
      <alignment horizontal="center"/>
    </xf>
    <xf numFmtId="0" fontId="13" fillId="8" borderId="4" xfId="4" applyFont="1" applyFill="1" applyBorder="1" applyAlignment="1">
      <alignment horizontal="center"/>
    </xf>
    <xf numFmtId="0" fontId="13" fillId="8" borderId="25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13" fillId="5" borderId="29" xfId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/>
    </xf>
    <xf numFmtId="0" fontId="13" fillId="0" borderId="25" xfId="5" applyFont="1" applyFill="1" applyBorder="1" applyAlignment="1">
      <alignment horizontal="center"/>
    </xf>
    <xf numFmtId="0" fontId="13" fillId="8" borderId="4" xfId="5" applyFont="1" applyFill="1" applyBorder="1" applyAlignment="1">
      <alignment horizontal="center" vertical="center"/>
    </xf>
    <xf numFmtId="0" fontId="13" fillId="8" borderId="29" xfId="5" applyFont="1" applyFill="1" applyBorder="1" applyAlignment="1">
      <alignment horizontal="center" vertical="center"/>
    </xf>
    <xf numFmtId="0" fontId="13" fillId="8" borderId="25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33" fillId="8" borderId="4" xfId="0" applyFont="1" applyFill="1" applyBorder="1" applyAlignment="1">
      <alignment horizontal="left" vertical="center"/>
    </xf>
    <xf numFmtId="0" fontId="33" fillId="8" borderId="25" xfId="0" applyFont="1" applyFill="1" applyBorder="1" applyAlignment="1">
      <alignment horizontal="left" vertical="center"/>
    </xf>
    <xf numFmtId="0" fontId="33" fillId="6" borderId="4" xfId="0" applyFont="1" applyFill="1" applyBorder="1" applyAlignment="1">
      <alignment horizontal="left" vertical="center"/>
    </xf>
    <xf numFmtId="0" fontId="33" fillId="6" borderId="25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9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33" fillId="8" borderId="28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0" fillId="8" borderId="1" xfId="14" applyFont="1" applyFill="1" applyBorder="1" applyAlignment="1">
      <alignment horizontal="center" vertical="center"/>
    </xf>
    <xf numFmtId="0" fontId="47" fillId="8" borderId="4" xfId="14" applyFont="1" applyFill="1" applyBorder="1" applyAlignment="1">
      <alignment horizontal="center" vertical="center" wrapText="1"/>
    </xf>
    <xf numFmtId="0" fontId="47" fillId="8" borderId="25" xfId="14" applyFont="1" applyFill="1" applyBorder="1" applyAlignment="1">
      <alignment horizontal="center" vertical="center" wrapText="1"/>
    </xf>
    <xf numFmtId="0" fontId="2" fillId="8" borderId="4" xfId="14" applyFont="1" applyFill="1" applyBorder="1" applyAlignment="1">
      <alignment horizontal="center" vertical="center"/>
    </xf>
    <xf numFmtId="0" fontId="2" fillId="8" borderId="29" xfId="14" applyFont="1" applyFill="1" applyBorder="1" applyAlignment="1">
      <alignment horizontal="center" vertical="center"/>
    </xf>
    <xf numFmtId="0" fontId="2" fillId="8" borderId="25" xfId="14" applyFont="1" applyFill="1" applyBorder="1" applyAlignment="1">
      <alignment horizontal="center" vertical="center"/>
    </xf>
    <xf numFmtId="0" fontId="47" fillId="8" borderId="1" xfId="14" applyFont="1" applyFill="1" applyBorder="1" applyAlignment="1">
      <alignment horizontal="center" vertical="center" wrapText="1"/>
    </xf>
    <xf numFmtId="0" fontId="47" fillId="8" borderId="1" xfId="14" applyFont="1" applyFill="1" applyBorder="1" applyAlignment="1">
      <alignment horizontal="center" vertical="center"/>
    </xf>
    <xf numFmtId="0" fontId="5" fillId="8" borderId="4" xfId="14" applyFont="1" applyFill="1" applyBorder="1" applyAlignment="1">
      <alignment horizontal="center" vertical="center"/>
    </xf>
    <xf numFmtId="0" fontId="5" fillId="8" borderId="29" xfId="14" applyFont="1" applyFill="1" applyBorder="1" applyAlignment="1">
      <alignment horizontal="center" vertical="center"/>
    </xf>
    <xf numFmtId="0" fontId="5" fillId="8" borderId="25" xfId="14" applyFont="1" applyFill="1" applyBorder="1" applyAlignment="1">
      <alignment horizontal="center" vertical="center"/>
    </xf>
    <xf numFmtId="0" fontId="46" fillId="9" borderId="4" xfId="14" applyFont="1" applyFill="1" applyBorder="1" applyAlignment="1">
      <alignment horizontal="center" vertical="center"/>
    </xf>
    <xf numFmtId="0" fontId="46" fillId="9" borderId="29" xfId="14" applyFont="1" applyFill="1" applyBorder="1" applyAlignment="1">
      <alignment horizontal="center" vertical="center"/>
    </xf>
    <xf numFmtId="0" fontId="46" fillId="9" borderId="25" xfId="14" applyFont="1" applyFill="1" applyBorder="1" applyAlignment="1">
      <alignment horizontal="center" vertical="center"/>
    </xf>
    <xf numFmtId="0" fontId="10" fillId="8" borderId="4" xfId="14" applyFont="1" applyFill="1" applyBorder="1" applyAlignment="1">
      <alignment horizontal="center" vertical="center" wrapText="1"/>
    </xf>
    <xf numFmtId="0" fontId="32" fillId="8" borderId="31" xfId="14" applyFont="1" applyFill="1" applyBorder="1" applyAlignment="1">
      <alignment horizontal="center" vertical="center" wrapText="1"/>
    </xf>
    <xf numFmtId="0" fontId="32" fillId="8" borderId="20" xfId="14" applyFont="1" applyFill="1" applyBorder="1" applyAlignment="1">
      <alignment horizontal="center" vertical="center" wrapText="1"/>
    </xf>
    <xf numFmtId="0" fontId="32" fillId="8" borderId="34" xfId="14" applyFont="1" applyFill="1" applyBorder="1" applyAlignment="1">
      <alignment horizontal="center" vertical="center" wrapText="1"/>
    </xf>
    <xf numFmtId="0" fontId="32" fillId="8" borderId="27" xfId="14" applyFont="1" applyFill="1" applyBorder="1" applyAlignment="1">
      <alignment horizontal="center" vertical="center" wrapText="1"/>
    </xf>
    <xf numFmtId="0" fontId="31" fillId="8" borderId="1" xfId="14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0" fontId="4" fillId="8" borderId="28" xfId="14" applyFont="1" applyFill="1" applyBorder="1" applyAlignment="1">
      <alignment horizontal="center" vertical="center" wrapText="1"/>
    </xf>
    <xf numFmtId="0" fontId="4" fillId="8" borderId="20" xfId="14" applyFont="1" applyFill="1" applyBorder="1" applyAlignment="1">
      <alignment horizontal="center" vertical="center" wrapText="1"/>
    </xf>
    <xf numFmtId="0" fontId="4" fillId="8" borderId="13" xfId="14" applyFont="1" applyFill="1" applyBorder="1" applyAlignment="1">
      <alignment horizontal="center" vertical="center" wrapText="1"/>
    </xf>
    <xf numFmtId="0" fontId="4" fillId="8" borderId="27" xfId="14" applyFont="1" applyFill="1" applyBorder="1" applyAlignment="1">
      <alignment horizontal="center" vertical="center" wrapText="1"/>
    </xf>
    <xf numFmtId="0" fontId="4" fillId="8" borderId="4" xfId="14" applyFont="1" applyFill="1" applyBorder="1" applyAlignment="1">
      <alignment horizontal="center" vertical="center" wrapText="1"/>
    </xf>
    <xf numFmtId="0" fontId="4" fillId="8" borderId="29" xfId="14" applyFont="1" applyFill="1" applyBorder="1" applyAlignment="1">
      <alignment horizontal="center" vertical="center" wrapText="1"/>
    </xf>
    <xf numFmtId="0" fontId="4" fillId="8" borderId="25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5" fillId="8" borderId="1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0" fontId="4" fillId="8" borderId="31" xfId="14" applyFont="1" applyFill="1" applyBorder="1" applyAlignment="1">
      <alignment horizontal="center" vertical="center" wrapText="1"/>
    </xf>
    <xf numFmtId="0" fontId="32" fillId="8" borderId="4" xfId="14" applyFont="1" applyFill="1" applyBorder="1" applyAlignment="1">
      <alignment horizontal="center" vertical="center" wrapText="1"/>
    </xf>
    <xf numFmtId="0" fontId="32" fillId="8" borderId="25" xfId="14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9" fillId="6" borderId="4" xfId="6" applyFont="1" applyFill="1" applyBorder="1" applyAlignment="1">
      <alignment horizontal="left"/>
    </xf>
    <xf numFmtId="0" fontId="9" fillId="6" borderId="25" xfId="6" applyFont="1" applyFill="1" applyBorder="1" applyAlignment="1">
      <alignment horizontal="left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35" xfId="8" applyFont="1" applyFill="1" applyBorder="1" applyAlignment="1">
      <alignment horizontal="center" vertical="center" wrapText="1"/>
    </xf>
    <xf numFmtId="0" fontId="9" fillId="2" borderId="36" xfId="8" applyFont="1" applyFill="1" applyBorder="1" applyAlignment="1">
      <alignment horizontal="center" vertical="center" wrapText="1"/>
    </xf>
    <xf numFmtId="0" fontId="9" fillId="2" borderId="37" xfId="8" applyFont="1" applyFill="1" applyBorder="1" applyAlignment="1">
      <alignment horizontal="center" vertical="center" wrapText="1"/>
    </xf>
    <xf numFmtId="0" fontId="9" fillId="2" borderId="38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13" fillId="7" borderId="39" xfId="8" applyFont="1" applyFill="1" applyBorder="1" applyAlignment="1">
      <alignment horizontal="center" vertical="center" wrapText="1"/>
    </xf>
    <xf numFmtId="0" fontId="13" fillId="7" borderId="11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2" xfId="8" applyFont="1" applyFill="1" applyBorder="1" applyAlignment="1">
      <alignment horizontal="center" vertical="center" wrapText="1"/>
    </xf>
    <xf numFmtId="0" fontId="13" fillId="2" borderId="39" xfId="8" applyFont="1" applyFill="1" applyBorder="1" applyAlignment="1">
      <alignment horizontal="center" vertical="center" wrapText="1"/>
    </xf>
    <xf numFmtId="0" fontId="13" fillId="2" borderId="11" xfId="8" applyFont="1" applyFill="1" applyBorder="1" applyAlignment="1">
      <alignment horizontal="center" vertical="center" wrapText="1"/>
    </xf>
    <xf numFmtId="0" fontId="42" fillId="0" borderId="30" xfId="10" applyFont="1" applyFill="1" applyBorder="1" applyAlignment="1">
      <alignment horizontal="center" vertical="center" wrapText="1"/>
    </xf>
    <xf numFmtId="0" fontId="42" fillId="3" borderId="30" xfId="10" applyFont="1" applyFill="1" applyBorder="1" applyAlignment="1">
      <alignment horizontal="center" vertical="center" wrapText="1"/>
    </xf>
    <xf numFmtId="0" fontId="17" fillId="3" borderId="16" xfId="10" applyFont="1" applyFill="1" applyBorder="1" applyAlignment="1">
      <alignment horizontal="center" vertical="center" wrapText="1"/>
    </xf>
    <xf numFmtId="0" fontId="17" fillId="3" borderId="17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42" fillId="3" borderId="16" xfId="10" applyFont="1" applyFill="1" applyBorder="1" applyAlignment="1">
      <alignment horizontal="center" vertical="center" wrapText="1"/>
    </xf>
    <xf numFmtId="0" fontId="42" fillId="3" borderId="17" xfId="10" applyFont="1" applyFill="1" applyBorder="1" applyAlignment="1">
      <alignment horizontal="center" vertical="center" wrapText="1"/>
    </xf>
    <xf numFmtId="0" fontId="42" fillId="3" borderId="18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29" xfId="11" applyFont="1" applyFill="1" applyBorder="1" applyAlignment="1">
      <alignment horizontal="left" vertical="center"/>
    </xf>
    <xf numFmtId="0" fontId="9" fillId="8" borderId="25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28" xfId="11" applyFont="1" applyFill="1" applyBorder="1" applyAlignment="1">
      <alignment horizontal="distributed" vertical="distributed"/>
    </xf>
    <xf numFmtId="0" fontId="28" fillId="8" borderId="31" xfId="11" applyFont="1" applyFill="1" applyBorder="1" applyAlignment="1">
      <alignment horizontal="distributed" vertical="distributed"/>
    </xf>
    <xf numFmtId="0" fontId="28" fillId="8" borderId="20" xfId="11" applyFont="1" applyFill="1" applyBorder="1" applyAlignment="1">
      <alignment horizontal="distributed" vertical="distributed"/>
    </xf>
    <xf numFmtId="0" fontId="28" fillId="8" borderId="32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3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27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29" xfId="11" applyFont="1" applyBorder="1" applyAlignment="1">
      <alignment horizontal="left" vertical="center" wrapText="1"/>
    </xf>
    <xf numFmtId="0" fontId="7" fillId="0" borderId="25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29" xfId="2" applyFont="1" applyBorder="1" applyAlignment="1">
      <alignment horizontal="left" vertical="distributed"/>
    </xf>
    <xf numFmtId="0" fontId="11" fillId="0" borderId="25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1" fillId="0" borderId="4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8" fillId="0" borderId="34" xfId="3" applyFont="1" applyBorder="1" applyAlignment="1">
      <alignment horizontal="right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6"/>
  <sheetViews>
    <sheetView view="pageBreakPreview" zoomScaleNormal="100" zoomScaleSheetLayoutView="100" workbookViewId="0">
      <selection activeCell="D43" sqref="D43"/>
    </sheetView>
  </sheetViews>
  <sheetFormatPr defaultRowHeight="12.75" x14ac:dyDescent="0.2"/>
  <cols>
    <col min="1" max="1" width="13.140625" style="17" customWidth="1"/>
    <col min="2" max="2" width="76" style="17" customWidth="1"/>
    <col min="3" max="3" width="19.7109375" style="17" customWidth="1"/>
    <col min="4" max="4" width="19.28515625" style="17" customWidth="1"/>
    <col min="5" max="5" width="14.28515625" style="17" customWidth="1"/>
    <col min="6" max="16384" width="9.140625" style="17"/>
  </cols>
  <sheetData>
    <row r="1" spans="1:5" ht="30" customHeight="1" x14ac:dyDescent="0.2">
      <c r="A1" s="599" t="s">
        <v>145</v>
      </c>
      <c r="B1" s="600" t="s">
        <v>15</v>
      </c>
      <c r="C1" s="593" t="s">
        <v>679</v>
      </c>
      <c r="D1" s="593" t="s">
        <v>694</v>
      </c>
      <c r="E1" s="593" t="s">
        <v>781</v>
      </c>
    </row>
    <row r="2" spans="1:5" ht="30" customHeight="1" x14ac:dyDescent="0.2">
      <c r="A2" s="599"/>
      <c r="B2" s="600"/>
      <c r="C2" s="594"/>
      <c r="D2" s="594"/>
      <c r="E2" s="594"/>
    </row>
    <row r="3" spans="1:5" ht="24.95" customHeight="1" x14ac:dyDescent="0.25">
      <c r="A3" s="24" t="s">
        <v>90</v>
      </c>
      <c r="B3" s="53" t="s">
        <v>182</v>
      </c>
      <c r="C3" s="18"/>
      <c r="D3" s="18"/>
      <c r="E3" s="18"/>
    </row>
    <row r="4" spans="1:5" ht="20.100000000000001" customHeight="1" x14ac:dyDescent="0.25">
      <c r="A4" s="24" t="s">
        <v>143</v>
      </c>
      <c r="B4" s="53" t="s">
        <v>260</v>
      </c>
      <c r="C4" s="19"/>
      <c r="D4" s="19"/>
      <c r="E4" s="19"/>
    </row>
    <row r="5" spans="1:5" ht="20.100000000000001" customHeight="1" x14ac:dyDescent="0.25">
      <c r="A5" s="20" t="s">
        <v>149</v>
      </c>
      <c r="B5" s="52" t="s">
        <v>150</v>
      </c>
      <c r="C5" s="19"/>
      <c r="D5" s="19"/>
      <c r="E5" s="19"/>
    </row>
    <row r="6" spans="1:5" ht="20.100000000000001" customHeight="1" x14ac:dyDescent="0.2">
      <c r="A6" s="18" t="s">
        <v>144</v>
      </c>
      <c r="B6" s="103" t="s">
        <v>254</v>
      </c>
      <c r="C6" s="127">
        <f>'3.számú melléklet'!C8</f>
        <v>231216000</v>
      </c>
      <c r="D6" s="127">
        <f>'3.számú melléklet'!D8</f>
        <v>252740697</v>
      </c>
      <c r="E6" s="127">
        <f>'3.számú melléklet'!E8</f>
        <v>253044355</v>
      </c>
    </row>
    <row r="7" spans="1:5" ht="20.100000000000001" customHeight="1" x14ac:dyDescent="0.2">
      <c r="A7" s="18" t="s">
        <v>146</v>
      </c>
      <c r="B7" s="105" t="s">
        <v>255</v>
      </c>
      <c r="C7" s="127">
        <f>'3.számú melléklet'!C9</f>
        <v>48650467</v>
      </c>
      <c r="D7" s="127">
        <f>'3.számú melléklet'!D9</f>
        <v>49337467</v>
      </c>
      <c r="E7" s="127">
        <f>'3.számú melléklet'!E9</f>
        <v>49337467</v>
      </c>
    </row>
    <row r="8" spans="1:5" ht="20.100000000000001" customHeight="1" x14ac:dyDescent="0.2">
      <c r="A8" s="20" t="s">
        <v>147</v>
      </c>
      <c r="B8" s="103" t="s">
        <v>275</v>
      </c>
      <c r="C8" s="127">
        <f>'3.számú melléklet'!C10</f>
        <v>49708348</v>
      </c>
      <c r="D8" s="127">
        <f>'3.számú melléklet'!D10</f>
        <v>64277576</v>
      </c>
      <c r="E8" s="127">
        <f>'3.számú melléklet'!E10</f>
        <v>66550303</v>
      </c>
    </row>
    <row r="9" spans="1:5" ht="20.100000000000001" customHeight="1" x14ac:dyDescent="0.2">
      <c r="A9" s="117" t="s">
        <v>239</v>
      </c>
      <c r="B9" s="103" t="s">
        <v>256</v>
      </c>
      <c r="C9" s="127">
        <f>'3.számú melléklet'!C11</f>
        <v>2815800</v>
      </c>
      <c r="D9" s="127">
        <f>'3.számú melléklet'!D11</f>
        <v>2974180</v>
      </c>
      <c r="E9" s="127">
        <f>'3.számú melléklet'!E11</f>
        <v>3333169</v>
      </c>
    </row>
    <row r="10" spans="1:5" ht="20.100000000000001" customHeight="1" x14ac:dyDescent="0.2">
      <c r="A10" s="20" t="s">
        <v>148</v>
      </c>
      <c r="B10" s="103" t="s">
        <v>257</v>
      </c>
      <c r="C10" s="127">
        <f>'3.számú melléklet'!C12</f>
        <v>0</v>
      </c>
      <c r="D10" s="127">
        <f>'3.számú melléklet'!D12</f>
        <v>0</v>
      </c>
      <c r="E10" s="127">
        <f>'3.számú melléklet'!E12</f>
        <v>2624480</v>
      </c>
    </row>
    <row r="11" spans="1:5" ht="20.100000000000001" customHeight="1" x14ac:dyDescent="0.2">
      <c r="A11" s="117" t="s">
        <v>839</v>
      </c>
      <c r="B11" s="105" t="s">
        <v>840</v>
      </c>
      <c r="C11" s="127">
        <f>'3.számú melléklet'!C13</f>
        <v>0</v>
      </c>
      <c r="D11" s="127">
        <f>'3.számú melléklet'!D13</f>
        <v>0</v>
      </c>
      <c r="E11" s="127">
        <f>'3.számú melléklet'!E13</f>
        <v>1102420</v>
      </c>
    </row>
    <row r="12" spans="1:5" ht="20.100000000000001" customHeight="1" x14ac:dyDescent="0.2">
      <c r="A12" s="117" t="s">
        <v>146</v>
      </c>
      <c r="B12" s="105" t="s">
        <v>616</v>
      </c>
      <c r="C12" s="127">
        <f>'3.számú melléklet'!C15</f>
        <v>0</v>
      </c>
      <c r="D12" s="127">
        <f>'3.számú melléklet'!D15</f>
        <v>0</v>
      </c>
      <c r="E12" s="127">
        <f>'3.számú melléklet'!E15</f>
        <v>10627629</v>
      </c>
    </row>
    <row r="13" spans="1:5" ht="20.100000000000001" customHeight="1" x14ac:dyDescent="0.2">
      <c r="A13" s="20" t="s">
        <v>175</v>
      </c>
      <c r="B13" s="105" t="s">
        <v>258</v>
      </c>
      <c r="C13" s="127">
        <f>'3.számú melléklet'!C27</f>
        <v>17849779</v>
      </c>
      <c r="D13" s="127">
        <f>'3.számú melléklet'!D27+'3.számú melléklet'!D71+'3.számú melléklet'!D83</f>
        <v>74967225</v>
      </c>
      <c r="E13" s="127">
        <f>'3.számú melléklet'!E27+'3.számú melléklet'!E83+'3.számú melléklet'!E71</f>
        <v>80463139</v>
      </c>
    </row>
    <row r="14" spans="1:5" ht="20.100000000000001" customHeight="1" x14ac:dyDescent="0.25">
      <c r="A14" s="193"/>
      <c r="B14" s="194" t="s">
        <v>259</v>
      </c>
      <c r="C14" s="271">
        <f>SUM(C6:C13)</f>
        <v>350240394</v>
      </c>
      <c r="D14" s="195">
        <f>SUM(D6:D13)</f>
        <v>444297145</v>
      </c>
      <c r="E14" s="271">
        <f>SUM(E6:E13)</f>
        <v>467082962</v>
      </c>
    </row>
    <row r="15" spans="1:5" ht="20.100000000000001" customHeight="1" x14ac:dyDescent="0.25">
      <c r="A15" s="93" t="s">
        <v>151</v>
      </c>
      <c r="B15" s="92" t="s">
        <v>185</v>
      </c>
      <c r="C15" s="129"/>
      <c r="D15" s="129"/>
      <c r="E15" s="129"/>
    </row>
    <row r="16" spans="1:5" ht="20.100000000000001" customHeight="1" x14ac:dyDescent="0.2">
      <c r="A16" s="531" t="s">
        <v>841</v>
      </c>
      <c r="B16" s="532" t="s">
        <v>842</v>
      </c>
      <c r="C16" s="270">
        <f>'3.számú melléklet'!C33</f>
        <v>0</v>
      </c>
      <c r="D16" s="270">
        <f>'3.számú melléklet'!D33</f>
        <v>14258924</v>
      </c>
      <c r="E16" s="270">
        <f>'3.számú melléklet'!E33</f>
        <v>14798239</v>
      </c>
    </row>
    <row r="17" spans="1:5" ht="20.100000000000001" customHeight="1" x14ac:dyDescent="0.2">
      <c r="A17" s="18" t="s">
        <v>183</v>
      </c>
      <c r="B17" s="532" t="s">
        <v>184</v>
      </c>
      <c r="C17" s="272">
        <f>'3.számú melléklet'!C39+'3.számú melléklet'!C87</f>
        <v>0</v>
      </c>
      <c r="D17" s="272">
        <f>'3.számú melléklet'!D39+'3.számú melléklet'!D87</f>
        <v>575350208</v>
      </c>
      <c r="E17" s="272">
        <f>'3.számú melléklet'!E39+'3.számú melléklet'!E87</f>
        <v>576100208</v>
      </c>
    </row>
    <row r="18" spans="1:5" ht="20.100000000000001" customHeight="1" x14ac:dyDescent="0.25">
      <c r="A18" s="196"/>
      <c r="B18" s="197" t="s">
        <v>186</v>
      </c>
      <c r="C18" s="271">
        <f>C16+C17</f>
        <v>0</v>
      </c>
      <c r="D18" s="271">
        <f>D16+D17</f>
        <v>589609132</v>
      </c>
      <c r="E18" s="271">
        <f>E16+E17</f>
        <v>590898447</v>
      </c>
    </row>
    <row r="19" spans="1:5" ht="20.100000000000001" customHeight="1" x14ac:dyDescent="0.25">
      <c r="A19" s="22" t="s">
        <v>152</v>
      </c>
      <c r="B19" s="54" t="s">
        <v>118</v>
      </c>
      <c r="C19" s="129"/>
      <c r="D19" s="129"/>
      <c r="E19" s="129"/>
    </row>
    <row r="20" spans="1:5" ht="20.100000000000001" customHeight="1" x14ac:dyDescent="0.2">
      <c r="A20" s="20" t="s">
        <v>172</v>
      </c>
      <c r="B20" s="105" t="s">
        <v>265</v>
      </c>
      <c r="C20" s="127">
        <f>'3.számú melléklet'!C42+'3.számú melléklet'!C43</f>
        <v>55500000</v>
      </c>
      <c r="D20" s="127">
        <f>'3.számú melléklet'!D42+'3.számú melléklet'!D43</f>
        <v>54000000</v>
      </c>
      <c r="E20" s="127">
        <f>'3.számú melléklet'!F42+'3.számú melléklet'!F43</f>
        <v>54000000</v>
      </c>
    </row>
    <row r="21" spans="1:5" ht="20.100000000000001" customHeight="1" x14ac:dyDescent="0.2">
      <c r="A21" s="20" t="s">
        <v>190</v>
      </c>
      <c r="B21" s="103" t="s">
        <v>261</v>
      </c>
      <c r="C21" s="127">
        <f>'3.számú melléklet'!C45</f>
        <v>145000000</v>
      </c>
      <c r="D21" s="127">
        <f>'3.számú melléklet'!D45</f>
        <v>170000000</v>
      </c>
      <c r="E21" s="127">
        <f>'3.számú melléklet'!F45</f>
        <v>170000000</v>
      </c>
    </row>
    <row r="22" spans="1:5" ht="20.100000000000001" customHeight="1" x14ac:dyDescent="0.2">
      <c r="A22" s="117" t="s">
        <v>262</v>
      </c>
      <c r="B22" s="51" t="s">
        <v>191</v>
      </c>
      <c r="C22" s="127">
        <f>'3.számú melléklet'!C46</f>
        <v>9000000</v>
      </c>
      <c r="D22" s="127">
        <f>'3.számú melléklet'!D46</f>
        <v>9000000</v>
      </c>
      <c r="E22" s="127">
        <f>'3.számú melléklet'!F46</f>
        <v>9000000</v>
      </c>
    </row>
    <row r="23" spans="1:5" ht="20.100000000000001" customHeight="1" x14ac:dyDescent="0.2">
      <c r="A23" s="117" t="s">
        <v>263</v>
      </c>
      <c r="B23" s="103" t="s">
        <v>264</v>
      </c>
      <c r="C23" s="127">
        <f>'3.számú melléklet'!C44</f>
        <v>200000000</v>
      </c>
      <c r="D23" s="127">
        <f>'3.számú melléklet'!D44</f>
        <v>240000000</v>
      </c>
      <c r="E23" s="127">
        <f>'3.számú melléklet'!F44</f>
        <v>240000000</v>
      </c>
    </row>
    <row r="24" spans="1:5" ht="20.100000000000001" customHeight="1" x14ac:dyDescent="0.2">
      <c r="A24" s="20" t="s">
        <v>173</v>
      </c>
      <c r="B24" s="51" t="s">
        <v>174</v>
      </c>
      <c r="C24" s="127">
        <f>'3.számú melléklet'!C47</f>
        <v>500000</v>
      </c>
      <c r="D24" s="127">
        <f>'3.számú melléklet'!D47</f>
        <v>500000</v>
      </c>
      <c r="E24" s="127">
        <f>'3.számú melléklet'!F47</f>
        <v>500000</v>
      </c>
    </row>
    <row r="25" spans="1:5" ht="20.100000000000001" customHeight="1" x14ac:dyDescent="0.25">
      <c r="A25" s="193"/>
      <c r="B25" s="198" t="s">
        <v>193</v>
      </c>
      <c r="C25" s="271">
        <f>C20+C21+C22+C23+C24</f>
        <v>410000000</v>
      </c>
      <c r="D25" s="195">
        <f>D20+D21+D22+D23+D24</f>
        <v>473500000</v>
      </c>
      <c r="E25" s="271">
        <f>E20+E21+E22+E23+E24</f>
        <v>473500000</v>
      </c>
    </row>
    <row r="26" spans="1:5" ht="20.100000000000001" customHeight="1" x14ac:dyDescent="0.25">
      <c r="A26" s="199" t="s">
        <v>153</v>
      </c>
      <c r="B26" s="194" t="s">
        <v>56</v>
      </c>
      <c r="C26" s="271">
        <f>'3.számú melléklet'!C49+'3.számú melléklet'!C72+'3.számú melléklet'!C76+'3.számú melléklet'!C88</f>
        <v>129671855</v>
      </c>
      <c r="D26" s="271">
        <f>'3.számú melléklet'!D49+'3.számú melléklet'!D72+'3.számú melléklet'!D76+'3.számú melléklet'!D88</f>
        <v>138395493</v>
      </c>
      <c r="E26" s="271">
        <f>'3.számú melléklet'!E49+'3.számú melléklet'!E72+'3.számú melléklet'!E76+'3.számú melléklet'!E88</f>
        <v>138395493</v>
      </c>
    </row>
    <row r="27" spans="1:5" ht="20.100000000000001" customHeight="1" x14ac:dyDescent="0.25">
      <c r="A27" s="22" t="s">
        <v>154</v>
      </c>
      <c r="B27" s="53" t="s">
        <v>100</v>
      </c>
      <c r="C27" s="130"/>
      <c r="D27" s="130"/>
      <c r="E27" s="130"/>
    </row>
    <row r="28" spans="1:5" ht="20.100000000000001" customHeight="1" x14ac:dyDescent="0.2">
      <c r="A28" s="20" t="s">
        <v>176</v>
      </c>
      <c r="B28" s="51" t="s">
        <v>177</v>
      </c>
      <c r="C28" s="127">
        <f>'3.számú melléklet'!C52</f>
        <v>5000000</v>
      </c>
      <c r="D28" s="127">
        <f>'3.számú melléklet'!D52</f>
        <v>0</v>
      </c>
      <c r="E28" s="127">
        <f>'3.számú melléklet'!E52</f>
        <v>2200000</v>
      </c>
    </row>
    <row r="29" spans="1:5" ht="20.100000000000001" customHeight="1" x14ac:dyDescent="0.2">
      <c r="A29" s="117" t="s">
        <v>266</v>
      </c>
      <c r="B29" s="103" t="s">
        <v>267</v>
      </c>
      <c r="C29" s="127"/>
      <c r="D29" s="127"/>
      <c r="E29" s="127"/>
    </row>
    <row r="30" spans="1:5" ht="20.100000000000001" customHeight="1" x14ac:dyDescent="0.25">
      <c r="A30" s="193"/>
      <c r="B30" s="194" t="s">
        <v>187</v>
      </c>
      <c r="C30" s="271">
        <f>SUM(C28:C29)</f>
        <v>5000000</v>
      </c>
      <c r="D30" s="195">
        <f>SUM(D28:D29)</f>
        <v>0</v>
      </c>
      <c r="E30" s="271">
        <f>SUM(E28:E29)</f>
        <v>2200000</v>
      </c>
    </row>
    <row r="31" spans="1:5" ht="20.100000000000001" customHeight="1" x14ac:dyDescent="0.25">
      <c r="A31" s="22" t="s">
        <v>155</v>
      </c>
      <c r="B31" s="53" t="s">
        <v>156</v>
      </c>
      <c r="C31" s="128"/>
      <c r="D31" s="128"/>
      <c r="E31" s="128"/>
    </row>
    <row r="32" spans="1:5" ht="20.100000000000001" customHeight="1" x14ac:dyDescent="0.2">
      <c r="A32" s="117" t="s">
        <v>268</v>
      </c>
      <c r="B32" s="103" t="s">
        <v>276</v>
      </c>
      <c r="C32" s="127">
        <f>'3.számú melléklet'!C54</f>
        <v>570000</v>
      </c>
      <c r="D32" s="127">
        <f>'3.számú melléklet'!D54</f>
        <v>370000</v>
      </c>
      <c r="E32" s="127">
        <f>'3.számú melléklet'!E54</f>
        <v>370000</v>
      </c>
    </row>
    <row r="33" spans="1:5" ht="20.100000000000001" customHeight="1" x14ac:dyDescent="0.2">
      <c r="A33" s="117" t="s">
        <v>269</v>
      </c>
      <c r="B33" s="103" t="s">
        <v>270</v>
      </c>
      <c r="C33" s="127">
        <v>10000</v>
      </c>
      <c r="D33" s="127">
        <f>'3.a.számú melléklet'!S90</f>
        <v>0</v>
      </c>
      <c r="E33" s="127">
        <v>0</v>
      </c>
    </row>
    <row r="34" spans="1:5" ht="20.100000000000001" customHeight="1" x14ac:dyDescent="0.25">
      <c r="A34" s="193"/>
      <c r="B34" s="194" t="s">
        <v>188</v>
      </c>
      <c r="C34" s="271">
        <f>SUM(C32:C33)</f>
        <v>580000</v>
      </c>
      <c r="D34" s="195">
        <f>SUM(D32:D33)</f>
        <v>370000</v>
      </c>
      <c r="E34" s="271">
        <f>SUM(E32:E33)</f>
        <v>370000</v>
      </c>
    </row>
    <row r="35" spans="1:5" ht="20.100000000000001" customHeight="1" x14ac:dyDescent="0.25">
      <c r="A35" s="23" t="s">
        <v>157</v>
      </c>
      <c r="B35" s="53" t="s">
        <v>158</v>
      </c>
      <c r="C35" s="128"/>
      <c r="D35" s="128"/>
      <c r="E35" s="128"/>
    </row>
    <row r="36" spans="1:5" ht="20.100000000000001" customHeight="1" x14ac:dyDescent="0.2">
      <c r="A36" s="126" t="s">
        <v>271</v>
      </c>
      <c r="B36" s="105" t="s">
        <v>421</v>
      </c>
      <c r="C36" s="131">
        <f>'3.számú melléklet'!C57</f>
        <v>880000</v>
      </c>
      <c r="D36" s="131">
        <f>'3.számú melléklet'!D57</f>
        <v>705000</v>
      </c>
      <c r="E36" s="131">
        <f>'3.számú melléklet'!E57</f>
        <v>705000</v>
      </c>
    </row>
    <row r="37" spans="1:5" ht="20.100000000000001" customHeight="1" x14ac:dyDescent="0.2">
      <c r="A37" s="126" t="s">
        <v>272</v>
      </c>
      <c r="B37" s="105" t="s">
        <v>273</v>
      </c>
      <c r="C37" s="131">
        <f>'3.számú melléklet'!C58</f>
        <v>509844</v>
      </c>
      <c r="D37" s="131">
        <f>'3.számú melléklet'!D58</f>
        <v>408000</v>
      </c>
      <c r="E37" s="131">
        <f>'3.számú melléklet'!E58</f>
        <v>408000</v>
      </c>
    </row>
    <row r="38" spans="1:5" ht="20.100000000000001" customHeight="1" x14ac:dyDescent="0.25">
      <c r="A38" s="200"/>
      <c r="B38" s="194" t="s">
        <v>189</v>
      </c>
      <c r="C38" s="201">
        <f>SUM(C36:C37)</f>
        <v>1389844</v>
      </c>
      <c r="D38" s="201">
        <f>SUM(D36:D37)</f>
        <v>1113000</v>
      </c>
      <c r="E38" s="201">
        <f>SUM(E36:E37)</f>
        <v>1113000</v>
      </c>
    </row>
    <row r="39" spans="1:5" ht="20.100000000000001" customHeight="1" x14ac:dyDescent="0.25">
      <c r="A39" s="203" t="s">
        <v>159</v>
      </c>
      <c r="B39" s="204" t="s">
        <v>160</v>
      </c>
      <c r="C39" s="205">
        <f>C14+C18+C25+C26+C30+C34+C38</f>
        <v>896882093</v>
      </c>
      <c r="D39" s="205">
        <f>D14+D18+D25+D26+D30+D34+D38</f>
        <v>1647284770</v>
      </c>
      <c r="E39" s="205">
        <f>E14+E18+E25+E26+E30+E34+E38</f>
        <v>1673559902</v>
      </c>
    </row>
    <row r="40" spans="1:5" ht="20.100000000000001" customHeight="1" x14ac:dyDescent="0.25">
      <c r="A40" s="533" t="s">
        <v>617</v>
      </c>
      <c r="B40" s="530" t="s">
        <v>618</v>
      </c>
      <c r="C40" s="446"/>
      <c r="D40" s="446"/>
      <c r="E40" s="446"/>
    </row>
    <row r="41" spans="1:5" ht="20.100000000000001" customHeight="1" x14ac:dyDescent="0.2">
      <c r="A41" s="534" t="s">
        <v>845</v>
      </c>
      <c r="B41" s="535" t="s">
        <v>843</v>
      </c>
      <c r="C41" s="447">
        <f>'3.számú melléklet'!C64</f>
        <v>180000000</v>
      </c>
      <c r="D41" s="447">
        <f>'3.számú melléklet'!D64</f>
        <v>340000000</v>
      </c>
      <c r="E41" s="447">
        <f>'3.számú melléklet'!E64</f>
        <v>340000000</v>
      </c>
    </row>
    <row r="42" spans="1:5" ht="20.100000000000001" customHeight="1" x14ac:dyDescent="0.2">
      <c r="A42" s="534" t="s">
        <v>844</v>
      </c>
      <c r="B42" s="535" t="s">
        <v>846</v>
      </c>
      <c r="C42" s="447">
        <f>'3.számú melléklet'!C62+'3.számú melléklet'!C73+'3.számú melléklet'!C77+'3.számú melléklet'!C89</f>
        <v>51522907</v>
      </c>
      <c r="D42" s="447">
        <f>'3.számú melléklet'!D62+'3.számú melléklet'!D73+'3.számú melléklet'!D89+'3.számú melléklet'!D77</f>
        <v>55813230</v>
      </c>
      <c r="E42" s="447">
        <f>'3.számú melléklet'!E62+'3.számú melléklet'!E73+'3.számú melléklet'!E77+'3.számú melléklet'!E89</f>
        <v>64777566</v>
      </c>
    </row>
    <row r="43" spans="1:5" ht="20.100000000000001" customHeight="1" x14ac:dyDescent="0.25">
      <c r="A43" s="199"/>
      <c r="B43" s="194" t="s">
        <v>847</v>
      </c>
      <c r="C43" s="271">
        <f t="shared" ref="C43:E43" si="0">SUM(C41:C42)</f>
        <v>231522907</v>
      </c>
      <c r="D43" s="271">
        <f t="shared" si="0"/>
        <v>395813230</v>
      </c>
      <c r="E43" s="271">
        <f t="shared" si="0"/>
        <v>404777566</v>
      </c>
    </row>
    <row r="44" spans="1:5" ht="20.100000000000001" customHeight="1" x14ac:dyDescent="0.25">
      <c r="A44" s="595" t="s">
        <v>192</v>
      </c>
      <c r="B44" s="596"/>
      <c r="C44" s="202">
        <f>C39+C43</f>
        <v>1128405000</v>
      </c>
      <c r="D44" s="202">
        <f>D39+D43</f>
        <v>2043098000</v>
      </c>
      <c r="E44" s="202">
        <f>E39+E43</f>
        <v>2078337468</v>
      </c>
    </row>
    <row r="45" spans="1:5" ht="25.5" customHeight="1" x14ac:dyDescent="0.2">
      <c r="A45" s="59" t="s">
        <v>194</v>
      </c>
      <c r="B45" s="94" t="s">
        <v>274</v>
      </c>
      <c r="C45" s="319"/>
      <c r="D45" s="319"/>
      <c r="E45" s="319"/>
    </row>
    <row r="46" spans="1:5" ht="17.25" customHeight="1" x14ac:dyDescent="0.2">
      <c r="A46" s="585" t="s">
        <v>780</v>
      </c>
      <c r="B46" s="586" t="s">
        <v>195</v>
      </c>
      <c r="C46" s="587">
        <f>'4.a.számú melléklet'!C5+'4.a.számú melléklet'!C46+'4.a.számú melléklet'!C60+'4.a.számú melléklet'!C68</f>
        <v>221834921</v>
      </c>
      <c r="D46" s="587">
        <f>'4.a.számú melléklet'!D5+'4.a.számú melléklet'!D46+'4.a.számú melléklet'!D60+'4.a.számú melléklet'!D68</f>
        <v>237591373</v>
      </c>
      <c r="E46" s="587">
        <f>'4.a.számú melléklet'!E5+'4.a.számú melléklet'!E46+'4.a.számú melléklet'!E60+'4.a.számú melléklet'!E68</f>
        <v>241328421</v>
      </c>
    </row>
    <row r="47" spans="1:5" ht="20.100000000000001" customHeight="1" x14ac:dyDescent="0.2">
      <c r="A47" s="588" t="s">
        <v>161</v>
      </c>
      <c r="B47" s="586" t="s">
        <v>196</v>
      </c>
      <c r="C47" s="587">
        <f>'4.a.számú melléklet'!C6+'4.a.számú melléklet'!C47+'4.a.számú melléklet'!C61+'4.a.számú melléklet'!C69</f>
        <v>52720046</v>
      </c>
      <c r="D47" s="587">
        <f>'4.a.számú melléklet'!D6+'4.a.számú melléklet'!D47+'4.a.számú melléklet'!D61+'4.a.számú melléklet'!D69</f>
        <v>49918348</v>
      </c>
      <c r="E47" s="587">
        <f>'4.a.számú melléklet'!E6+'4.a.számú melléklet'!E47+'4.a.számú melléklet'!E61+'4.a.számú melléklet'!E69</f>
        <v>50634473</v>
      </c>
    </row>
    <row r="48" spans="1:5" ht="20.100000000000001" customHeight="1" x14ac:dyDescent="0.2">
      <c r="A48" s="590" t="s">
        <v>162</v>
      </c>
      <c r="B48" s="586" t="s">
        <v>163</v>
      </c>
      <c r="C48" s="587">
        <f>'4.a.számú melléklet'!C7+'4.a.számú melléklet'!C48+'4.a.számú melléklet'!C62+'4.a.számú melléklet'!C70</f>
        <v>411780530</v>
      </c>
      <c r="D48" s="587">
        <f>'4.a.számú melléklet'!D7+'4.a.számú melléklet'!D48+'4.a.számú melléklet'!D62+'4.a.számú melléklet'!D70</f>
        <v>436600469</v>
      </c>
      <c r="E48" s="587">
        <f>'4.a.számú melléklet'!E7+'4.a.számú melléklet'!E48+'4.a.számú melléklet'!E62+'4.a.számú melléklet'!E70</f>
        <v>496031874</v>
      </c>
    </row>
    <row r="49" spans="1:5" ht="20.100000000000001" customHeight="1" x14ac:dyDescent="0.2">
      <c r="A49" s="590" t="s">
        <v>164</v>
      </c>
      <c r="B49" s="586" t="s">
        <v>80</v>
      </c>
      <c r="C49" s="587">
        <f>'4.a.számú melléklet'!C9</f>
        <v>8500000</v>
      </c>
      <c r="D49" s="587">
        <f>'4.a.számú melléklet'!D9</f>
        <v>7500000</v>
      </c>
      <c r="E49" s="587">
        <f>'4.a.számú melléklet'!E9</f>
        <v>7500000</v>
      </c>
    </row>
    <row r="50" spans="1:5" ht="20.100000000000001" customHeight="1" x14ac:dyDescent="0.2">
      <c r="A50" s="590" t="s">
        <v>165</v>
      </c>
      <c r="B50" s="586" t="s">
        <v>166</v>
      </c>
      <c r="C50" s="589">
        <f>'4.a.számú melléklet'!C19+'4.a.számú melléklet'!C37+'4.a.számú melléklet'!C40+'4.a.számú melléklet'!C41+'4.a.számú melléklet'!C42+'4.a.számú melléklet'!C52+'4.a.számú melléklet'!C64+'4.a.számú melléklet'!C56+'4.a.számú melléklet'!C75+'4.a.számú melléklet'!C74</f>
        <v>293104000</v>
      </c>
      <c r="D50" s="589">
        <f>'4.a.számú melléklet'!D19+'4.a.számú melléklet'!D37+'4.a.számú melléklet'!D40+'4.a.számú melléklet'!D41+'4.a.számú melléklet'!D42+'4.a.számú melléklet'!D52+'4.a.számú melléklet'!D64+'4.a.számú melléklet'!D56+'4.a.számú melléklet'!D75+'4.a.számú melléklet'!D74</f>
        <v>387228916</v>
      </c>
      <c r="E50" s="589">
        <f>'4.a.számú melléklet'!E19+'4.a.számú melléklet'!E37+'4.a.számú melléklet'!E40+'4.a.számú melléklet'!E42+'4.a.számú melléklet'!E52+'4.a.számú melléklet'!E55+'4.a.számú melléklet'!E56+'4.a.számú melléklet'!E64+'4.a.számú melléklet'!E73+'4.a.számú melléklet'!E75</f>
        <v>364236419</v>
      </c>
    </row>
    <row r="51" spans="1:5" ht="20.100000000000001" customHeight="1" x14ac:dyDescent="0.2">
      <c r="A51" s="590"/>
      <c r="B51" s="586" t="s">
        <v>395</v>
      </c>
      <c r="C51" s="589">
        <f>'4.a.számú melléklet'!C42</f>
        <v>204110000</v>
      </c>
      <c r="D51" s="589">
        <f>'4.a.számú melléklet'!D42</f>
        <v>255712508</v>
      </c>
      <c r="E51" s="589">
        <f>'4.a.számú melléklet'!E42</f>
        <v>198860920</v>
      </c>
    </row>
    <row r="52" spans="1:5" ht="20.100000000000001" customHeight="1" x14ac:dyDescent="0.25">
      <c r="A52" s="582"/>
      <c r="B52" s="207" t="s">
        <v>197</v>
      </c>
      <c r="C52" s="208">
        <f>C46+C47+C48+C49+C50</f>
        <v>987939497</v>
      </c>
      <c r="D52" s="208">
        <f>D46+D47+D48+D49+D50</f>
        <v>1118839106</v>
      </c>
      <c r="E52" s="208">
        <f>E46+E47+E48+E49+E50</f>
        <v>1159731187</v>
      </c>
    </row>
    <row r="53" spans="1:5" ht="20.100000000000001" customHeight="1" x14ac:dyDescent="0.2">
      <c r="A53" s="591" t="s">
        <v>167</v>
      </c>
      <c r="B53" s="586" t="s">
        <v>168</v>
      </c>
      <c r="C53" s="587">
        <f>'4.a.számú melléklet'!C80+'4.a.számú melléklet'!C96+'4.a.számú melléklet'!C99+'4.a.számú melléklet'!C102</f>
        <v>71467985</v>
      </c>
      <c r="D53" s="587">
        <f>'4.a.számú melléklet'!D80+'4.a.számú melléklet'!D96+'4.a.számú melléklet'!D99+'4.a.számú melléklet'!D102</f>
        <v>751946293</v>
      </c>
      <c r="E53" s="587">
        <f>'4.a.számú melléklet'!E80+'4.a.számú melléklet'!E96+'4.a.számú melléklet'!E99+'4.a.számú melléklet'!E102</f>
        <v>743217765</v>
      </c>
    </row>
    <row r="54" spans="1:5" ht="20.100000000000001" customHeight="1" x14ac:dyDescent="0.2">
      <c r="A54" s="591" t="s">
        <v>169</v>
      </c>
      <c r="B54" s="586" t="s">
        <v>101</v>
      </c>
      <c r="C54" s="587">
        <f>'4.a.számú melléklet'!C81</f>
        <v>42494750</v>
      </c>
      <c r="D54" s="587">
        <f>'4.a.számú melléklet'!D81</f>
        <v>32843676</v>
      </c>
      <c r="E54" s="587">
        <f>'4.a.számú melléklet'!E81</f>
        <v>35919591</v>
      </c>
    </row>
    <row r="55" spans="1:5" ht="20.100000000000001" customHeight="1" x14ac:dyDescent="0.2">
      <c r="A55" s="591" t="s">
        <v>170</v>
      </c>
      <c r="B55" s="586" t="s">
        <v>171</v>
      </c>
      <c r="C55" s="587">
        <f>'4.a.számú melléklet'!C83+'4.a.számú melléklet'!C86+'4.a.számú melléklet'!C90+'4.a.számú melléklet'!C93</f>
        <v>3905000</v>
      </c>
      <c r="D55" s="587">
        <f>'4.a.számú melléklet'!D83+'4.a.számú melléklet'!D86+'4.a.számú melléklet'!D90+'4.a.számú melléklet'!D93</f>
        <v>15420000</v>
      </c>
      <c r="E55" s="587">
        <f>'4.a.számú melléklet'!E83+'4.a.számú melléklet'!E86+'4.a.számú melléklet'!E90+'4.a.számú melléklet'!E93</f>
        <v>15420000</v>
      </c>
    </row>
    <row r="56" spans="1:5" ht="20.100000000000001" customHeight="1" x14ac:dyDescent="0.25">
      <c r="A56" s="582"/>
      <c r="B56" s="209" t="s">
        <v>198</v>
      </c>
      <c r="C56" s="208">
        <f>C53+C54+C55</f>
        <v>117867735</v>
      </c>
      <c r="D56" s="208">
        <f>D53+D54+D55</f>
        <v>800209969</v>
      </c>
      <c r="E56" s="208">
        <f>E53+E54+E55</f>
        <v>794557356</v>
      </c>
    </row>
    <row r="57" spans="1:5" ht="20.100000000000001" customHeight="1" x14ac:dyDescent="0.25">
      <c r="A57" s="206" t="s">
        <v>345</v>
      </c>
      <c r="B57" s="209" t="s">
        <v>346</v>
      </c>
      <c r="C57" s="208">
        <f>C52+C56</f>
        <v>1105807232</v>
      </c>
      <c r="D57" s="208">
        <f>D52+D56</f>
        <v>1919049075</v>
      </c>
      <c r="E57" s="208">
        <f>E52+E56</f>
        <v>1954288543</v>
      </c>
    </row>
    <row r="58" spans="1:5" ht="20.100000000000001" customHeight="1" x14ac:dyDescent="0.25">
      <c r="A58" s="60" t="s">
        <v>199</v>
      </c>
      <c r="B58" s="581" t="s">
        <v>200</v>
      </c>
      <c r="C58" s="132"/>
      <c r="D58" s="132"/>
      <c r="E58" s="132"/>
    </row>
    <row r="59" spans="1:5" ht="20.100000000000001" customHeight="1" x14ac:dyDescent="0.25">
      <c r="A59" s="60"/>
      <c r="B59" s="579" t="s">
        <v>919</v>
      </c>
      <c r="C59" s="584">
        <f>'4.a.számú melléklet'!C107</f>
        <v>10000000</v>
      </c>
      <c r="D59" s="584">
        <f>'4.a.számú melléklet'!D107</f>
        <v>10000000</v>
      </c>
      <c r="E59" s="584">
        <f>'4.a.számú melléklet'!E107</f>
        <v>10000000</v>
      </c>
    </row>
    <row r="60" spans="1:5" ht="20.100000000000001" customHeight="1" x14ac:dyDescent="0.25">
      <c r="A60" s="60"/>
      <c r="B60" s="579" t="s">
        <v>920</v>
      </c>
      <c r="C60" s="584">
        <f>'4.a.számú melléklet'!C108</f>
        <v>0</v>
      </c>
      <c r="D60" s="584">
        <f>'4.a.számú melléklet'!D108</f>
        <v>100000000</v>
      </c>
      <c r="E60" s="584">
        <f>'4.a.számú melléklet'!E108</f>
        <v>100000000</v>
      </c>
    </row>
    <row r="61" spans="1:5" ht="20.100000000000001" customHeight="1" x14ac:dyDescent="0.25">
      <c r="A61" s="60"/>
      <c r="B61" s="579" t="s">
        <v>921</v>
      </c>
      <c r="C61" s="584">
        <f>'4.a.számú melléklet'!C109</f>
        <v>12597768</v>
      </c>
      <c r="D61" s="584">
        <f>'4.a.számú melléklet'!D109</f>
        <v>14048925</v>
      </c>
      <c r="E61" s="584">
        <f>'4.a.számú melléklet'!E109</f>
        <v>14048925</v>
      </c>
    </row>
    <row r="62" spans="1:5" ht="20.100000000000001" customHeight="1" x14ac:dyDescent="0.25">
      <c r="A62" s="60"/>
      <c r="B62" s="583" t="s">
        <v>909</v>
      </c>
      <c r="C62" s="208">
        <f>SUM(C59:C61)</f>
        <v>22597768</v>
      </c>
      <c r="D62" s="208">
        <f>SUM(D59:D61)</f>
        <v>124048925</v>
      </c>
      <c r="E62" s="208">
        <f>SUM(E59:E61)</f>
        <v>124048925</v>
      </c>
    </row>
    <row r="63" spans="1:5" ht="20.100000000000001" customHeight="1" x14ac:dyDescent="0.25">
      <c r="A63" s="597" t="s">
        <v>201</v>
      </c>
      <c r="B63" s="598"/>
      <c r="C63" s="208">
        <f>C57+C62</f>
        <v>1128405000</v>
      </c>
      <c r="D63" s="208">
        <f>D57+D62</f>
        <v>2043098000</v>
      </c>
      <c r="E63" s="208">
        <f>E57+E62</f>
        <v>2078337468</v>
      </c>
    </row>
    <row r="64" spans="1:5" ht="15" x14ac:dyDescent="0.2">
      <c r="A64" s="6"/>
      <c r="B64" s="6"/>
      <c r="C64" s="6"/>
    </row>
    <row r="65" spans="1:3" ht="14.25" x14ac:dyDescent="0.2">
      <c r="A65" s="21"/>
      <c r="B65" s="21"/>
      <c r="C65" s="21"/>
    </row>
    <row r="66" spans="1:3" ht="14.25" x14ac:dyDescent="0.2">
      <c r="A66" s="21"/>
      <c r="B66" s="21"/>
      <c r="C66" s="21"/>
    </row>
    <row r="67" spans="1:3" ht="14.25" x14ac:dyDescent="0.2">
      <c r="A67" s="21"/>
      <c r="B67" s="21"/>
      <c r="C67" s="21"/>
    </row>
    <row r="68" spans="1:3" ht="14.25" x14ac:dyDescent="0.2">
      <c r="A68" s="21"/>
      <c r="B68" s="21"/>
      <c r="C68" s="21"/>
    </row>
    <row r="69" spans="1:3" ht="14.25" x14ac:dyDescent="0.2">
      <c r="A69" s="21"/>
      <c r="B69" s="21"/>
      <c r="C69" s="21"/>
    </row>
    <row r="70" spans="1:3" ht="14.25" x14ac:dyDescent="0.2">
      <c r="A70" s="21"/>
      <c r="B70" s="21"/>
      <c r="C70" s="21"/>
    </row>
    <row r="71" spans="1:3" ht="14.25" x14ac:dyDescent="0.2">
      <c r="A71" s="21"/>
      <c r="B71" s="21"/>
      <c r="C71" s="21"/>
    </row>
    <row r="72" spans="1:3" ht="14.25" x14ac:dyDescent="0.2">
      <c r="A72" s="21"/>
      <c r="B72" s="21"/>
      <c r="C72" s="21"/>
    </row>
    <row r="73" spans="1:3" ht="14.25" x14ac:dyDescent="0.2">
      <c r="A73" s="21"/>
      <c r="B73" s="21"/>
      <c r="C73" s="21"/>
    </row>
    <row r="74" spans="1:3" ht="14.25" x14ac:dyDescent="0.2">
      <c r="A74" s="21"/>
      <c r="B74" s="21"/>
      <c r="C74" s="21"/>
    </row>
    <row r="75" spans="1:3" ht="14.25" x14ac:dyDescent="0.2">
      <c r="A75" s="21"/>
      <c r="B75" s="21"/>
      <c r="C75" s="21"/>
    </row>
    <row r="76" spans="1:3" ht="14.25" x14ac:dyDescent="0.2">
      <c r="A76" s="21"/>
      <c r="B76" s="21"/>
      <c r="C76" s="21"/>
    </row>
    <row r="77" spans="1:3" ht="14.25" x14ac:dyDescent="0.2">
      <c r="A77" s="21"/>
      <c r="B77" s="21"/>
      <c r="C77" s="21"/>
    </row>
    <row r="78" spans="1:3" ht="14.25" x14ac:dyDescent="0.2">
      <c r="A78" s="21"/>
      <c r="B78" s="21"/>
      <c r="C78" s="21"/>
    </row>
    <row r="79" spans="1:3" ht="14.25" x14ac:dyDescent="0.2">
      <c r="A79" s="21"/>
      <c r="B79" s="21"/>
      <c r="C79" s="21"/>
    </row>
    <row r="80" spans="1:3" ht="14.25" x14ac:dyDescent="0.2">
      <c r="A80" s="21"/>
      <c r="B80" s="21"/>
      <c r="C80" s="21"/>
    </row>
    <row r="81" spans="1:3" ht="14.25" x14ac:dyDescent="0.2">
      <c r="A81" s="21"/>
      <c r="B81" s="21"/>
      <c r="C81" s="21"/>
    </row>
    <row r="82" spans="1:3" ht="14.25" x14ac:dyDescent="0.2">
      <c r="A82" s="21"/>
      <c r="B82" s="21"/>
      <c r="C82" s="21"/>
    </row>
    <row r="83" spans="1:3" ht="14.25" x14ac:dyDescent="0.2">
      <c r="A83" s="21"/>
      <c r="B83" s="21"/>
      <c r="C83" s="21"/>
    </row>
    <row r="84" spans="1:3" ht="14.25" x14ac:dyDescent="0.2">
      <c r="A84" s="21"/>
      <c r="B84" s="21"/>
      <c r="C84" s="21"/>
    </row>
    <row r="85" spans="1:3" ht="14.25" x14ac:dyDescent="0.2">
      <c r="A85" s="21"/>
      <c r="B85" s="21"/>
      <c r="C85" s="21"/>
    </row>
    <row r="86" spans="1:3" ht="14.25" x14ac:dyDescent="0.2">
      <c r="A86" s="21"/>
      <c r="B86" s="21"/>
      <c r="C86" s="21"/>
    </row>
    <row r="87" spans="1:3" ht="14.25" x14ac:dyDescent="0.2">
      <c r="A87" s="21"/>
      <c r="B87" s="21"/>
      <c r="C87" s="21"/>
    </row>
    <row r="88" spans="1:3" ht="14.25" x14ac:dyDescent="0.2">
      <c r="A88" s="21"/>
      <c r="B88" s="21"/>
      <c r="C88" s="21"/>
    </row>
    <row r="89" spans="1:3" ht="14.25" x14ac:dyDescent="0.2">
      <c r="A89" s="21"/>
      <c r="B89" s="21"/>
      <c r="C89" s="21"/>
    </row>
    <row r="90" spans="1:3" ht="14.25" x14ac:dyDescent="0.2">
      <c r="A90" s="21"/>
      <c r="B90" s="21"/>
      <c r="C90" s="21"/>
    </row>
    <row r="91" spans="1:3" ht="14.25" x14ac:dyDescent="0.2">
      <c r="A91" s="21"/>
      <c r="B91" s="21"/>
      <c r="C91" s="21"/>
    </row>
    <row r="92" spans="1:3" ht="14.25" x14ac:dyDescent="0.2">
      <c r="A92" s="21"/>
      <c r="B92" s="21"/>
      <c r="C92" s="21"/>
    </row>
    <row r="93" spans="1:3" ht="14.25" x14ac:dyDescent="0.2">
      <c r="A93" s="21"/>
      <c r="B93" s="21"/>
      <c r="C93" s="21"/>
    </row>
    <row r="94" spans="1:3" ht="14.25" x14ac:dyDescent="0.2">
      <c r="A94" s="21"/>
      <c r="B94" s="21"/>
      <c r="C94" s="21"/>
    </row>
    <row r="95" spans="1:3" ht="14.25" x14ac:dyDescent="0.2">
      <c r="A95" s="21"/>
      <c r="B95" s="21"/>
      <c r="C95" s="21"/>
    </row>
    <row r="96" spans="1:3" ht="14.25" x14ac:dyDescent="0.2">
      <c r="A96" s="21"/>
      <c r="B96" s="21"/>
      <c r="C96" s="21"/>
    </row>
    <row r="97" spans="1:3" ht="14.25" x14ac:dyDescent="0.2">
      <c r="A97" s="21"/>
      <c r="B97" s="21"/>
      <c r="C97" s="21"/>
    </row>
    <row r="98" spans="1:3" ht="14.25" x14ac:dyDescent="0.2">
      <c r="A98" s="21"/>
      <c r="B98" s="21"/>
      <c r="C98" s="21"/>
    </row>
    <row r="99" spans="1:3" ht="14.25" x14ac:dyDescent="0.2">
      <c r="A99" s="21"/>
      <c r="B99" s="21"/>
      <c r="C99" s="21"/>
    </row>
    <row r="100" spans="1:3" ht="14.25" x14ac:dyDescent="0.2">
      <c r="A100" s="21"/>
      <c r="B100" s="21"/>
      <c r="C100" s="21"/>
    </row>
    <row r="101" spans="1:3" ht="14.25" x14ac:dyDescent="0.2">
      <c r="A101" s="21"/>
      <c r="B101" s="21"/>
      <c r="C101" s="21"/>
    </row>
    <row r="102" spans="1:3" ht="14.25" x14ac:dyDescent="0.2">
      <c r="A102" s="21"/>
      <c r="B102" s="21"/>
      <c r="C102" s="21"/>
    </row>
    <row r="103" spans="1:3" ht="14.25" x14ac:dyDescent="0.2">
      <c r="A103" s="21"/>
      <c r="B103" s="21"/>
      <c r="C103" s="21"/>
    </row>
    <row r="104" spans="1:3" ht="14.25" x14ac:dyDescent="0.2">
      <c r="A104" s="21"/>
      <c r="B104" s="21"/>
      <c r="C104" s="21"/>
    </row>
    <row r="105" spans="1:3" ht="14.25" x14ac:dyDescent="0.2">
      <c r="A105" s="21"/>
      <c r="B105" s="21"/>
      <c r="C105" s="21"/>
    </row>
    <row r="106" spans="1:3" ht="14.25" x14ac:dyDescent="0.2">
      <c r="A106" s="21"/>
      <c r="B106" s="21"/>
      <c r="C106" s="21"/>
    </row>
    <row r="107" spans="1:3" ht="14.25" x14ac:dyDescent="0.2">
      <c r="A107" s="21"/>
      <c r="B107" s="21"/>
      <c r="C107" s="21"/>
    </row>
    <row r="108" spans="1:3" ht="14.25" x14ac:dyDescent="0.2">
      <c r="A108" s="21"/>
      <c r="B108" s="21"/>
      <c r="C108" s="21"/>
    </row>
    <row r="109" spans="1:3" ht="14.25" x14ac:dyDescent="0.2">
      <c r="A109" s="21"/>
      <c r="B109" s="21"/>
      <c r="C109" s="21"/>
    </row>
    <row r="110" spans="1:3" ht="14.25" x14ac:dyDescent="0.2">
      <c r="A110" s="21"/>
      <c r="B110" s="21"/>
      <c r="C110" s="21"/>
    </row>
    <row r="111" spans="1:3" ht="14.25" x14ac:dyDescent="0.2">
      <c r="A111" s="21"/>
      <c r="B111" s="21"/>
      <c r="C111" s="21"/>
    </row>
    <row r="112" spans="1:3" ht="14.25" x14ac:dyDescent="0.2">
      <c r="A112" s="21"/>
      <c r="B112" s="21"/>
      <c r="C112" s="21"/>
    </row>
    <row r="113" spans="1:3" ht="14.25" x14ac:dyDescent="0.2">
      <c r="A113" s="21"/>
      <c r="B113" s="21"/>
      <c r="C113" s="21"/>
    </row>
    <row r="114" spans="1:3" ht="14.25" x14ac:dyDescent="0.2">
      <c r="A114" s="21"/>
      <c r="B114" s="21"/>
      <c r="C114" s="21"/>
    </row>
    <row r="115" spans="1:3" ht="14.25" x14ac:dyDescent="0.2">
      <c r="A115" s="21"/>
      <c r="B115" s="21"/>
      <c r="C115" s="21"/>
    </row>
    <row r="116" spans="1:3" ht="14.25" x14ac:dyDescent="0.2">
      <c r="A116" s="21"/>
      <c r="B116" s="21"/>
      <c r="C116" s="21"/>
    </row>
    <row r="117" spans="1:3" ht="14.25" x14ac:dyDescent="0.2">
      <c r="A117" s="21"/>
      <c r="B117" s="21"/>
      <c r="C117" s="21"/>
    </row>
    <row r="118" spans="1:3" ht="14.25" x14ac:dyDescent="0.2">
      <c r="A118" s="21"/>
      <c r="B118" s="21"/>
      <c r="C118" s="21"/>
    </row>
    <row r="119" spans="1:3" ht="14.25" x14ac:dyDescent="0.2">
      <c r="A119" s="21"/>
      <c r="B119" s="21"/>
      <c r="C119" s="21"/>
    </row>
    <row r="120" spans="1:3" ht="14.25" x14ac:dyDescent="0.2">
      <c r="A120" s="21"/>
      <c r="B120" s="21"/>
      <c r="C120" s="21"/>
    </row>
    <row r="121" spans="1:3" ht="14.25" x14ac:dyDescent="0.2">
      <c r="A121" s="21"/>
      <c r="B121" s="21"/>
      <c r="C121" s="21"/>
    </row>
    <row r="122" spans="1:3" ht="14.25" x14ac:dyDescent="0.2">
      <c r="A122" s="21"/>
      <c r="B122" s="21"/>
      <c r="C122" s="21"/>
    </row>
    <row r="123" spans="1:3" ht="14.25" x14ac:dyDescent="0.2">
      <c r="A123" s="21"/>
      <c r="B123" s="21"/>
      <c r="C123" s="21"/>
    </row>
    <row r="124" spans="1:3" ht="14.25" x14ac:dyDescent="0.2">
      <c r="A124" s="21"/>
      <c r="B124" s="21"/>
      <c r="C124" s="21"/>
    </row>
    <row r="125" spans="1:3" ht="14.25" x14ac:dyDescent="0.2">
      <c r="A125" s="21"/>
      <c r="B125" s="21"/>
      <c r="C125" s="21"/>
    </row>
    <row r="126" spans="1:3" ht="14.25" x14ac:dyDescent="0.2">
      <c r="A126" s="21"/>
      <c r="B126" s="21"/>
      <c r="C126" s="21"/>
    </row>
    <row r="127" spans="1:3" ht="14.25" x14ac:dyDescent="0.2">
      <c r="A127" s="21"/>
      <c r="B127" s="21"/>
      <c r="C127" s="21"/>
    </row>
    <row r="128" spans="1:3" ht="14.25" x14ac:dyDescent="0.2">
      <c r="A128" s="21"/>
      <c r="B128" s="21"/>
      <c r="C128" s="21"/>
    </row>
    <row r="129" spans="1:3" ht="14.25" x14ac:dyDescent="0.2">
      <c r="A129" s="21"/>
      <c r="B129" s="21"/>
      <c r="C129" s="21"/>
    </row>
    <row r="130" spans="1:3" ht="14.25" x14ac:dyDescent="0.2">
      <c r="A130" s="21"/>
      <c r="B130" s="21"/>
      <c r="C130" s="21"/>
    </row>
    <row r="131" spans="1:3" ht="14.25" x14ac:dyDescent="0.2">
      <c r="A131" s="21"/>
      <c r="B131" s="21"/>
      <c r="C131" s="21"/>
    </row>
    <row r="132" spans="1:3" ht="14.25" x14ac:dyDescent="0.2">
      <c r="A132" s="21"/>
      <c r="B132" s="21"/>
      <c r="C132" s="21"/>
    </row>
    <row r="133" spans="1:3" ht="14.25" x14ac:dyDescent="0.2">
      <c r="A133" s="21"/>
      <c r="B133" s="21"/>
      <c r="C133" s="21"/>
    </row>
    <row r="134" spans="1:3" ht="14.25" x14ac:dyDescent="0.2">
      <c r="A134" s="21"/>
      <c r="B134" s="21"/>
      <c r="C134" s="21"/>
    </row>
    <row r="135" spans="1:3" ht="14.25" x14ac:dyDescent="0.2">
      <c r="A135" s="21"/>
      <c r="B135" s="21"/>
      <c r="C135" s="21"/>
    </row>
    <row r="136" spans="1:3" ht="14.25" x14ac:dyDescent="0.2">
      <c r="A136" s="21"/>
      <c r="B136" s="21"/>
      <c r="C136" s="21"/>
    </row>
    <row r="137" spans="1:3" ht="14.25" x14ac:dyDescent="0.2">
      <c r="A137" s="21"/>
      <c r="B137" s="21"/>
      <c r="C137" s="21"/>
    </row>
    <row r="138" spans="1:3" ht="14.25" x14ac:dyDescent="0.2">
      <c r="A138" s="21"/>
      <c r="B138" s="21"/>
      <c r="C138" s="21"/>
    </row>
    <row r="139" spans="1:3" ht="14.25" x14ac:dyDescent="0.2">
      <c r="A139" s="21"/>
      <c r="B139" s="21"/>
      <c r="C139" s="21"/>
    </row>
    <row r="140" spans="1:3" ht="14.25" x14ac:dyDescent="0.2">
      <c r="A140" s="21"/>
      <c r="B140" s="21"/>
      <c r="C140" s="21"/>
    </row>
    <row r="141" spans="1:3" ht="14.25" x14ac:dyDescent="0.2">
      <c r="A141" s="21"/>
      <c r="B141" s="21"/>
      <c r="C141" s="21"/>
    </row>
    <row r="142" spans="1:3" ht="14.25" x14ac:dyDescent="0.2">
      <c r="A142" s="21"/>
      <c r="B142" s="21"/>
      <c r="C142" s="21"/>
    </row>
    <row r="143" spans="1:3" ht="14.25" x14ac:dyDescent="0.2">
      <c r="A143" s="21"/>
      <c r="B143" s="21"/>
      <c r="C143" s="21"/>
    </row>
    <row r="144" spans="1:3" ht="14.25" x14ac:dyDescent="0.2">
      <c r="A144" s="21"/>
      <c r="B144" s="21"/>
      <c r="C144" s="21"/>
    </row>
    <row r="145" spans="1:3" ht="14.25" x14ac:dyDescent="0.2">
      <c r="A145" s="21"/>
      <c r="B145" s="21"/>
      <c r="C145" s="21"/>
    </row>
    <row r="146" spans="1:3" ht="14.25" x14ac:dyDescent="0.2">
      <c r="A146" s="21"/>
      <c r="B146" s="21"/>
      <c r="C146" s="21"/>
    </row>
    <row r="147" spans="1:3" ht="14.25" x14ac:dyDescent="0.2">
      <c r="A147" s="21"/>
      <c r="B147" s="21"/>
      <c r="C147" s="21"/>
    </row>
    <row r="148" spans="1:3" ht="14.25" x14ac:dyDescent="0.2">
      <c r="A148" s="21"/>
      <c r="B148" s="21"/>
      <c r="C148" s="21"/>
    </row>
    <row r="149" spans="1:3" ht="14.25" x14ac:dyDescent="0.2">
      <c r="A149" s="21"/>
      <c r="B149" s="21"/>
      <c r="C149" s="21"/>
    </row>
    <row r="150" spans="1:3" ht="14.25" x14ac:dyDescent="0.2">
      <c r="A150" s="21"/>
      <c r="B150" s="21"/>
      <c r="C150" s="21"/>
    </row>
    <row r="151" spans="1:3" ht="14.25" x14ac:dyDescent="0.2">
      <c r="A151" s="21"/>
      <c r="B151" s="21"/>
      <c r="C151" s="21"/>
    </row>
    <row r="152" spans="1:3" ht="14.25" x14ac:dyDescent="0.2">
      <c r="A152" s="21"/>
      <c r="B152" s="21"/>
      <c r="C152" s="21"/>
    </row>
    <row r="153" spans="1:3" ht="14.25" x14ac:dyDescent="0.2">
      <c r="A153" s="21"/>
      <c r="B153" s="21"/>
      <c r="C153" s="21"/>
    </row>
    <row r="154" spans="1:3" ht="14.25" x14ac:dyDescent="0.2">
      <c r="A154" s="21"/>
      <c r="B154" s="21"/>
      <c r="C154" s="21"/>
    </row>
    <row r="155" spans="1:3" ht="14.25" x14ac:dyDescent="0.2">
      <c r="A155" s="21"/>
      <c r="B155" s="21"/>
      <c r="C155" s="21"/>
    </row>
    <row r="156" spans="1:3" ht="14.25" x14ac:dyDescent="0.2">
      <c r="A156" s="21"/>
      <c r="B156" s="21"/>
      <c r="C156" s="21"/>
    </row>
    <row r="157" spans="1:3" ht="14.25" x14ac:dyDescent="0.2">
      <c r="A157" s="21"/>
      <c r="B157" s="21"/>
      <c r="C157" s="21"/>
    </row>
    <row r="158" spans="1:3" ht="14.25" x14ac:dyDescent="0.2">
      <c r="A158" s="21"/>
      <c r="B158" s="21"/>
      <c r="C158" s="21"/>
    </row>
    <row r="159" spans="1:3" ht="14.25" x14ac:dyDescent="0.2">
      <c r="A159" s="21"/>
      <c r="B159" s="21"/>
      <c r="C159" s="21"/>
    </row>
    <row r="160" spans="1:3" ht="14.25" x14ac:dyDescent="0.2">
      <c r="A160" s="21"/>
      <c r="B160" s="21"/>
      <c r="C160" s="21"/>
    </row>
    <row r="161" spans="1:3" ht="14.25" x14ac:dyDescent="0.2">
      <c r="A161" s="21"/>
      <c r="B161" s="21"/>
      <c r="C161" s="21"/>
    </row>
    <row r="162" spans="1:3" ht="14.25" x14ac:dyDescent="0.2">
      <c r="A162" s="21"/>
      <c r="B162" s="21"/>
      <c r="C162" s="21"/>
    </row>
    <row r="163" spans="1:3" ht="14.25" x14ac:dyDescent="0.2">
      <c r="A163" s="21"/>
      <c r="B163" s="21"/>
      <c r="C163" s="21"/>
    </row>
    <row r="164" spans="1:3" ht="14.25" x14ac:dyDescent="0.2">
      <c r="A164" s="21"/>
      <c r="B164" s="21"/>
      <c r="C164" s="21"/>
    </row>
    <row r="165" spans="1:3" ht="14.25" x14ac:dyDescent="0.2">
      <c r="A165" s="21"/>
      <c r="B165" s="21"/>
      <c r="C165" s="21"/>
    </row>
    <row r="166" spans="1:3" ht="14.25" x14ac:dyDescent="0.2">
      <c r="A166" s="21"/>
      <c r="B166" s="21"/>
      <c r="C166" s="21"/>
    </row>
    <row r="167" spans="1:3" ht="14.25" x14ac:dyDescent="0.2">
      <c r="A167" s="21"/>
      <c r="B167" s="21"/>
      <c r="C167" s="21"/>
    </row>
    <row r="168" spans="1:3" ht="14.25" x14ac:dyDescent="0.2">
      <c r="A168" s="21"/>
      <c r="B168" s="21"/>
      <c r="C168" s="21"/>
    </row>
    <row r="169" spans="1:3" ht="14.25" x14ac:dyDescent="0.2">
      <c r="A169" s="21"/>
      <c r="B169" s="21"/>
      <c r="C169" s="21"/>
    </row>
    <row r="170" spans="1:3" ht="14.25" x14ac:dyDescent="0.2">
      <c r="A170" s="21"/>
      <c r="B170" s="21"/>
      <c r="C170" s="21"/>
    </row>
    <row r="171" spans="1:3" ht="14.25" x14ac:dyDescent="0.2">
      <c r="A171" s="21"/>
      <c r="B171" s="21"/>
      <c r="C171" s="21"/>
    </row>
    <row r="172" spans="1:3" ht="14.25" x14ac:dyDescent="0.2">
      <c r="A172" s="21"/>
      <c r="B172" s="21"/>
      <c r="C172" s="21"/>
    </row>
    <row r="173" spans="1:3" ht="14.25" x14ac:dyDescent="0.2">
      <c r="A173" s="21"/>
      <c r="B173" s="21"/>
      <c r="C173" s="21"/>
    </row>
    <row r="174" spans="1:3" ht="14.25" x14ac:dyDescent="0.2">
      <c r="A174" s="21"/>
      <c r="B174" s="21"/>
      <c r="C174" s="21"/>
    </row>
    <row r="175" spans="1:3" ht="14.25" x14ac:dyDescent="0.2">
      <c r="A175" s="21"/>
      <c r="B175" s="21"/>
      <c r="C175" s="21"/>
    </row>
    <row r="176" spans="1:3" ht="14.25" x14ac:dyDescent="0.2">
      <c r="A176" s="21"/>
      <c r="B176" s="21"/>
      <c r="C176" s="21"/>
    </row>
    <row r="177" spans="1:3" ht="14.25" x14ac:dyDescent="0.2">
      <c r="A177" s="21"/>
      <c r="B177" s="21"/>
      <c r="C177" s="21"/>
    </row>
    <row r="178" spans="1:3" ht="14.25" x14ac:dyDescent="0.2">
      <c r="A178" s="21"/>
      <c r="B178" s="21"/>
      <c r="C178" s="21"/>
    </row>
    <row r="179" spans="1:3" ht="14.25" x14ac:dyDescent="0.2">
      <c r="A179" s="21"/>
      <c r="B179" s="21"/>
      <c r="C179" s="21"/>
    </row>
    <row r="180" spans="1:3" ht="14.25" x14ac:dyDescent="0.2">
      <c r="A180" s="21"/>
      <c r="B180" s="21"/>
      <c r="C180" s="21"/>
    </row>
    <row r="181" spans="1:3" ht="14.25" x14ac:dyDescent="0.2">
      <c r="A181" s="21"/>
      <c r="B181" s="21"/>
      <c r="C181" s="21"/>
    </row>
    <row r="182" spans="1:3" ht="14.25" x14ac:dyDescent="0.2">
      <c r="A182" s="21"/>
      <c r="B182" s="21"/>
      <c r="C182" s="21"/>
    </row>
    <row r="183" spans="1:3" ht="14.25" x14ac:dyDescent="0.2">
      <c r="A183" s="21"/>
      <c r="B183" s="21"/>
      <c r="C183" s="21"/>
    </row>
    <row r="184" spans="1:3" ht="14.25" x14ac:dyDescent="0.2">
      <c r="A184" s="21"/>
      <c r="B184" s="21"/>
      <c r="C184" s="21"/>
    </row>
    <row r="185" spans="1:3" ht="14.25" x14ac:dyDescent="0.2">
      <c r="A185" s="21"/>
      <c r="B185" s="21"/>
      <c r="C185" s="21"/>
    </row>
    <row r="186" spans="1:3" ht="14.25" x14ac:dyDescent="0.2">
      <c r="A186" s="21"/>
      <c r="B186" s="21"/>
      <c r="C186" s="21"/>
    </row>
  </sheetData>
  <mergeCells count="7">
    <mergeCell ref="E1:E2"/>
    <mergeCell ref="D1:D2"/>
    <mergeCell ref="A44:B44"/>
    <mergeCell ref="A63:B63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0" fitToHeight="0" orientation="portrait" horizontalDpi="4294967294" r:id="rId1"/>
  <headerFooter alignWithMargins="0">
    <oddHeader>&amp;C&amp;"Garamond,Félkövér"&amp;14 8/2018. ( VI.28.  )  számú költségvetési rendelethez
&amp;12ZALAKAROS VÁROS ÖNKORMÁNYZATA ÉS KÖLTSÉGVETÉSI SZERVEI
BEVÉTELI ÉS KIADÁSI ELŐIRÁNYZATAINAK ÖSSZESÍTŐJE ROVATONKÉNT   
2018. ÉVBEN&amp;14
&amp;R&amp;A
&amp;P.oldal
forintban</oddHead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68"/>
  <sheetViews>
    <sheetView view="pageBreakPreview" topLeftCell="A25" zoomScale="80" zoomScaleNormal="100" zoomScaleSheetLayoutView="80" workbookViewId="0">
      <selection activeCell="D67" sqref="D67"/>
    </sheetView>
  </sheetViews>
  <sheetFormatPr defaultRowHeight="12.75" x14ac:dyDescent="0.2"/>
  <cols>
    <col min="1" max="1" width="6.140625" style="14" customWidth="1"/>
    <col min="2" max="2" width="59.28515625" style="14" customWidth="1"/>
    <col min="3" max="4" width="14.28515625" style="14" customWidth="1"/>
    <col min="5" max="5" width="14.140625" style="14" customWidth="1"/>
    <col min="6" max="6" width="13.42578125" style="14" customWidth="1"/>
    <col min="7" max="7" width="9.7109375" style="14" customWidth="1"/>
    <col min="8" max="16384" width="9.140625" style="14"/>
  </cols>
  <sheetData>
    <row r="2" spans="1:8" ht="15" customHeight="1" x14ac:dyDescent="0.2">
      <c r="A2" s="676" t="s">
        <v>61</v>
      </c>
      <c r="B2" s="688" t="s">
        <v>14</v>
      </c>
      <c r="C2" s="691" t="s">
        <v>699</v>
      </c>
      <c r="D2" s="691" t="s">
        <v>784</v>
      </c>
      <c r="E2" s="691" t="s">
        <v>401</v>
      </c>
      <c r="F2" s="691" t="s">
        <v>688</v>
      </c>
      <c r="G2" s="676" t="s">
        <v>700</v>
      </c>
    </row>
    <row r="3" spans="1:8" ht="15" customHeight="1" x14ac:dyDescent="0.2">
      <c r="A3" s="676"/>
      <c r="B3" s="688"/>
      <c r="C3" s="692"/>
      <c r="D3" s="692"/>
      <c r="E3" s="692"/>
      <c r="F3" s="692"/>
      <c r="G3" s="676"/>
    </row>
    <row r="4" spans="1:8" ht="15" customHeight="1" x14ac:dyDescent="0.2">
      <c r="A4" s="676"/>
      <c r="B4" s="688"/>
      <c r="C4" s="692"/>
      <c r="D4" s="692"/>
      <c r="E4" s="692"/>
      <c r="F4" s="692"/>
      <c r="G4" s="676"/>
    </row>
    <row r="5" spans="1:8" ht="15" customHeight="1" x14ac:dyDescent="0.2">
      <c r="A5" s="676"/>
      <c r="B5" s="688"/>
      <c r="C5" s="693"/>
      <c r="D5" s="693"/>
      <c r="E5" s="693"/>
      <c r="F5" s="693"/>
      <c r="G5" s="676"/>
    </row>
    <row r="6" spans="1:8" ht="15" x14ac:dyDescent="0.25">
      <c r="A6" s="16"/>
      <c r="B6" s="70" t="s">
        <v>72</v>
      </c>
      <c r="C6" s="16"/>
      <c r="D6" s="16"/>
      <c r="E6" s="16"/>
      <c r="F6" s="16"/>
      <c r="G6" s="16"/>
    </row>
    <row r="7" spans="1:8" ht="15.75" x14ac:dyDescent="0.25">
      <c r="A7" s="71" t="s">
        <v>37</v>
      </c>
      <c r="B7" s="79" t="s">
        <v>73</v>
      </c>
      <c r="C7" s="16"/>
      <c r="D7" s="16"/>
      <c r="E7" s="16"/>
      <c r="F7" s="16"/>
      <c r="G7" s="16"/>
    </row>
    <row r="8" spans="1:8" ht="15" x14ac:dyDescent="0.25">
      <c r="A8" s="71"/>
      <c r="B8" s="70" t="s">
        <v>92</v>
      </c>
      <c r="C8" s="16"/>
      <c r="D8" s="16"/>
      <c r="E8" s="16"/>
      <c r="F8" s="16"/>
      <c r="G8" s="16"/>
    </row>
    <row r="9" spans="1:8" ht="15" x14ac:dyDescent="0.2">
      <c r="A9" s="317" t="s">
        <v>2</v>
      </c>
      <c r="B9" s="61" t="s">
        <v>747</v>
      </c>
      <c r="C9" s="226">
        <v>5000000</v>
      </c>
      <c r="D9" s="226">
        <v>5000000</v>
      </c>
      <c r="E9" s="226"/>
      <c r="F9" s="226"/>
      <c r="G9" s="226"/>
      <c r="H9" s="14">
        <v>66020</v>
      </c>
    </row>
    <row r="10" spans="1:8" ht="15" x14ac:dyDescent="0.2">
      <c r="A10" s="317" t="s">
        <v>4</v>
      </c>
      <c r="B10" s="61" t="s">
        <v>752</v>
      </c>
      <c r="C10" s="226">
        <v>2000000</v>
      </c>
      <c r="D10" s="226">
        <v>2000000</v>
      </c>
      <c r="E10" s="226"/>
      <c r="F10" s="226"/>
      <c r="G10" s="226"/>
      <c r="H10" s="14">
        <v>66020</v>
      </c>
    </row>
    <row r="11" spans="1:8" ht="15" x14ac:dyDescent="0.2">
      <c r="A11" s="317" t="s">
        <v>5</v>
      </c>
      <c r="B11" s="61" t="s">
        <v>680</v>
      </c>
      <c r="C11" s="65">
        <v>700000</v>
      </c>
      <c r="D11" s="65">
        <v>700000</v>
      </c>
      <c r="E11" s="50"/>
      <c r="F11" s="226"/>
      <c r="G11" s="226"/>
      <c r="H11" s="14">
        <v>51030</v>
      </c>
    </row>
    <row r="12" spans="1:8" ht="15" x14ac:dyDescent="0.2">
      <c r="A12" s="317" t="s">
        <v>6</v>
      </c>
      <c r="B12" s="61" t="s">
        <v>709</v>
      </c>
      <c r="C12" s="228">
        <v>1905000</v>
      </c>
      <c r="D12" s="228">
        <v>1905000</v>
      </c>
      <c r="E12" s="50"/>
      <c r="F12" s="226"/>
      <c r="G12" s="226"/>
      <c r="H12" s="14">
        <v>66010</v>
      </c>
    </row>
    <row r="13" spans="1:8" ht="15" x14ac:dyDescent="0.2">
      <c r="A13" s="317" t="s">
        <v>8</v>
      </c>
      <c r="B13" s="61" t="s">
        <v>710</v>
      </c>
      <c r="C13" s="65">
        <v>500000</v>
      </c>
      <c r="D13" s="65">
        <v>500000</v>
      </c>
      <c r="E13" s="50"/>
      <c r="F13" s="226"/>
      <c r="G13" s="226"/>
      <c r="H13" s="14">
        <v>13350</v>
      </c>
    </row>
    <row r="14" spans="1:8" ht="15" x14ac:dyDescent="0.2">
      <c r="A14" s="317" t="s">
        <v>22</v>
      </c>
      <c r="B14" s="61" t="s">
        <v>711</v>
      </c>
      <c r="C14" s="228">
        <v>203646900</v>
      </c>
      <c r="D14" s="228">
        <f>C14-47879000+14404534-5192500+3923360</f>
        <v>168903294</v>
      </c>
      <c r="E14" s="50">
        <v>16178696</v>
      </c>
      <c r="F14" s="226"/>
      <c r="G14" s="226"/>
      <c r="H14" s="14">
        <v>45160</v>
      </c>
    </row>
    <row r="15" spans="1:8" ht="15" x14ac:dyDescent="0.2">
      <c r="A15" s="317" t="s">
        <v>17</v>
      </c>
      <c r="B15" s="61" t="s">
        <v>712</v>
      </c>
      <c r="C15" s="228">
        <v>92203675</v>
      </c>
      <c r="D15" s="228">
        <v>92203675</v>
      </c>
      <c r="E15" s="50">
        <v>267377</v>
      </c>
      <c r="F15" s="226"/>
      <c r="G15" s="226"/>
      <c r="H15" s="14">
        <v>66020</v>
      </c>
    </row>
    <row r="16" spans="1:8" ht="15" x14ac:dyDescent="0.2">
      <c r="A16" s="317" t="s">
        <v>23</v>
      </c>
      <c r="B16" s="61" t="s">
        <v>713</v>
      </c>
      <c r="C16" s="228">
        <v>42545522</v>
      </c>
      <c r="D16" s="228">
        <v>42545522</v>
      </c>
      <c r="E16" s="50"/>
      <c r="F16" s="226"/>
      <c r="G16" s="226"/>
      <c r="H16" s="14">
        <v>13350</v>
      </c>
    </row>
    <row r="17" spans="1:8" ht="15" x14ac:dyDescent="0.2">
      <c r="A17" s="317" t="s">
        <v>290</v>
      </c>
      <c r="B17" s="61" t="s">
        <v>714</v>
      </c>
      <c r="C17" s="228">
        <v>3000000</v>
      </c>
      <c r="D17" s="228">
        <v>3000000</v>
      </c>
      <c r="E17" s="50"/>
      <c r="F17" s="226"/>
      <c r="G17" s="226"/>
      <c r="H17" s="14">
        <v>13350</v>
      </c>
    </row>
    <row r="18" spans="1:8" ht="15" x14ac:dyDescent="0.2">
      <c r="A18" s="317" t="s">
        <v>18</v>
      </c>
      <c r="B18" s="61" t="s">
        <v>716</v>
      </c>
      <c r="C18" s="228">
        <v>308120148</v>
      </c>
      <c r="D18" s="228">
        <f>308120148+1498600</f>
        <v>309618748</v>
      </c>
      <c r="E18" s="50">
        <v>467201222</v>
      </c>
      <c r="F18" s="226">
        <v>38421000</v>
      </c>
      <c r="G18" s="226"/>
      <c r="H18" s="14">
        <v>13350</v>
      </c>
    </row>
    <row r="19" spans="1:8" ht="15" x14ac:dyDescent="0.2">
      <c r="A19" s="317" t="s">
        <v>178</v>
      </c>
      <c r="B19" s="61" t="s">
        <v>717</v>
      </c>
      <c r="C19" s="65">
        <v>4000000</v>
      </c>
      <c r="D19" s="65">
        <v>4000000</v>
      </c>
      <c r="E19" s="50"/>
      <c r="F19" s="226"/>
      <c r="G19" s="226"/>
      <c r="H19" s="14">
        <v>45160</v>
      </c>
    </row>
    <row r="20" spans="1:8" ht="15" x14ac:dyDescent="0.2">
      <c r="A20" s="317" t="s">
        <v>38</v>
      </c>
      <c r="B20" s="61" t="s">
        <v>718</v>
      </c>
      <c r="C20" s="65">
        <v>3556000</v>
      </c>
      <c r="D20" s="65">
        <v>3556000</v>
      </c>
      <c r="E20" s="50"/>
      <c r="F20" s="226"/>
      <c r="G20" s="226"/>
      <c r="H20" s="14">
        <v>66020</v>
      </c>
    </row>
    <row r="21" spans="1:8" ht="15" x14ac:dyDescent="0.2">
      <c r="A21" s="317" t="s">
        <v>326</v>
      </c>
      <c r="B21" s="61" t="s">
        <v>719</v>
      </c>
      <c r="C21" s="65">
        <v>2100000</v>
      </c>
      <c r="D21" s="65">
        <v>2100000</v>
      </c>
      <c r="E21" s="50"/>
      <c r="F21" s="226"/>
      <c r="G21" s="226"/>
      <c r="H21" s="14">
        <v>45160</v>
      </c>
    </row>
    <row r="22" spans="1:8" ht="15" x14ac:dyDescent="0.2">
      <c r="A22" s="317" t="s">
        <v>327</v>
      </c>
      <c r="B22" s="61" t="s">
        <v>720</v>
      </c>
      <c r="C22" s="65">
        <v>1000000</v>
      </c>
      <c r="D22" s="65">
        <v>1000000</v>
      </c>
      <c r="E22" s="50"/>
      <c r="F22" s="226"/>
      <c r="G22" s="226"/>
      <c r="H22" s="14">
        <v>45160</v>
      </c>
    </row>
    <row r="23" spans="1:8" ht="15" x14ac:dyDescent="0.2">
      <c r="A23" s="317" t="s">
        <v>328</v>
      </c>
      <c r="B23" s="61" t="s">
        <v>722</v>
      </c>
      <c r="C23" s="228">
        <v>27022470</v>
      </c>
      <c r="D23" s="228">
        <f>C23+453308</f>
        <v>27475778</v>
      </c>
      <c r="E23" s="50"/>
      <c r="F23" s="226"/>
      <c r="G23" s="226"/>
      <c r="H23" s="14">
        <v>63080</v>
      </c>
    </row>
    <row r="24" spans="1:8" ht="15" x14ac:dyDescent="0.2">
      <c r="A24" s="317" t="s">
        <v>248</v>
      </c>
      <c r="B24" s="61" t="s">
        <v>778</v>
      </c>
      <c r="C24" s="228">
        <v>3284000</v>
      </c>
      <c r="D24" s="228">
        <v>3284000</v>
      </c>
      <c r="E24" s="50"/>
      <c r="F24" s="226"/>
      <c r="G24" s="226"/>
    </row>
    <row r="25" spans="1:8" ht="15" x14ac:dyDescent="0.2">
      <c r="A25" s="317" t="s">
        <v>352</v>
      </c>
      <c r="B25" s="61" t="s">
        <v>777</v>
      </c>
      <c r="C25" s="228">
        <v>5898630</v>
      </c>
      <c r="D25" s="228">
        <v>5898630</v>
      </c>
      <c r="E25" s="50"/>
      <c r="F25" s="226"/>
      <c r="G25" s="226"/>
    </row>
    <row r="26" spans="1:8" ht="15" x14ac:dyDescent="0.2">
      <c r="A26" s="317" t="s">
        <v>353</v>
      </c>
      <c r="B26" s="61" t="s">
        <v>755</v>
      </c>
      <c r="C26" s="335">
        <v>21000000</v>
      </c>
      <c r="D26" s="335">
        <v>21000000</v>
      </c>
      <c r="E26" s="50">
        <v>60000000</v>
      </c>
      <c r="F26" s="226"/>
      <c r="G26" s="226"/>
      <c r="H26" s="14">
        <v>51</v>
      </c>
    </row>
    <row r="27" spans="1:8" ht="15" x14ac:dyDescent="0.2">
      <c r="A27" s="317" t="s">
        <v>910</v>
      </c>
      <c r="B27" s="61" t="s">
        <v>914</v>
      </c>
      <c r="C27" s="335"/>
      <c r="D27" s="335">
        <v>360000</v>
      </c>
      <c r="E27" s="50"/>
      <c r="F27" s="226"/>
      <c r="G27" s="226"/>
    </row>
    <row r="28" spans="1:8" ht="15" x14ac:dyDescent="0.2">
      <c r="A28" s="317" t="s">
        <v>911</v>
      </c>
      <c r="B28" s="61" t="s">
        <v>915</v>
      </c>
      <c r="C28" s="335"/>
      <c r="D28" s="335">
        <v>20648295</v>
      </c>
      <c r="E28" s="50"/>
      <c r="F28" s="226"/>
      <c r="G28" s="226"/>
    </row>
    <row r="29" spans="1:8" ht="15" x14ac:dyDescent="0.2">
      <c r="A29" s="317" t="s">
        <v>912</v>
      </c>
      <c r="B29" s="61" t="s">
        <v>916</v>
      </c>
      <c r="C29" s="335"/>
      <c r="D29" s="335">
        <v>1022350</v>
      </c>
      <c r="E29" s="50"/>
      <c r="F29" s="226"/>
      <c r="G29" s="226"/>
    </row>
    <row r="30" spans="1:8" ht="15" x14ac:dyDescent="0.2">
      <c r="A30" s="317" t="s">
        <v>913</v>
      </c>
      <c r="B30" s="61" t="s">
        <v>917</v>
      </c>
      <c r="C30" s="335"/>
      <c r="D30" s="335">
        <v>236370</v>
      </c>
      <c r="E30" s="50"/>
      <c r="F30" s="226"/>
      <c r="G30" s="226"/>
    </row>
    <row r="31" spans="1:8" ht="15.75" x14ac:dyDescent="0.25">
      <c r="A31" s="689" t="s">
        <v>93</v>
      </c>
      <c r="B31" s="690"/>
      <c r="C31" s="221">
        <f>SUM(C9:C26)</f>
        <v>727482345</v>
      </c>
      <c r="D31" s="221">
        <f>SUM(D9:D30)</f>
        <v>716957662</v>
      </c>
      <c r="E31" s="221">
        <f>SUM(E9:E26)</f>
        <v>543647295</v>
      </c>
      <c r="F31" s="221">
        <f>SUM(F9:F26)</f>
        <v>38421000</v>
      </c>
      <c r="G31" s="221">
        <f>SUM(G9:G26)</f>
        <v>0</v>
      </c>
    </row>
    <row r="32" spans="1:8" ht="15" customHeight="1" x14ac:dyDescent="0.25">
      <c r="A32" s="140"/>
      <c r="B32" s="78" t="s">
        <v>96</v>
      </c>
      <c r="C32" s="50"/>
      <c r="D32" s="50"/>
      <c r="E32" s="15"/>
      <c r="F32" s="227"/>
      <c r="G32" s="227"/>
    </row>
    <row r="33" spans="1:7" ht="20.100000000000001" customHeight="1" x14ac:dyDescent="0.2">
      <c r="A33" s="140" t="s">
        <v>2</v>
      </c>
      <c r="B33" s="61" t="s">
        <v>724</v>
      </c>
      <c r="C33" s="50">
        <v>500000</v>
      </c>
      <c r="D33" s="50">
        <v>500000</v>
      </c>
      <c r="E33" s="15"/>
      <c r="F33" s="226"/>
      <c r="G33" s="226"/>
    </row>
    <row r="34" spans="1:7" ht="15" x14ac:dyDescent="0.2">
      <c r="A34" s="140" t="s">
        <v>4</v>
      </c>
      <c r="B34" s="61" t="s">
        <v>402</v>
      </c>
      <c r="C34" s="50">
        <v>300000</v>
      </c>
      <c r="D34" s="50">
        <v>300000</v>
      </c>
      <c r="E34" s="15"/>
      <c r="F34" s="226"/>
      <c r="G34" s="226"/>
    </row>
    <row r="35" spans="1:7" ht="15" x14ac:dyDescent="0.2">
      <c r="A35" s="140" t="s">
        <v>5</v>
      </c>
      <c r="B35" s="61" t="s">
        <v>725</v>
      </c>
      <c r="C35" s="50">
        <v>200000</v>
      </c>
      <c r="D35" s="50">
        <v>200000</v>
      </c>
      <c r="E35" s="15"/>
      <c r="F35" s="226"/>
      <c r="G35" s="226"/>
    </row>
    <row r="36" spans="1:7" ht="15.75" x14ac:dyDescent="0.25">
      <c r="A36" s="140"/>
      <c r="B36" s="316" t="s">
        <v>291</v>
      </c>
      <c r="C36" s="220">
        <f t="shared" ref="C36:G36" si="0">SUM(C33:C35)</f>
        <v>1000000</v>
      </c>
      <c r="D36" s="220">
        <f t="shared" ref="D36" si="1">SUM(D33:D35)</f>
        <v>1000000</v>
      </c>
      <c r="E36" s="220">
        <f t="shared" si="0"/>
        <v>0</v>
      </c>
      <c r="F36" s="220">
        <f t="shared" ref="F36" si="2">SUM(F33:F35)</f>
        <v>0</v>
      </c>
      <c r="G36" s="220">
        <f t="shared" si="0"/>
        <v>0</v>
      </c>
    </row>
    <row r="37" spans="1:7" ht="15.75" x14ac:dyDescent="0.25">
      <c r="A37" s="140"/>
      <c r="B37" s="78" t="s">
        <v>403</v>
      </c>
      <c r="C37" s="229"/>
      <c r="D37" s="229"/>
      <c r="E37" s="226"/>
      <c r="F37" s="226"/>
      <c r="G37" s="226"/>
    </row>
    <row r="38" spans="1:7" ht="15" x14ac:dyDescent="0.2">
      <c r="A38" s="140" t="s">
        <v>2</v>
      </c>
      <c r="B38" s="138" t="s">
        <v>681</v>
      </c>
      <c r="C38" s="226">
        <v>1000000</v>
      </c>
      <c r="D38" s="226">
        <v>1000000</v>
      </c>
      <c r="E38" s="226"/>
      <c r="F38" s="226"/>
      <c r="G38" s="226"/>
    </row>
    <row r="39" spans="1:7" ht="15" x14ac:dyDescent="0.2">
      <c r="A39" s="140" t="s">
        <v>4</v>
      </c>
      <c r="B39" s="138" t="s">
        <v>730</v>
      </c>
      <c r="C39" s="226">
        <v>150000</v>
      </c>
      <c r="D39" s="226">
        <v>150000</v>
      </c>
      <c r="E39" s="226"/>
      <c r="F39" s="226"/>
      <c r="G39" s="226"/>
    </row>
    <row r="40" spans="1:7" ht="15" x14ac:dyDescent="0.2">
      <c r="A40" s="140" t="s">
        <v>5</v>
      </c>
      <c r="B40" s="138" t="s">
        <v>731</v>
      </c>
      <c r="C40" s="226">
        <v>250000</v>
      </c>
      <c r="D40" s="226">
        <v>250000</v>
      </c>
      <c r="E40" s="226"/>
      <c r="F40" s="226"/>
      <c r="G40" s="226"/>
    </row>
    <row r="41" spans="1:7" ht="15" x14ac:dyDescent="0.2">
      <c r="A41" s="140" t="s">
        <v>6</v>
      </c>
      <c r="B41" s="138" t="s">
        <v>732</v>
      </c>
      <c r="C41" s="226">
        <v>150000</v>
      </c>
      <c r="D41" s="226">
        <v>150000</v>
      </c>
      <c r="E41" s="226"/>
      <c r="F41" s="226"/>
      <c r="G41" s="226"/>
    </row>
    <row r="42" spans="1:7" ht="15" x14ac:dyDescent="0.2">
      <c r="A42" s="140" t="s">
        <v>8</v>
      </c>
      <c r="B42" s="138" t="s">
        <v>733</v>
      </c>
      <c r="C42" s="226">
        <v>150000</v>
      </c>
      <c r="D42" s="226">
        <v>150000</v>
      </c>
      <c r="E42" s="226"/>
      <c r="F42" s="226"/>
      <c r="G42" s="226"/>
    </row>
    <row r="43" spans="1:7" ht="15" x14ac:dyDescent="0.2">
      <c r="A43" s="140" t="s">
        <v>22</v>
      </c>
      <c r="B43" s="138" t="s">
        <v>734</v>
      </c>
      <c r="C43" s="226">
        <v>70000</v>
      </c>
      <c r="D43" s="226">
        <v>70000</v>
      </c>
      <c r="E43" s="226"/>
      <c r="F43" s="226"/>
      <c r="G43" s="226"/>
    </row>
    <row r="44" spans="1:7" ht="15" x14ac:dyDescent="0.2">
      <c r="A44" s="140" t="s">
        <v>17</v>
      </c>
      <c r="B44" s="138" t="s">
        <v>735</v>
      </c>
      <c r="C44" s="226">
        <v>150000</v>
      </c>
      <c r="D44" s="226">
        <v>150000</v>
      </c>
      <c r="E44" s="226"/>
      <c r="F44" s="226"/>
      <c r="G44" s="226"/>
    </row>
    <row r="45" spans="1:7" ht="15" x14ac:dyDescent="0.2">
      <c r="A45" s="140" t="s">
        <v>23</v>
      </c>
      <c r="B45" s="138" t="s">
        <v>736</v>
      </c>
      <c r="C45" s="226">
        <v>100000</v>
      </c>
      <c r="D45" s="226">
        <v>100000</v>
      </c>
      <c r="E45" s="226"/>
      <c r="F45" s="226"/>
      <c r="G45" s="226"/>
    </row>
    <row r="46" spans="1:7" ht="15" x14ac:dyDescent="0.2">
      <c r="A46" s="140" t="s">
        <v>290</v>
      </c>
      <c r="B46" s="138" t="s">
        <v>737</v>
      </c>
      <c r="C46" s="226">
        <v>180000</v>
      </c>
      <c r="D46" s="226">
        <v>180000</v>
      </c>
      <c r="E46" s="226"/>
      <c r="F46" s="226"/>
      <c r="G46" s="226"/>
    </row>
    <row r="47" spans="1:7" ht="15.75" x14ac:dyDescent="0.25">
      <c r="A47" s="318"/>
      <c r="B47" s="315" t="s">
        <v>641</v>
      </c>
      <c r="C47" s="314">
        <f>SUM(C38:C46)</f>
        <v>2200000</v>
      </c>
      <c r="D47" s="314">
        <f>SUM(D38:D46)</f>
        <v>2200000</v>
      </c>
      <c r="E47" s="314">
        <f t="shared" ref="E47:G47" si="3">SUM(E38:E46)</f>
        <v>0</v>
      </c>
      <c r="F47" s="314">
        <f t="shared" si="3"/>
        <v>0</v>
      </c>
      <c r="G47" s="314">
        <f t="shared" si="3"/>
        <v>0</v>
      </c>
    </row>
    <row r="48" spans="1:7" ht="15.75" x14ac:dyDescent="0.25">
      <c r="A48" s="71"/>
      <c r="B48" s="78" t="s">
        <v>390</v>
      </c>
      <c r="C48" s="229"/>
      <c r="D48" s="229"/>
      <c r="E48" s="15"/>
      <c r="F48" s="226"/>
      <c r="G48" s="226"/>
    </row>
    <row r="49" spans="1:8" ht="15" x14ac:dyDescent="0.2">
      <c r="A49" s="140" t="s">
        <v>2</v>
      </c>
      <c r="B49" s="138" t="s">
        <v>726</v>
      </c>
      <c r="C49" s="472">
        <v>19963948</v>
      </c>
      <c r="D49" s="472">
        <v>19963948</v>
      </c>
      <c r="E49" s="15"/>
      <c r="F49" s="226"/>
      <c r="G49" s="226"/>
    </row>
    <row r="50" spans="1:8" ht="15" x14ac:dyDescent="0.2">
      <c r="A50" s="140" t="s">
        <v>4</v>
      </c>
      <c r="B50" s="138" t="s">
        <v>738</v>
      </c>
      <c r="C50" s="226">
        <v>300000</v>
      </c>
      <c r="D50" s="226">
        <v>300000</v>
      </c>
      <c r="E50" s="15"/>
      <c r="F50" s="226"/>
      <c r="G50" s="226"/>
    </row>
    <row r="51" spans="1:8" ht="15" x14ac:dyDescent="0.2">
      <c r="A51" s="140" t="s">
        <v>5</v>
      </c>
      <c r="B51" s="138" t="s">
        <v>739</v>
      </c>
      <c r="C51" s="226">
        <v>250000</v>
      </c>
      <c r="D51" s="226">
        <v>250000</v>
      </c>
      <c r="E51" s="15"/>
      <c r="F51" s="226"/>
      <c r="G51" s="226"/>
    </row>
    <row r="52" spans="1:8" ht="15" x14ac:dyDescent="0.2">
      <c r="A52" s="140" t="s">
        <v>6</v>
      </c>
      <c r="B52" s="138" t="s">
        <v>740</v>
      </c>
      <c r="C52" s="226">
        <v>80000</v>
      </c>
      <c r="D52" s="226">
        <v>80000</v>
      </c>
      <c r="E52" s="15"/>
      <c r="F52" s="226"/>
      <c r="G52" s="226"/>
    </row>
    <row r="53" spans="1:8" ht="15" x14ac:dyDescent="0.2">
      <c r="A53" s="140" t="s">
        <v>8</v>
      </c>
      <c r="B53" s="138" t="s">
        <v>741</v>
      </c>
      <c r="C53" s="226">
        <v>300000</v>
      </c>
      <c r="D53" s="226">
        <v>300000</v>
      </c>
      <c r="E53" s="15"/>
      <c r="F53" s="226"/>
      <c r="G53" s="226"/>
    </row>
    <row r="54" spans="1:8" ht="15" x14ac:dyDescent="0.2">
      <c r="A54" s="140" t="s">
        <v>22</v>
      </c>
      <c r="B54" s="138" t="s">
        <v>742</v>
      </c>
      <c r="C54" s="226">
        <v>100000</v>
      </c>
      <c r="D54" s="226">
        <v>100000</v>
      </c>
      <c r="E54" s="15"/>
      <c r="F54" s="226"/>
      <c r="G54" s="226"/>
    </row>
    <row r="55" spans="1:8" ht="15" x14ac:dyDescent="0.2">
      <c r="A55" s="140" t="s">
        <v>17</v>
      </c>
      <c r="B55" s="138" t="s">
        <v>743</v>
      </c>
      <c r="C55" s="226">
        <v>180000</v>
      </c>
      <c r="D55" s="226">
        <v>180000</v>
      </c>
      <c r="E55" s="15"/>
      <c r="F55" s="226"/>
      <c r="G55" s="226"/>
    </row>
    <row r="56" spans="1:8" ht="15" x14ac:dyDescent="0.2">
      <c r="A56" s="140" t="s">
        <v>23</v>
      </c>
      <c r="B56" s="138" t="s">
        <v>744</v>
      </c>
      <c r="C56" s="226">
        <v>90000</v>
      </c>
      <c r="D56" s="226">
        <v>90000</v>
      </c>
      <c r="E56" s="15"/>
      <c r="F56" s="226"/>
      <c r="G56" s="226"/>
    </row>
    <row r="57" spans="1:8" ht="15" x14ac:dyDescent="0.2">
      <c r="A57" s="140" t="s">
        <v>290</v>
      </c>
      <c r="B57" s="138" t="s">
        <v>918</v>
      </c>
      <c r="C57" s="226"/>
      <c r="D57" s="226">
        <v>1796155</v>
      </c>
      <c r="E57" s="15"/>
      <c r="F57" s="226"/>
      <c r="G57" s="226"/>
    </row>
    <row r="58" spans="1:8" ht="15.75" x14ac:dyDescent="0.25">
      <c r="A58" s="140"/>
      <c r="B58" s="315" t="s">
        <v>642</v>
      </c>
      <c r="C58" s="314">
        <f>SUM(C49:C56)</f>
        <v>21263948</v>
      </c>
      <c r="D58" s="314">
        <f>SUM(D49:D57)</f>
        <v>23060103</v>
      </c>
      <c r="E58" s="314">
        <f>SUM(E49:E56)</f>
        <v>0</v>
      </c>
      <c r="F58" s="314">
        <f>SUM(F49:F56)</f>
        <v>0</v>
      </c>
      <c r="G58" s="314">
        <f>SUM(G49:G56)</f>
        <v>0</v>
      </c>
    </row>
    <row r="59" spans="1:8" ht="15.75" x14ac:dyDescent="0.25">
      <c r="A59" s="321"/>
      <c r="B59" s="316" t="s">
        <v>78</v>
      </c>
      <c r="C59" s="220">
        <f>C31+C36+C47+C58</f>
        <v>751946293</v>
      </c>
      <c r="D59" s="220">
        <f>D31+D36+D47+D58</f>
        <v>743217765</v>
      </c>
      <c r="E59" s="220">
        <f>E31+E36+E47+E58</f>
        <v>543647295</v>
      </c>
      <c r="F59" s="220">
        <f>F31+F36+F47+F58</f>
        <v>38421000</v>
      </c>
      <c r="G59" s="220">
        <f>G31+G36+G47+G58</f>
        <v>0</v>
      </c>
    </row>
    <row r="60" spans="1:8" ht="20.25" customHeight="1" x14ac:dyDescent="0.25">
      <c r="A60" s="71" t="s">
        <v>287</v>
      </c>
      <c r="B60" s="137" t="s">
        <v>101</v>
      </c>
      <c r="C60" s="136"/>
      <c r="D60" s="136"/>
      <c r="E60" s="15"/>
      <c r="F60" s="227"/>
      <c r="G60" s="227"/>
    </row>
    <row r="61" spans="1:8" ht="18" customHeight="1" x14ac:dyDescent="0.25">
      <c r="A61" s="140"/>
      <c r="B61" s="78" t="s">
        <v>288</v>
      </c>
      <c r="C61" s="136"/>
      <c r="D61" s="136"/>
      <c r="E61" s="15"/>
      <c r="F61" s="227"/>
      <c r="G61" s="227"/>
    </row>
    <row r="62" spans="1:8" ht="16.5" customHeight="1" x14ac:dyDescent="0.2">
      <c r="A62" s="140" t="s">
        <v>2</v>
      </c>
      <c r="B62" s="138" t="s">
        <v>753</v>
      </c>
      <c r="C62" s="136">
        <v>3000000</v>
      </c>
      <c r="D62" s="136">
        <v>3000000</v>
      </c>
      <c r="E62" s="15"/>
      <c r="F62" s="227"/>
      <c r="G62" s="227"/>
    </row>
    <row r="63" spans="1:8" ht="16.5" customHeight="1" x14ac:dyDescent="0.2">
      <c r="A63" s="140" t="s">
        <v>4</v>
      </c>
      <c r="B63" s="61" t="s">
        <v>404</v>
      </c>
      <c r="C63" s="429">
        <v>584750</v>
      </c>
      <c r="D63" s="429">
        <v>584750</v>
      </c>
      <c r="E63" s="15"/>
      <c r="F63" s="227"/>
      <c r="G63" s="227"/>
    </row>
    <row r="64" spans="1:8" ht="16.5" customHeight="1" x14ac:dyDescent="0.2">
      <c r="A64" s="140" t="s">
        <v>5</v>
      </c>
      <c r="B64" s="61" t="s">
        <v>683</v>
      </c>
      <c r="C64" s="136">
        <v>6000000</v>
      </c>
      <c r="D64" s="136">
        <v>6000000</v>
      </c>
      <c r="E64" s="15"/>
      <c r="F64" s="227"/>
      <c r="G64" s="227"/>
      <c r="H64" s="14">
        <v>13350</v>
      </c>
    </row>
    <row r="65" spans="1:8" ht="15" x14ac:dyDescent="0.2">
      <c r="A65" s="140" t="s">
        <v>6</v>
      </c>
      <c r="B65" s="61" t="s">
        <v>715</v>
      </c>
      <c r="C65" s="473">
        <v>14258926</v>
      </c>
      <c r="D65" s="473">
        <f>14258926+3075915</f>
        <v>17334841</v>
      </c>
      <c r="E65" s="15"/>
      <c r="F65" s="227"/>
      <c r="G65" s="227"/>
      <c r="H65" s="14">
        <v>45160</v>
      </c>
    </row>
    <row r="66" spans="1:8" ht="15" x14ac:dyDescent="0.2">
      <c r="A66" s="140" t="s">
        <v>8</v>
      </c>
      <c r="B66" s="61" t="s">
        <v>721</v>
      </c>
      <c r="C66" s="136">
        <v>9000000</v>
      </c>
      <c r="D66" s="136">
        <v>9000000</v>
      </c>
      <c r="E66" s="15"/>
      <c r="F66" s="227"/>
      <c r="G66" s="227"/>
      <c r="H66" s="14">
        <v>13350</v>
      </c>
    </row>
    <row r="67" spans="1:8" ht="20.100000000000001" customHeight="1" x14ac:dyDescent="0.25">
      <c r="A67" s="322"/>
      <c r="B67" s="316" t="s">
        <v>293</v>
      </c>
      <c r="C67" s="220">
        <f>SUM(C62:C66)</f>
        <v>32843676</v>
      </c>
      <c r="D67" s="220">
        <f>SUM(D62:D66)</f>
        <v>35919591</v>
      </c>
      <c r="E67" s="220">
        <f>SUM(E62:E66)</f>
        <v>0</v>
      </c>
      <c r="F67" s="220">
        <f>SUM(F62:F66)</f>
        <v>0</v>
      </c>
      <c r="G67" s="220">
        <f>SUM(G62:G66)</f>
        <v>0</v>
      </c>
    </row>
    <row r="68" spans="1:8" ht="16.5" customHeight="1" x14ac:dyDescent="0.25">
      <c r="A68" s="322"/>
      <c r="B68" s="316" t="s">
        <v>292</v>
      </c>
      <c r="C68" s="220">
        <f>C59+C67</f>
        <v>784789969</v>
      </c>
      <c r="D68" s="220">
        <f>D59+D67</f>
        <v>779137356</v>
      </c>
      <c r="E68" s="220">
        <f>E59+E67</f>
        <v>543647295</v>
      </c>
      <c r="F68" s="220">
        <f>F59+F67</f>
        <v>38421000</v>
      </c>
      <c r="G68" s="220">
        <f>G59+G67</f>
        <v>0</v>
      </c>
    </row>
  </sheetData>
  <mergeCells count="8">
    <mergeCell ref="G2:G5"/>
    <mergeCell ref="B2:B5"/>
    <mergeCell ref="A31:B31"/>
    <mergeCell ref="A2:A5"/>
    <mergeCell ref="C2:C5"/>
    <mergeCell ref="E2:E5"/>
    <mergeCell ref="F2:F5"/>
    <mergeCell ref="D2:D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69" fitToHeight="0" orientation="portrait" horizontalDpi="4294967294" r:id="rId1"/>
  <headerFooter alignWithMargins="0">
    <oddHeader xml:space="preserve">&amp;C&amp;"Arial CE,Félkövér"8/2018. ( VI.28.  )   számú költségvetési rendelethez 
ZALAKAROS VÁROS ÖNKORMÁNYZATÁNAK ÉS KÖLTSÉGVETÉSI SZERVEI 
2018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view="pageBreakPreview" zoomScale="60" zoomScaleNormal="100" workbookViewId="0">
      <selection activeCell="E9" sqref="E9"/>
    </sheetView>
  </sheetViews>
  <sheetFormatPr defaultRowHeight="12.75" x14ac:dyDescent="0.2"/>
  <cols>
    <col min="1" max="1" width="8.7109375" style="8" customWidth="1"/>
    <col min="2" max="2" width="31.42578125" style="8" customWidth="1"/>
    <col min="3" max="3" width="16.28515625" style="8" customWidth="1"/>
    <col min="4" max="4" width="16.140625" style="8" customWidth="1"/>
    <col min="5" max="6" width="15.140625" style="8" customWidth="1"/>
    <col min="7" max="7" width="15.7109375" style="8" customWidth="1"/>
    <col min="8" max="8" width="14.7109375" style="8" customWidth="1"/>
    <col min="9" max="10" width="16.5703125" style="8" customWidth="1"/>
    <col min="11" max="11" width="17.140625" style="8" customWidth="1"/>
    <col min="12" max="16384" width="9.140625" style="8"/>
  </cols>
  <sheetData>
    <row r="1" spans="1:10" ht="24.95" customHeight="1" x14ac:dyDescent="0.25">
      <c r="B1" s="422" t="s">
        <v>762</v>
      </c>
    </row>
    <row r="2" spans="1:10" ht="13.5" thickBot="1" x14ac:dyDescent="0.25">
      <c r="A2" s="7"/>
      <c r="B2" s="7"/>
      <c r="C2" s="7"/>
      <c r="D2" s="7"/>
      <c r="E2" s="694" t="s">
        <v>612</v>
      </c>
      <c r="F2" s="694"/>
      <c r="G2" s="694"/>
      <c r="H2" s="694"/>
      <c r="I2" s="694"/>
      <c r="J2" s="694"/>
    </row>
    <row r="3" spans="1:10" ht="15" customHeight="1" x14ac:dyDescent="0.2">
      <c r="A3" s="695" t="s">
        <v>61</v>
      </c>
      <c r="B3" s="698" t="s">
        <v>94</v>
      </c>
      <c r="C3" s="701" t="s">
        <v>241</v>
      </c>
      <c r="D3" s="702"/>
      <c r="E3" s="702"/>
      <c r="F3" s="703"/>
      <c r="G3" s="701" t="s">
        <v>64</v>
      </c>
      <c r="H3" s="702"/>
      <c r="I3" s="702"/>
      <c r="J3" s="703"/>
    </row>
    <row r="4" spans="1:10" ht="15" customHeight="1" x14ac:dyDescent="0.2">
      <c r="A4" s="696"/>
      <c r="B4" s="699"/>
      <c r="C4" s="704" t="s">
        <v>76</v>
      </c>
      <c r="D4" s="708" t="s">
        <v>304</v>
      </c>
      <c r="E4" s="696" t="s">
        <v>701</v>
      </c>
      <c r="F4" s="710" t="s">
        <v>761</v>
      </c>
      <c r="G4" s="704" t="s">
        <v>13</v>
      </c>
      <c r="H4" s="430" t="s">
        <v>180</v>
      </c>
      <c r="I4" s="696" t="s">
        <v>702</v>
      </c>
      <c r="J4" s="706" t="s">
        <v>761</v>
      </c>
    </row>
    <row r="5" spans="1:10" ht="15" customHeight="1" x14ac:dyDescent="0.2">
      <c r="A5" s="696"/>
      <c r="B5" s="699"/>
      <c r="C5" s="704"/>
      <c r="D5" s="708"/>
      <c r="E5" s="696"/>
      <c r="F5" s="710"/>
      <c r="G5" s="704"/>
      <c r="H5" s="430" t="s">
        <v>179</v>
      </c>
      <c r="I5" s="696"/>
      <c r="J5" s="706"/>
    </row>
    <row r="6" spans="1:10" ht="15" customHeight="1" x14ac:dyDescent="0.2">
      <c r="A6" s="697"/>
      <c r="B6" s="700"/>
      <c r="C6" s="705"/>
      <c r="D6" s="709"/>
      <c r="E6" s="697"/>
      <c r="F6" s="711"/>
      <c r="G6" s="705"/>
      <c r="H6" s="431" t="s">
        <v>181</v>
      </c>
      <c r="I6" s="697"/>
      <c r="J6" s="707"/>
    </row>
    <row r="7" spans="1:10" ht="39.950000000000003" customHeight="1" x14ac:dyDescent="0.2">
      <c r="A7" s="417" t="s">
        <v>2</v>
      </c>
      <c r="B7" s="437" t="s">
        <v>758</v>
      </c>
      <c r="C7" s="439">
        <v>98000000</v>
      </c>
      <c r="D7" s="239"/>
      <c r="E7" s="240">
        <v>90967394</v>
      </c>
      <c r="F7" s="433">
        <v>7032606</v>
      </c>
      <c r="G7" s="432">
        <v>98000000</v>
      </c>
      <c r="H7" s="240">
        <v>4024636</v>
      </c>
      <c r="I7" s="240">
        <v>93707987</v>
      </c>
      <c r="J7" s="433">
        <v>267377</v>
      </c>
    </row>
    <row r="8" spans="1:10" ht="39.950000000000003" customHeight="1" x14ac:dyDescent="0.2">
      <c r="A8" s="417" t="s">
        <v>4</v>
      </c>
      <c r="B8" s="437" t="s">
        <v>759</v>
      </c>
      <c r="C8" s="439">
        <v>233328075</v>
      </c>
      <c r="D8" s="239"/>
      <c r="E8" s="240">
        <v>233328075</v>
      </c>
      <c r="F8" s="433"/>
      <c r="G8" s="432">
        <v>245608500</v>
      </c>
      <c r="H8" s="240">
        <v>1337712</v>
      </c>
      <c r="I8" s="240">
        <v>228092092</v>
      </c>
      <c r="J8" s="433">
        <v>16178696</v>
      </c>
    </row>
    <row r="9" spans="1:10" ht="39.950000000000003" customHeight="1" x14ac:dyDescent="0.2">
      <c r="A9" s="417" t="s">
        <v>5</v>
      </c>
      <c r="B9" s="437" t="s">
        <v>713</v>
      </c>
      <c r="C9" s="439">
        <v>27060917</v>
      </c>
      <c r="D9" s="239"/>
      <c r="E9" s="470">
        <v>27060917</v>
      </c>
      <c r="F9" s="433"/>
      <c r="G9" s="432">
        <v>43216668</v>
      </c>
      <c r="H9" s="240"/>
      <c r="I9" s="240">
        <v>43216668</v>
      </c>
      <c r="J9" s="433"/>
    </row>
    <row r="10" spans="1:10" ht="39.950000000000003" customHeight="1" x14ac:dyDescent="0.2">
      <c r="A10" s="417" t="s">
        <v>6</v>
      </c>
      <c r="B10" s="437" t="s">
        <v>760</v>
      </c>
      <c r="C10" s="439">
        <v>631717500</v>
      </c>
      <c r="D10" s="239"/>
      <c r="E10" s="239">
        <v>250823400</v>
      </c>
      <c r="F10" s="433">
        <v>380894100</v>
      </c>
      <c r="G10" s="432">
        <v>825839370</v>
      </c>
      <c r="H10" s="240">
        <v>8255000</v>
      </c>
      <c r="I10" s="240">
        <v>311962148</v>
      </c>
      <c r="J10" s="471">
        <v>505622222</v>
      </c>
    </row>
    <row r="11" spans="1:10" ht="39.950000000000003" customHeight="1" x14ac:dyDescent="0.2">
      <c r="A11" s="417" t="s">
        <v>8</v>
      </c>
      <c r="B11" s="437" t="s">
        <v>763</v>
      </c>
      <c r="C11" s="439">
        <v>14258924</v>
      </c>
      <c r="D11" s="239"/>
      <c r="E11" s="239">
        <v>14258924</v>
      </c>
      <c r="F11" s="433"/>
      <c r="G11" s="432">
        <v>28517848</v>
      </c>
      <c r="H11" s="240">
        <v>14258924</v>
      </c>
      <c r="I11" s="240">
        <v>14258924</v>
      </c>
      <c r="J11" s="433"/>
    </row>
    <row r="12" spans="1:10" ht="39.950000000000003" customHeight="1" x14ac:dyDescent="0.2">
      <c r="A12" s="417" t="s">
        <v>22</v>
      </c>
      <c r="B12" s="437" t="s">
        <v>764</v>
      </c>
      <c r="C12" s="439">
        <v>19969780</v>
      </c>
      <c r="D12" s="239"/>
      <c r="E12" s="440">
        <v>19969780</v>
      </c>
      <c r="F12" s="433"/>
      <c r="G12" s="439">
        <v>19969780</v>
      </c>
      <c r="H12" s="240"/>
      <c r="I12" s="440">
        <v>19969780</v>
      </c>
      <c r="J12" s="433"/>
    </row>
    <row r="13" spans="1:10" ht="39.950000000000003" customHeight="1" thickBot="1" x14ac:dyDescent="0.3">
      <c r="A13" s="10"/>
      <c r="B13" s="438" t="s">
        <v>81</v>
      </c>
      <c r="C13" s="441">
        <f>SUM(C7:C12)</f>
        <v>1024335196</v>
      </c>
      <c r="D13" s="435"/>
      <c r="E13" s="435">
        <f t="shared" ref="E13:J13" si="0">SUM(E7:E12)</f>
        <v>636408490</v>
      </c>
      <c r="F13" s="436">
        <f t="shared" si="0"/>
        <v>387926706</v>
      </c>
      <c r="G13" s="434">
        <f t="shared" si="0"/>
        <v>1261152166</v>
      </c>
      <c r="H13" s="435">
        <f t="shared" si="0"/>
        <v>27876272</v>
      </c>
      <c r="I13" s="435">
        <f t="shared" si="0"/>
        <v>711207599</v>
      </c>
      <c r="J13" s="436">
        <f t="shared" si="0"/>
        <v>522068295</v>
      </c>
    </row>
    <row r="14" spans="1:10" ht="39.950000000000003" customHeight="1" x14ac:dyDescent="0.2">
      <c r="B14" s="122"/>
      <c r="C14" s="122"/>
      <c r="D14" s="122"/>
      <c r="E14" s="122"/>
      <c r="F14" s="122"/>
      <c r="G14" s="418"/>
      <c r="H14" s="122"/>
    </row>
    <row r="15" spans="1:10" ht="39.950000000000003" customHeight="1" x14ac:dyDescent="0.2"/>
    <row r="46" spans="11:11" x14ac:dyDescent="0.2">
      <c r="K46" s="9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CE,Félkövér"8/2018. ( VI.28. ) számú költségvetési rendelethez
ZALAKAROS VÁROS ÖNKORMÁNYZAT 
2018.ÉVI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44"/>
  <sheetViews>
    <sheetView topLeftCell="A10" zoomScale="80" zoomScaleNormal="80" zoomScaleSheetLayoutView="80" zoomScalePageLayoutView="80" workbookViewId="0">
      <selection activeCell="E35" sqref="E35"/>
    </sheetView>
  </sheetViews>
  <sheetFormatPr defaultRowHeight="12.75" x14ac:dyDescent="0.2"/>
  <cols>
    <col min="1" max="1" width="6.140625" style="12" customWidth="1"/>
    <col min="2" max="2" width="41.7109375" style="12" customWidth="1"/>
    <col min="3" max="3" width="0.28515625" style="12" hidden="1" customWidth="1"/>
    <col min="4" max="5" width="23.28515625" style="12" customWidth="1"/>
    <col min="6" max="6" width="21" style="12" customWidth="1"/>
    <col min="7" max="16384" width="9.140625" style="12"/>
  </cols>
  <sheetData>
    <row r="1" spans="1:6" ht="12.75" customHeight="1" x14ac:dyDescent="0.2">
      <c r="A1" s="13"/>
      <c r="B1" s="13"/>
      <c r="C1" s="13"/>
      <c r="D1" s="13"/>
      <c r="E1" s="13"/>
    </row>
    <row r="2" spans="1:6" ht="13.5" thickBot="1" x14ac:dyDescent="0.25">
      <c r="A2" s="11"/>
      <c r="B2" s="11"/>
      <c r="C2" s="11"/>
      <c r="D2" s="156"/>
      <c r="E2" s="156"/>
    </row>
    <row r="3" spans="1:6" ht="15.75" customHeight="1" thickBot="1" x14ac:dyDescent="0.25">
      <c r="A3" s="712" t="s">
        <v>21</v>
      </c>
      <c r="B3" s="713" t="s">
        <v>25</v>
      </c>
      <c r="C3" s="713"/>
      <c r="D3" s="714" t="s">
        <v>697</v>
      </c>
      <c r="E3" s="714" t="s">
        <v>785</v>
      </c>
      <c r="F3" s="717" t="s">
        <v>26</v>
      </c>
    </row>
    <row r="4" spans="1:6" ht="15.75" customHeight="1" thickBot="1" x14ac:dyDescent="0.25">
      <c r="A4" s="712"/>
      <c r="B4" s="713"/>
      <c r="C4" s="713"/>
      <c r="D4" s="715"/>
      <c r="E4" s="715"/>
      <c r="F4" s="718"/>
    </row>
    <row r="5" spans="1:6" ht="15.75" customHeight="1" thickBot="1" x14ac:dyDescent="0.25">
      <c r="A5" s="712"/>
      <c r="B5" s="713"/>
      <c r="C5" s="713"/>
      <c r="D5" s="715"/>
      <c r="E5" s="715"/>
      <c r="F5" s="718"/>
    </row>
    <row r="6" spans="1:6" ht="15.75" customHeight="1" thickBot="1" x14ac:dyDescent="0.25">
      <c r="A6" s="712"/>
      <c r="B6" s="713"/>
      <c r="C6" s="713"/>
      <c r="D6" s="716"/>
      <c r="E6" s="716"/>
      <c r="F6" s="719"/>
    </row>
    <row r="7" spans="1:6" ht="28.35" customHeight="1" x14ac:dyDescent="0.25">
      <c r="A7" s="109" t="s">
        <v>19</v>
      </c>
      <c r="B7" s="110" t="s">
        <v>332</v>
      </c>
      <c r="C7" s="111"/>
      <c r="D7" s="153"/>
      <c r="E7" s="153"/>
      <c r="F7" s="108"/>
    </row>
    <row r="8" spans="1:6" ht="28.35" customHeight="1" x14ac:dyDescent="0.25">
      <c r="A8" s="109" t="s">
        <v>336</v>
      </c>
      <c r="B8" s="110" t="s">
        <v>333</v>
      </c>
      <c r="C8" s="111"/>
      <c r="D8" s="153"/>
      <c r="E8" s="153"/>
      <c r="F8" s="108"/>
    </row>
    <row r="9" spans="1:6" ht="28.35" customHeight="1" x14ac:dyDescent="0.2">
      <c r="A9" s="39" t="s">
        <v>3</v>
      </c>
      <c r="B9" s="169" t="s">
        <v>246</v>
      </c>
      <c r="C9" s="170"/>
      <c r="D9" s="171">
        <v>5000000</v>
      </c>
      <c r="E9" s="171"/>
      <c r="F9" s="172" t="s">
        <v>68</v>
      </c>
    </row>
    <row r="10" spans="1:6" ht="28.35" customHeight="1" x14ac:dyDescent="0.2">
      <c r="A10" s="39" t="s">
        <v>10</v>
      </c>
      <c r="B10" s="169" t="s">
        <v>79</v>
      </c>
      <c r="C10" s="170"/>
      <c r="D10" s="171">
        <v>10000000</v>
      </c>
      <c r="E10" s="171"/>
      <c r="F10" s="172" t="s">
        <v>68</v>
      </c>
    </row>
    <row r="11" spans="1:6" ht="28.35" customHeight="1" x14ac:dyDescent="0.2">
      <c r="A11" s="39" t="s">
        <v>11</v>
      </c>
      <c r="B11" s="173" t="s">
        <v>77</v>
      </c>
      <c r="C11" s="170"/>
      <c r="D11" s="171">
        <v>400000</v>
      </c>
      <c r="E11" s="171">
        <v>400000</v>
      </c>
      <c r="F11" s="172" t="s">
        <v>68</v>
      </c>
    </row>
    <row r="12" spans="1:6" ht="28.35" customHeight="1" x14ac:dyDescent="0.2">
      <c r="A12" s="39" t="s">
        <v>6</v>
      </c>
      <c r="B12" s="173" t="s">
        <v>286</v>
      </c>
      <c r="C12" s="170"/>
      <c r="D12" s="171">
        <v>2000000</v>
      </c>
      <c r="E12" s="171">
        <v>2000000</v>
      </c>
      <c r="F12" s="174" t="s">
        <v>68</v>
      </c>
    </row>
    <row r="13" spans="1:6" ht="33" customHeight="1" x14ac:dyDescent="0.2">
      <c r="A13" s="39" t="s">
        <v>8</v>
      </c>
      <c r="B13" s="173" t="s">
        <v>339</v>
      </c>
      <c r="C13" s="170"/>
      <c r="D13" s="171">
        <v>1000000</v>
      </c>
      <c r="E13" s="171">
        <v>1000000</v>
      </c>
      <c r="F13" s="172" t="s">
        <v>68</v>
      </c>
    </row>
    <row r="14" spans="1:6" ht="28.35" customHeight="1" x14ac:dyDescent="0.2">
      <c r="A14" s="39" t="s">
        <v>22</v>
      </c>
      <c r="B14" s="173" t="s">
        <v>754</v>
      </c>
      <c r="C14" s="170"/>
      <c r="D14" s="171">
        <v>4000000</v>
      </c>
      <c r="E14" s="171">
        <v>2309000</v>
      </c>
      <c r="F14" s="172" t="s">
        <v>68</v>
      </c>
    </row>
    <row r="15" spans="1:6" ht="27.75" customHeight="1" x14ac:dyDescent="0.2">
      <c r="A15" s="39" t="s">
        <v>17</v>
      </c>
      <c r="B15" s="173"/>
      <c r="C15" s="170"/>
      <c r="D15" s="171"/>
      <c r="E15" s="171"/>
      <c r="F15" s="172"/>
    </row>
    <row r="16" spans="1:6" ht="27.75" customHeight="1" x14ac:dyDescent="0.2">
      <c r="A16" s="39" t="s">
        <v>23</v>
      </c>
      <c r="B16" s="163"/>
      <c r="C16" s="170"/>
      <c r="D16" s="171"/>
      <c r="E16" s="171"/>
      <c r="F16" s="174"/>
    </row>
    <row r="17" spans="1:6" ht="27.75" customHeight="1" x14ac:dyDescent="0.2">
      <c r="A17" s="39" t="s">
        <v>290</v>
      </c>
      <c r="B17" s="163"/>
      <c r="C17" s="170"/>
      <c r="D17" s="171"/>
      <c r="E17" s="171"/>
      <c r="F17" s="174"/>
    </row>
    <row r="18" spans="1:6" ht="28.35" customHeight="1" x14ac:dyDescent="0.2">
      <c r="A18" s="80"/>
      <c r="B18" s="176" t="s">
        <v>334</v>
      </c>
      <c r="C18" s="170"/>
      <c r="D18" s="177">
        <f>SUM(D9:D17)</f>
        <v>22400000</v>
      </c>
      <c r="E18" s="177">
        <f>SUM(E9:E17)</f>
        <v>5709000</v>
      </c>
      <c r="F18" s="174"/>
    </row>
    <row r="19" spans="1:6" ht="28.35" customHeight="1" x14ac:dyDescent="0.25">
      <c r="A19" s="154" t="s">
        <v>337</v>
      </c>
      <c r="B19" s="178" t="s">
        <v>335</v>
      </c>
      <c r="C19" s="170"/>
      <c r="D19" s="171"/>
      <c r="E19" s="171"/>
      <c r="F19" s="174"/>
    </row>
    <row r="20" spans="1:6" ht="28.35" customHeight="1" x14ac:dyDescent="0.2">
      <c r="A20" s="39" t="s">
        <v>2</v>
      </c>
      <c r="B20" s="173" t="s">
        <v>285</v>
      </c>
      <c r="C20" s="170"/>
      <c r="D20" s="171">
        <v>4000000</v>
      </c>
      <c r="E20" s="171">
        <v>1479050</v>
      </c>
      <c r="F20" s="174" t="s">
        <v>68</v>
      </c>
    </row>
    <row r="21" spans="1:6" ht="28.35" customHeight="1" x14ac:dyDescent="0.2">
      <c r="A21" s="39" t="s">
        <v>4</v>
      </c>
      <c r="B21" s="173" t="s">
        <v>682</v>
      </c>
      <c r="C21" s="170"/>
      <c r="D21" s="171">
        <v>5000000</v>
      </c>
      <c r="E21" s="171">
        <v>1924085</v>
      </c>
      <c r="F21" s="172" t="s">
        <v>68</v>
      </c>
    </row>
    <row r="22" spans="1:6" ht="28.35" customHeight="1" x14ac:dyDescent="0.2">
      <c r="A22" s="39" t="s">
        <v>5</v>
      </c>
      <c r="B22" s="173" t="s">
        <v>71</v>
      </c>
      <c r="C22" s="170"/>
      <c r="D22" s="171">
        <v>400000</v>
      </c>
      <c r="E22" s="171">
        <v>400000</v>
      </c>
      <c r="F22" s="172" t="s">
        <v>68</v>
      </c>
    </row>
    <row r="23" spans="1:6" ht="28.35" customHeight="1" x14ac:dyDescent="0.2">
      <c r="A23" s="39" t="s">
        <v>6</v>
      </c>
      <c r="B23" s="252" t="s">
        <v>142</v>
      </c>
      <c r="C23" s="179"/>
      <c r="D23" s="171">
        <v>4000000</v>
      </c>
      <c r="E23" s="171">
        <v>4000000</v>
      </c>
      <c r="F23" s="174" t="s">
        <v>68</v>
      </c>
    </row>
    <row r="24" spans="1:6" ht="28.35" customHeight="1" x14ac:dyDescent="0.2">
      <c r="A24" s="39" t="s">
        <v>8</v>
      </c>
      <c r="B24" s="163" t="s">
        <v>727</v>
      </c>
      <c r="C24" s="179"/>
      <c r="D24" s="175">
        <v>4826000</v>
      </c>
      <c r="E24" s="175">
        <v>4826000</v>
      </c>
      <c r="F24" s="174" t="s">
        <v>68</v>
      </c>
    </row>
    <row r="25" spans="1:6" ht="28.35" customHeight="1" x14ac:dyDescent="0.2">
      <c r="A25" s="39" t="s">
        <v>22</v>
      </c>
      <c r="B25" s="163" t="s">
        <v>728</v>
      </c>
      <c r="C25" s="179"/>
      <c r="D25" s="175">
        <v>8000000</v>
      </c>
      <c r="E25" s="175">
        <v>8000000</v>
      </c>
      <c r="F25" s="174" t="s">
        <v>68</v>
      </c>
    </row>
    <row r="26" spans="1:6" ht="28.35" customHeight="1" x14ac:dyDescent="0.2">
      <c r="A26" s="39" t="s">
        <v>17</v>
      </c>
      <c r="B26" s="163" t="s">
        <v>729</v>
      </c>
      <c r="C26" s="179"/>
      <c r="D26" s="175">
        <v>500000</v>
      </c>
      <c r="E26" s="175">
        <v>500000</v>
      </c>
      <c r="F26" s="174" t="s">
        <v>68</v>
      </c>
    </row>
    <row r="27" spans="1:6" ht="28.35" customHeight="1" x14ac:dyDescent="0.2">
      <c r="A27" s="39" t="s">
        <v>23</v>
      </c>
      <c r="B27" s="163" t="s">
        <v>756</v>
      </c>
      <c r="C27" s="179"/>
      <c r="D27" s="175">
        <v>16178696</v>
      </c>
      <c r="E27" s="175">
        <v>16178696</v>
      </c>
      <c r="F27" s="174" t="s">
        <v>68</v>
      </c>
    </row>
    <row r="28" spans="1:6" ht="28.35" customHeight="1" x14ac:dyDescent="0.2">
      <c r="A28" s="39" t="s">
        <v>290</v>
      </c>
      <c r="B28" s="163" t="s">
        <v>757</v>
      </c>
      <c r="C28" s="179"/>
      <c r="D28" s="175">
        <v>124828122</v>
      </c>
      <c r="E28" s="175">
        <v>124828122</v>
      </c>
      <c r="F28" s="174" t="s">
        <v>68</v>
      </c>
    </row>
    <row r="29" spans="1:6" ht="28.35" customHeight="1" x14ac:dyDescent="0.2">
      <c r="A29" s="39" t="s">
        <v>18</v>
      </c>
      <c r="B29" s="428" t="s">
        <v>723</v>
      </c>
      <c r="C29" s="179"/>
      <c r="D29" s="335">
        <v>26670000</v>
      </c>
      <c r="E29" s="335"/>
      <c r="F29" s="174" t="s">
        <v>68</v>
      </c>
    </row>
    <row r="30" spans="1:6" ht="28.35" customHeight="1" x14ac:dyDescent="0.2">
      <c r="A30" s="39" t="s">
        <v>178</v>
      </c>
      <c r="B30" s="428" t="s">
        <v>923</v>
      </c>
      <c r="C30" s="179"/>
      <c r="D30" s="335"/>
      <c r="E30" s="335">
        <v>200000</v>
      </c>
      <c r="F30" s="174" t="s">
        <v>68</v>
      </c>
    </row>
    <row r="31" spans="1:6" ht="28.35" customHeight="1" x14ac:dyDescent="0.2">
      <c r="A31" s="39" t="s">
        <v>38</v>
      </c>
      <c r="B31" s="61"/>
      <c r="C31" s="179"/>
      <c r="D31" s="175"/>
      <c r="E31" s="175"/>
      <c r="F31" s="174"/>
    </row>
    <row r="32" spans="1:6" ht="28.35" customHeight="1" x14ac:dyDescent="0.2">
      <c r="A32" s="80"/>
      <c r="B32" s="176" t="s">
        <v>338</v>
      </c>
      <c r="C32" s="179"/>
      <c r="D32" s="180">
        <f>SUM(D20:D31)</f>
        <v>194402818</v>
      </c>
      <c r="E32" s="180">
        <f>SUM(E20:E31)</f>
        <v>162335953</v>
      </c>
      <c r="F32" s="174"/>
    </row>
    <row r="33" spans="1:6" ht="28.35" customHeight="1" x14ac:dyDescent="0.2">
      <c r="A33" s="39"/>
      <c r="B33" s="181" t="s">
        <v>247</v>
      </c>
      <c r="C33" s="182"/>
      <c r="D33" s="177">
        <f>D18+D32</f>
        <v>216802818</v>
      </c>
      <c r="E33" s="177">
        <f>E18+E32</f>
        <v>168044953</v>
      </c>
      <c r="F33" s="174"/>
    </row>
    <row r="34" spans="1:6" ht="28.35" customHeight="1" x14ac:dyDescent="0.2">
      <c r="A34" s="39" t="s">
        <v>2</v>
      </c>
      <c r="B34" s="183" t="s">
        <v>360</v>
      </c>
      <c r="C34" s="182"/>
      <c r="D34" s="171">
        <v>38909690</v>
      </c>
      <c r="E34" s="171">
        <v>30815967</v>
      </c>
      <c r="F34" s="172" t="s">
        <v>68</v>
      </c>
    </row>
    <row r="35" spans="1:6" ht="28.35" customHeight="1" thickBot="1" x14ac:dyDescent="0.25">
      <c r="A35" s="141"/>
      <c r="B35" s="184" t="s">
        <v>249</v>
      </c>
      <c r="C35" s="185"/>
      <c r="D35" s="186">
        <f>SUM(D33:D34)</f>
        <v>255712508</v>
      </c>
      <c r="E35" s="186">
        <f>SUM(E33:E34)</f>
        <v>198860920</v>
      </c>
      <c r="F35" s="187"/>
    </row>
    <row r="36" spans="1:6" ht="16.5" customHeight="1" x14ac:dyDescent="0.2"/>
    <row r="44" spans="1:6" ht="15.75" x14ac:dyDescent="0.2">
      <c r="B44" s="442"/>
      <c r="C44" s="443"/>
      <c r="D44" s="444"/>
      <c r="E44" s="444"/>
      <c r="F44" s="445"/>
    </row>
  </sheetData>
  <mergeCells count="6">
    <mergeCell ref="A3:A6"/>
    <mergeCell ref="B3:B6"/>
    <mergeCell ref="C3:C6"/>
    <mergeCell ref="D3:D6"/>
    <mergeCell ref="F3:F6"/>
    <mergeCell ref="E3:E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83" fitToWidth="0" orientation="portrait" horizontalDpi="4294967294" r:id="rId1"/>
  <headerFooter alignWithMargins="0">
    <oddHeader xml:space="preserve">&amp;C&amp;"Garamond,Félkövér"&amp;14 8/2018. ( VI.28.  )  számú költségvetési rendelethez
ZALAKAROS VÁROS ÖNKORMÁNYZAT
 2018.ÉVI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8"/>
  <sheetViews>
    <sheetView zoomScaleNormal="100" workbookViewId="0">
      <selection activeCell="J6" sqref="J6"/>
    </sheetView>
  </sheetViews>
  <sheetFormatPr defaultRowHeight="12.75" x14ac:dyDescent="0.2"/>
  <cols>
    <col min="1" max="1" width="8.85546875" style="28" customWidth="1"/>
    <col min="2" max="2" width="8.140625" style="28" customWidth="1"/>
    <col min="3" max="3" width="8.28515625" style="28" customWidth="1"/>
    <col min="4" max="4" width="48.42578125" style="28" customWidth="1"/>
    <col min="5" max="5" width="13.28515625" style="28" customWidth="1"/>
    <col min="6" max="6" width="12.7109375" style="28" bestFit="1" customWidth="1"/>
    <col min="7" max="7" width="12.85546875" style="28" customWidth="1"/>
    <col min="8" max="8" width="13.140625" style="28" customWidth="1"/>
    <col min="9" max="9" width="12.7109375" style="28" customWidth="1"/>
    <col min="10" max="10" width="13.85546875" style="28" customWidth="1"/>
    <col min="11" max="11" width="12.85546875" style="28" customWidth="1"/>
    <col min="12" max="12" width="13.42578125" style="28" customWidth="1"/>
    <col min="13" max="13" width="15.28515625" style="28" customWidth="1"/>
    <col min="14" max="16384" width="9.140625" style="28"/>
  </cols>
  <sheetData>
    <row r="2" spans="1:13" ht="16.5" customHeight="1" x14ac:dyDescent="0.2">
      <c r="A2" s="727" t="s">
        <v>0</v>
      </c>
      <c r="B2" s="730" t="s">
        <v>55</v>
      </c>
      <c r="C2" s="731"/>
      <c r="D2" s="732"/>
      <c r="E2" s="724" t="s">
        <v>703</v>
      </c>
      <c r="F2" s="743"/>
      <c r="G2" s="743"/>
      <c r="H2" s="743"/>
      <c r="I2" s="743"/>
      <c r="J2" s="743"/>
      <c r="K2" s="743"/>
      <c r="L2" s="743"/>
      <c r="M2" s="743"/>
    </row>
    <row r="3" spans="1:13" ht="17.25" customHeight="1" x14ac:dyDescent="0.2">
      <c r="A3" s="728"/>
      <c r="B3" s="733"/>
      <c r="C3" s="734"/>
      <c r="D3" s="735"/>
      <c r="E3" s="725"/>
      <c r="F3" s="424">
        <v>2019</v>
      </c>
      <c r="G3" s="424">
        <v>2020</v>
      </c>
      <c r="H3" s="424">
        <v>2021</v>
      </c>
      <c r="I3" s="424">
        <v>2022</v>
      </c>
      <c r="J3" s="424">
        <v>2023</v>
      </c>
      <c r="K3" s="424">
        <v>2024</v>
      </c>
      <c r="L3" s="424">
        <v>2025</v>
      </c>
      <c r="M3" s="720" t="s">
        <v>81</v>
      </c>
    </row>
    <row r="4" spans="1:13" ht="12" customHeight="1" x14ac:dyDescent="0.2">
      <c r="A4" s="729"/>
      <c r="B4" s="736"/>
      <c r="C4" s="737"/>
      <c r="D4" s="738"/>
      <c r="E4" s="726"/>
      <c r="F4" s="720"/>
      <c r="G4" s="720"/>
      <c r="H4" s="720"/>
      <c r="I4" s="720"/>
      <c r="J4" s="720"/>
      <c r="K4" s="720"/>
      <c r="L4" s="720"/>
      <c r="M4" s="720"/>
    </row>
    <row r="5" spans="1:13" ht="35.1" customHeight="1" x14ac:dyDescent="0.2">
      <c r="A5" s="241" t="s">
        <v>2</v>
      </c>
      <c r="B5" s="742" t="s">
        <v>420</v>
      </c>
      <c r="C5" s="742"/>
      <c r="D5" s="742"/>
      <c r="E5" s="242">
        <v>10000000</v>
      </c>
      <c r="F5" s="242">
        <v>10000000</v>
      </c>
      <c r="G5" s="242">
        <v>10000000</v>
      </c>
      <c r="H5" s="242">
        <v>10000000</v>
      </c>
      <c r="I5" s="242">
        <v>10000000</v>
      </c>
      <c r="J5" s="242">
        <v>10000000</v>
      </c>
      <c r="K5" s="242">
        <v>10000000</v>
      </c>
      <c r="L5" s="242">
        <v>10000000</v>
      </c>
      <c r="M5" s="243">
        <f>SUM(E5:L5)</f>
        <v>80000000</v>
      </c>
    </row>
    <row r="6" spans="1:13" ht="35.1" customHeight="1" x14ac:dyDescent="0.2">
      <c r="A6" s="241" t="s">
        <v>4</v>
      </c>
      <c r="B6" s="742" t="s">
        <v>411</v>
      </c>
      <c r="C6" s="742"/>
      <c r="D6" s="742"/>
      <c r="E6" s="242">
        <v>1945000</v>
      </c>
      <c r="F6" s="242">
        <v>1690000</v>
      </c>
      <c r="G6" s="242">
        <v>1440000</v>
      </c>
      <c r="H6" s="242">
        <v>1180000</v>
      </c>
      <c r="I6" s="242">
        <v>925000</v>
      </c>
      <c r="J6" s="242">
        <v>670000</v>
      </c>
      <c r="K6" s="242">
        <v>415000</v>
      </c>
      <c r="L6" s="242">
        <v>160000</v>
      </c>
      <c r="M6" s="243">
        <f>SUM(E6:L6)</f>
        <v>8425000</v>
      </c>
    </row>
    <row r="7" spans="1:13" ht="35.1" customHeight="1" x14ac:dyDescent="0.2">
      <c r="A7" s="241" t="s">
        <v>5</v>
      </c>
      <c r="B7" s="739" t="s">
        <v>568</v>
      </c>
      <c r="C7" s="740"/>
      <c r="D7" s="741"/>
      <c r="E7" s="242">
        <v>3820000</v>
      </c>
      <c r="F7" s="242"/>
      <c r="G7" s="242"/>
      <c r="H7" s="242"/>
      <c r="I7" s="242"/>
      <c r="J7" s="242"/>
      <c r="K7" s="242"/>
      <c r="L7" s="242"/>
      <c r="M7" s="243">
        <f>SUM(E7:L7)</f>
        <v>3820000</v>
      </c>
    </row>
    <row r="8" spans="1:13" ht="35.1" customHeight="1" x14ac:dyDescent="0.2">
      <c r="A8" s="244"/>
      <c r="B8" s="721" t="s">
        <v>81</v>
      </c>
      <c r="C8" s="722"/>
      <c r="D8" s="723"/>
      <c r="E8" s="243">
        <f>SUM(E5:E7)</f>
        <v>15765000</v>
      </c>
      <c r="F8" s="243">
        <f t="shared" ref="F8:M8" si="0">SUM(F5:F7)</f>
        <v>11690000</v>
      </c>
      <c r="G8" s="243">
        <f t="shared" si="0"/>
        <v>11440000</v>
      </c>
      <c r="H8" s="243">
        <f t="shared" si="0"/>
        <v>11180000</v>
      </c>
      <c r="I8" s="243">
        <f t="shared" si="0"/>
        <v>10925000</v>
      </c>
      <c r="J8" s="243">
        <f t="shared" si="0"/>
        <v>10670000</v>
      </c>
      <c r="K8" s="243">
        <f t="shared" si="0"/>
        <v>10415000</v>
      </c>
      <c r="L8" s="243">
        <f t="shared" si="0"/>
        <v>10160000</v>
      </c>
      <c r="M8" s="243">
        <f t="shared" si="0"/>
        <v>92245000</v>
      </c>
    </row>
  </sheetData>
  <mergeCells count="10">
    <mergeCell ref="F4:L4"/>
    <mergeCell ref="M3:M4"/>
    <mergeCell ref="B8:D8"/>
    <mergeCell ref="E2:E4"/>
    <mergeCell ref="A2:A4"/>
    <mergeCell ref="B2:D4"/>
    <mergeCell ref="B7:D7"/>
    <mergeCell ref="B5:D5"/>
    <mergeCell ref="B6:D6"/>
    <mergeCell ref="F2:M2"/>
  </mergeCells>
  <phoneticPr fontId="8" type="noConversion"/>
  <printOptions horizontalCentered="1"/>
  <pageMargins left="0.23622047244094491" right="0.23622047244094491" top="1.5354330708661419" bottom="0.19685039370078741" header="0.43307086614173229" footer="0.19685039370078741"/>
  <pageSetup paperSize="9" scale="66" orientation="landscape" r:id="rId1"/>
  <headerFooter alignWithMargins="0">
    <oddHeader>&amp;C&amp;"Garamond,Félkövér"&amp;14 8/2018. ( VI.28. ) 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zoomScaleNormal="100" workbookViewId="0">
      <selection activeCell="E27" sqref="E27"/>
    </sheetView>
  </sheetViews>
  <sheetFormatPr defaultRowHeight="12.75" x14ac:dyDescent="0.2"/>
  <cols>
    <col min="1" max="1" width="3.7109375" style="25" customWidth="1"/>
    <col min="2" max="2" width="9.140625" style="25"/>
    <col min="3" max="3" width="8.42578125" style="25" customWidth="1"/>
    <col min="4" max="4" width="22.85546875" style="25" customWidth="1"/>
    <col min="5" max="5" width="25.5703125" style="25" customWidth="1"/>
    <col min="6" max="6" width="10.85546875" style="25" customWidth="1"/>
    <col min="7" max="7" width="11.140625" style="25" customWidth="1"/>
    <col min="8" max="8" width="16.7109375" style="25" customWidth="1"/>
    <col min="9" max="9" width="9.140625" style="25"/>
    <col min="10" max="10" width="11.140625" style="25" customWidth="1"/>
    <col min="11" max="11" width="13" style="25" customWidth="1"/>
    <col min="12" max="16384" width="9.140625" style="25"/>
  </cols>
  <sheetData>
    <row r="1" spans="1:11" ht="48.75" customHeight="1" x14ac:dyDescent="0.2">
      <c r="J1" s="744"/>
      <c r="K1" s="744"/>
    </row>
    <row r="2" spans="1:11" ht="24.95" customHeight="1" x14ac:dyDescent="0.2">
      <c r="A2" s="745" t="s">
        <v>24</v>
      </c>
      <c r="B2" s="745" t="s">
        <v>29</v>
      </c>
      <c r="C2" s="745"/>
      <c r="D2" s="745"/>
      <c r="E2" s="747" t="s">
        <v>65</v>
      </c>
      <c r="F2" s="747"/>
      <c r="G2" s="747"/>
      <c r="H2" s="747" t="s">
        <v>66</v>
      </c>
      <c r="I2" s="747"/>
      <c r="J2" s="747"/>
      <c r="K2" s="26" t="s">
        <v>13</v>
      </c>
    </row>
    <row r="3" spans="1:11" ht="24.95" customHeight="1" x14ac:dyDescent="0.2">
      <c r="A3" s="745"/>
      <c r="B3" s="745"/>
      <c r="C3" s="745"/>
      <c r="D3" s="745"/>
      <c r="E3" s="745" t="s">
        <v>30</v>
      </c>
      <c r="F3" s="745" t="s">
        <v>31</v>
      </c>
      <c r="G3" s="745" t="s">
        <v>613</v>
      </c>
      <c r="H3" s="745" t="s">
        <v>30</v>
      </c>
      <c r="I3" s="745" t="s">
        <v>31</v>
      </c>
      <c r="J3" s="745" t="s">
        <v>613</v>
      </c>
      <c r="K3" s="746" t="s">
        <v>405</v>
      </c>
    </row>
    <row r="4" spans="1:11" ht="24.95" customHeight="1" x14ac:dyDescent="0.2">
      <c r="A4" s="745"/>
      <c r="B4" s="745"/>
      <c r="C4" s="745"/>
      <c r="D4" s="745"/>
      <c r="E4" s="745"/>
      <c r="F4" s="745"/>
      <c r="G4" s="745"/>
      <c r="H4" s="745"/>
      <c r="I4" s="745"/>
      <c r="J4" s="745"/>
      <c r="K4" s="746"/>
    </row>
    <row r="5" spans="1:11" ht="24.95" customHeight="1" x14ac:dyDescent="0.2">
      <c r="A5" s="48" t="s">
        <v>37</v>
      </c>
      <c r="B5" s="755" t="s">
        <v>67</v>
      </c>
      <c r="C5" s="756"/>
      <c r="D5" s="757"/>
      <c r="E5" s="48"/>
      <c r="F5" s="48"/>
      <c r="G5" s="48"/>
      <c r="H5" s="48"/>
      <c r="I5" s="48"/>
      <c r="J5" s="48"/>
      <c r="K5" s="49"/>
    </row>
    <row r="6" spans="1:11" ht="50.1" customHeight="1" x14ac:dyDescent="0.2">
      <c r="A6" s="27" t="s">
        <v>3</v>
      </c>
      <c r="B6" s="749" t="s">
        <v>32</v>
      </c>
      <c r="C6" s="750"/>
      <c r="D6" s="750"/>
      <c r="E6" s="36" t="s">
        <v>75</v>
      </c>
      <c r="F6" s="62" t="s">
        <v>74</v>
      </c>
      <c r="G6" s="64">
        <v>7348000</v>
      </c>
      <c r="H6" s="34" t="s">
        <v>54</v>
      </c>
      <c r="I6" s="34" t="s">
        <v>54</v>
      </c>
      <c r="J6" s="34"/>
      <c r="K6" s="64">
        <v>7348000</v>
      </c>
    </row>
    <row r="7" spans="1:11" ht="30" customHeight="1" x14ac:dyDescent="0.2">
      <c r="A7" s="27" t="s">
        <v>10</v>
      </c>
      <c r="B7" s="749" t="s">
        <v>33</v>
      </c>
      <c r="C7" s="750"/>
      <c r="D7" s="750"/>
      <c r="E7" s="34" t="s">
        <v>54</v>
      </c>
      <c r="F7" s="34" t="s">
        <v>54</v>
      </c>
      <c r="G7" s="34" t="s">
        <v>54</v>
      </c>
      <c r="H7" s="34" t="s">
        <v>54</v>
      </c>
      <c r="I7" s="34" t="s">
        <v>54</v>
      </c>
      <c r="J7" s="34" t="s">
        <v>54</v>
      </c>
      <c r="K7" s="34" t="s">
        <v>54</v>
      </c>
    </row>
    <row r="8" spans="1:11" ht="30" customHeight="1" x14ac:dyDescent="0.2">
      <c r="A8" s="27" t="s">
        <v>11</v>
      </c>
      <c r="B8" s="749" t="s">
        <v>34</v>
      </c>
      <c r="C8" s="750"/>
      <c r="D8" s="750"/>
      <c r="E8" s="34" t="s">
        <v>54</v>
      </c>
      <c r="F8" s="38">
        <v>0.24</v>
      </c>
      <c r="G8" s="64">
        <v>10136910</v>
      </c>
      <c r="H8" s="34" t="s">
        <v>54</v>
      </c>
      <c r="I8" s="34" t="s">
        <v>54</v>
      </c>
      <c r="J8" s="34" t="s">
        <v>54</v>
      </c>
      <c r="K8" s="64">
        <f>SUM(G8)</f>
        <v>10136910</v>
      </c>
    </row>
    <row r="9" spans="1:11" ht="30" customHeight="1" x14ac:dyDescent="0.2">
      <c r="A9" s="27" t="s">
        <v>12</v>
      </c>
      <c r="B9" s="749" t="s">
        <v>35</v>
      </c>
      <c r="C9" s="750"/>
      <c r="D9" s="750"/>
      <c r="E9" s="34" t="s">
        <v>54</v>
      </c>
      <c r="F9" s="34" t="s">
        <v>54</v>
      </c>
      <c r="G9" s="34" t="s">
        <v>54</v>
      </c>
      <c r="H9" s="34" t="s">
        <v>54</v>
      </c>
      <c r="I9" s="34" t="s">
        <v>54</v>
      </c>
      <c r="J9" s="34" t="s">
        <v>54</v>
      </c>
      <c r="K9" s="36" t="s">
        <v>54</v>
      </c>
    </row>
    <row r="10" spans="1:11" ht="33" customHeight="1" x14ac:dyDescent="0.2">
      <c r="A10" s="27" t="s">
        <v>7</v>
      </c>
      <c r="B10" s="749" t="s">
        <v>36</v>
      </c>
      <c r="C10" s="750"/>
      <c r="D10" s="750"/>
      <c r="E10" s="35" t="s">
        <v>59</v>
      </c>
      <c r="F10" s="36" t="s">
        <v>63</v>
      </c>
      <c r="G10" s="37">
        <v>634000</v>
      </c>
      <c r="H10" s="35" t="s">
        <v>62</v>
      </c>
      <c r="I10" s="40">
        <v>1</v>
      </c>
      <c r="J10" s="37">
        <v>343000</v>
      </c>
      <c r="K10" s="64">
        <f>SUM(G10+J10)</f>
        <v>977000</v>
      </c>
    </row>
    <row r="11" spans="1:11" ht="33" customHeight="1" x14ac:dyDescent="0.2">
      <c r="A11" s="27"/>
      <c r="B11" s="754" t="s">
        <v>242</v>
      </c>
      <c r="C11" s="754"/>
      <c r="D11" s="754"/>
      <c r="E11" s="44"/>
      <c r="F11" s="45"/>
      <c r="G11" s="63">
        <f>SUM(G5:G10)</f>
        <v>18118910</v>
      </c>
      <c r="H11" s="44"/>
      <c r="I11" s="47"/>
      <c r="J11" s="46">
        <f>SUM(J6:J10)</f>
        <v>343000</v>
      </c>
      <c r="K11" s="118">
        <f>SUM(K6:K10)</f>
        <v>18461910</v>
      </c>
    </row>
    <row r="12" spans="1:11" ht="33" customHeight="1" x14ac:dyDescent="0.2">
      <c r="A12" s="27" t="s">
        <v>22</v>
      </c>
      <c r="B12" s="749" t="s">
        <v>779</v>
      </c>
      <c r="C12" s="750"/>
      <c r="D12" s="750"/>
      <c r="E12" s="35"/>
      <c r="F12" s="119"/>
      <c r="G12" s="37">
        <v>0</v>
      </c>
      <c r="H12" s="35"/>
      <c r="I12" s="40"/>
      <c r="J12" s="37"/>
      <c r="K12" s="64">
        <v>0</v>
      </c>
    </row>
    <row r="13" spans="1:11" ht="33" customHeight="1" x14ac:dyDescent="0.2">
      <c r="A13" s="43"/>
      <c r="B13" s="751" t="s">
        <v>250</v>
      </c>
      <c r="C13" s="752"/>
      <c r="D13" s="753"/>
      <c r="E13" s="44"/>
      <c r="F13" s="45"/>
      <c r="G13" s="63">
        <f>SUM(G11:G12)</f>
        <v>18118910</v>
      </c>
      <c r="H13" s="44"/>
      <c r="I13" s="47"/>
      <c r="J13" s="46">
        <f>SUM(J11:J12)</f>
        <v>343000</v>
      </c>
      <c r="K13" s="63">
        <f>SUM(K11:K12)</f>
        <v>18461910</v>
      </c>
    </row>
    <row r="14" spans="1:11" x14ac:dyDescent="0.2">
      <c r="B14" s="748"/>
      <c r="C14" s="748"/>
      <c r="D14" s="748"/>
    </row>
    <row r="22" spans="4:4" x14ac:dyDescent="0.2">
      <c r="D22" s="42"/>
    </row>
  </sheetData>
  <mergeCells count="22">
    <mergeCell ref="B2:D4"/>
    <mergeCell ref="B5:D5"/>
    <mergeCell ref="F3:F4"/>
    <mergeCell ref="G3:G4"/>
    <mergeCell ref="A2:A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J1:K1"/>
    <mergeCell ref="J3:J4"/>
    <mergeCell ref="K3:K4"/>
    <mergeCell ref="E2:G2"/>
    <mergeCell ref="H2:J2"/>
    <mergeCell ref="E3:E4"/>
    <mergeCell ref="H3:H4"/>
    <mergeCell ref="I3:I4"/>
  </mergeCells>
  <phoneticPr fontId="8" type="noConversion"/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8/2018. ( VI.28.  )  számú költségvetési rendelethez
ZALAKAROS VÁROS ÖNKORMÁNYZATA
2018.ÉVI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0"/>
  <sheetViews>
    <sheetView topLeftCell="A4" zoomScaleNormal="100" zoomScalePageLayoutView="80" workbookViewId="0">
      <selection activeCell="G19" sqref="G19"/>
    </sheetView>
  </sheetViews>
  <sheetFormatPr defaultRowHeight="12.75" x14ac:dyDescent="0.2"/>
  <cols>
    <col min="1" max="1" width="3" style="30" customWidth="1"/>
    <col min="2" max="2" width="29" style="30" customWidth="1"/>
    <col min="3" max="3" width="13.7109375" style="30" customWidth="1"/>
    <col min="4" max="4" width="13.140625" style="30" customWidth="1"/>
    <col min="5" max="5" width="14.85546875" style="30" customWidth="1"/>
    <col min="6" max="6" width="14.5703125" style="30" customWidth="1"/>
    <col min="7" max="7" width="13.140625" style="30" customWidth="1"/>
    <col min="8" max="8" width="13.7109375" style="30" customWidth="1"/>
    <col min="9" max="9" width="14" style="30" customWidth="1"/>
    <col min="10" max="11" width="13.7109375" style="30" customWidth="1"/>
    <col min="12" max="12" width="14.5703125" style="30" customWidth="1"/>
    <col min="13" max="13" width="13.28515625" style="30" customWidth="1"/>
    <col min="14" max="15" width="15.28515625" style="30" customWidth="1"/>
    <col min="16" max="16" width="11.5703125" style="30" customWidth="1"/>
    <col min="17" max="16384" width="9.140625" style="30"/>
  </cols>
  <sheetData>
    <row r="1" spans="1:15" ht="3.75" customHeight="1" x14ac:dyDescent="0.2">
      <c r="M1" s="758" t="s">
        <v>20</v>
      </c>
      <c r="N1" s="758"/>
      <c r="O1" s="758"/>
    </row>
    <row r="2" spans="1:15" ht="28.35" customHeight="1" x14ac:dyDescent="0.2">
      <c r="A2" s="31" t="s">
        <v>251</v>
      </c>
      <c r="B2" s="123" t="s">
        <v>15</v>
      </c>
      <c r="C2" s="123" t="s">
        <v>39</v>
      </c>
      <c r="D2" s="123" t="s">
        <v>40</v>
      </c>
      <c r="E2" s="123" t="s">
        <v>41</v>
      </c>
      <c r="F2" s="123" t="s">
        <v>42</v>
      </c>
      <c r="G2" s="123" t="s">
        <v>43</v>
      </c>
      <c r="H2" s="123" t="s">
        <v>44</v>
      </c>
      <c r="I2" s="123" t="s">
        <v>45</v>
      </c>
      <c r="J2" s="123" t="s">
        <v>46</v>
      </c>
      <c r="K2" s="123" t="s">
        <v>47</v>
      </c>
      <c r="L2" s="123" t="s">
        <v>48</v>
      </c>
      <c r="M2" s="123" t="s">
        <v>49</v>
      </c>
      <c r="N2" s="123" t="s">
        <v>50</v>
      </c>
      <c r="O2" s="222" t="s">
        <v>13</v>
      </c>
    </row>
    <row r="3" spans="1:15" ht="28.35" customHeight="1" x14ac:dyDescent="0.2">
      <c r="A3" s="32"/>
      <c r="B3" s="478" t="s">
        <v>315</v>
      </c>
      <c r="C3" s="474">
        <f>61717518+5492669+56285+2183182+4155+1954064</f>
        <v>71407873</v>
      </c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5"/>
    </row>
    <row r="4" spans="1:15" ht="28.35" customHeight="1" x14ac:dyDescent="0.2">
      <c r="A4" s="33" t="s">
        <v>2</v>
      </c>
      <c r="B4" s="483" t="s">
        <v>329</v>
      </c>
      <c r="C4" s="474">
        <v>9500000</v>
      </c>
      <c r="D4" s="474">
        <v>12500000</v>
      </c>
      <c r="E4" s="474">
        <v>11490000</v>
      </c>
      <c r="F4" s="474">
        <v>10500000</v>
      </c>
      <c r="G4" s="474">
        <v>10400000</v>
      </c>
      <c r="H4" s="474">
        <v>11250000</v>
      </c>
      <c r="I4" s="474">
        <v>9515000</v>
      </c>
      <c r="J4" s="474">
        <v>8415000</v>
      </c>
      <c r="K4" s="474">
        <v>8500000</v>
      </c>
      <c r="L4" s="474">
        <v>11350000</v>
      </c>
      <c r="M4" s="474">
        <v>12500000</v>
      </c>
      <c r="N4" s="474">
        <v>22475493</v>
      </c>
      <c r="O4" s="476">
        <f t="shared" ref="O4:O13" si="0">SUM(C4:N4)</f>
        <v>138395493</v>
      </c>
    </row>
    <row r="5" spans="1:15" ht="28.35" customHeight="1" x14ac:dyDescent="0.2">
      <c r="A5" s="33" t="s">
        <v>4</v>
      </c>
      <c r="B5" s="483" t="s">
        <v>118</v>
      </c>
      <c r="C5" s="474">
        <v>15000000</v>
      </c>
      <c r="D5" s="474">
        <v>39400000</v>
      </c>
      <c r="E5" s="474">
        <v>67500000</v>
      </c>
      <c r="F5" s="474">
        <v>39800000</v>
      </c>
      <c r="G5" s="474">
        <v>24345000</v>
      </c>
      <c r="H5" s="474">
        <v>19652000</v>
      </c>
      <c r="I5" s="474">
        <v>39457000</v>
      </c>
      <c r="J5" s="474">
        <v>51245000</v>
      </c>
      <c r="K5" s="474">
        <v>62700000</v>
      </c>
      <c r="L5" s="474">
        <v>54200000</v>
      </c>
      <c r="M5" s="474">
        <v>34100000</v>
      </c>
      <c r="N5" s="474">
        <v>26101000</v>
      </c>
      <c r="O5" s="476">
        <f t="shared" si="0"/>
        <v>473500000</v>
      </c>
    </row>
    <row r="6" spans="1:15" ht="31.5" customHeight="1" x14ac:dyDescent="0.2">
      <c r="A6" s="33" t="s">
        <v>4</v>
      </c>
      <c r="B6" s="483" t="s">
        <v>356</v>
      </c>
      <c r="C6" s="474">
        <v>37024762</v>
      </c>
      <c r="D6" s="474">
        <v>37024762</v>
      </c>
      <c r="E6" s="474">
        <v>37024762</v>
      </c>
      <c r="F6" s="474">
        <f>37024762+19738817</f>
        <v>56763579</v>
      </c>
      <c r="G6" s="474">
        <v>40071762</v>
      </c>
      <c r="H6" s="474">
        <v>37024762</v>
      </c>
      <c r="I6" s="474">
        <v>37024762</v>
      </c>
      <c r="J6" s="474">
        <v>37024762</v>
      </c>
      <c r="K6" s="474">
        <v>37024762</v>
      </c>
      <c r="L6" s="474">
        <v>37024762</v>
      </c>
      <c r="M6" s="474">
        <v>37024762</v>
      </c>
      <c r="N6" s="474">
        <v>37024763</v>
      </c>
      <c r="O6" s="476">
        <f t="shared" si="0"/>
        <v>467082962</v>
      </c>
    </row>
    <row r="7" spans="1:15" ht="31.5" customHeight="1" x14ac:dyDescent="0.2">
      <c r="A7" s="33" t="s">
        <v>5</v>
      </c>
      <c r="B7" s="481" t="s">
        <v>357</v>
      </c>
      <c r="C7" s="447">
        <v>14258924</v>
      </c>
      <c r="D7" s="474">
        <v>26389771</v>
      </c>
      <c r="E7" s="474"/>
      <c r="F7" s="474">
        <v>40000000</v>
      </c>
      <c r="G7" s="474">
        <v>100000000</v>
      </c>
      <c r="H7" s="477">
        <v>1289315</v>
      </c>
      <c r="I7" s="474">
        <v>93464555</v>
      </c>
      <c r="J7" s="474">
        <v>44550534</v>
      </c>
      <c r="K7" s="474">
        <v>50000000</v>
      </c>
      <c r="L7" s="474">
        <v>146981400</v>
      </c>
      <c r="M7" s="474"/>
      <c r="N7" s="474">
        <v>73963948</v>
      </c>
      <c r="O7" s="476">
        <f t="shared" si="0"/>
        <v>590898447</v>
      </c>
    </row>
    <row r="8" spans="1:15" ht="28.35" customHeight="1" x14ac:dyDescent="0.2">
      <c r="A8" s="33" t="s">
        <v>6</v>
      </c>
      <c r="B8" s="481" t="s">
        <v>316</v>
      </c>
      <c r="C8" s="474"/>
      <c r="D8" s="474"/>
      <c r="E8" s="474">
        <v>2200000</v>
      </c>
      <c r="F8" s="474"/>
      <c r="G8" s="474"/>
      <c r="H8" s="474"/>
      <c r="I8" s="474"/>
      <c r="J8" s="474"/>
      <c r="K8" s="474"/>
      <c r="L8" s="474"/>
      <c r="M8" s="474"/>
      <c r="N8" s="474"/>
      <c r="O8" s="476">
        <f t="shared" si="0"/>
        <v>2200000</v>
      </c>
    </row>
    <row r="9" spans="1:15" ht="28.35" customHeight="1" x14ac:dyDescent="0.2">
      <c r="A9" s="33" t="s">
        <v>8</v>
      </c>
      <c r="B9" s="481" t="s">
        <v>355</v>
      </c>
      <c r="C9" s="474">
        <v>40497</v>
      </c>
      <c r="D9" s="474">
        <v>40497</v>
      </c>
      <c r="E9" s="474">
        <v>40497</v>
      </c>
      <c r="F9" s="474">
        <v>40497</v>
      </c>
      <c r="G9" s="474">
        <v>40497</v>
      </c>
      <c r="H9" s="474">
        <v>40497</v>
      </c>
      <c r="I9" s="474">
        <v>40497</v>
      </c>
      <c r="J9" s="474">
        <v>40497</v>
      </c>
      <c r="K9" s="474">
        <v>33527</v>
      </c>
      <c r="L9" s="474">
        <v>40497</v>
      </c>
      <c r="M9" s="474">
        <v>5000</v>
      </c>
      <c r="N9" s="474">
        <v>5000</v>
      </c>
      <c r="O9" s="476">
        <f t="shared" si="0"/>
        <v>408000</v>
      </c>
    </row>
    <row r="10" spans="1:15" ht="28.35" customHeight="1" x14ac:dyDescent="0.2">
      <c r="A10" s="33" t="s">
        <v>22</v>
      </c>
      <c r="B10" s="481" t="s">
        <v>317</v>
      </c>
      <c r="C10" s="474">
        <v>89583</v>
      </c>
      <c r="D10" s="474">
        <v>89583</v>
      </c>
      <c r="E10" s="474">
        <v>89583</v>
      </c>
      <c r="F10" s="474">
        <v>89583</v>
      </c>
      <c r="G10" s="474">
        <v>89583</v>
      </c>
      <c r="H10" s="474">
        <v>89583</v>
      </c>
      <c r="I10" s="474">
        <v>89583</v>
      </c>
      <c r="J10" s="474">
        <v>89583</v>
      </c>
      <c r="K10" s="474">
        <v>89583</v>
      </c>
      <c r="L10" s="474">
        <v>89583</v>
      </c>
      <c r="M10" s="474">
        <v>89583</v>
      </c>
      <c r="N10" s="474">
        <v>89587</v>
      </c>
      <c r="O10" s="476">
        <f t="shared" si="0"/>
        <v>1075000</v>
      </c>
    </row>
    <row r="11" spans="1:15" ht="28.35" customHeight="1" x14ac:dyDescent="0.2">
      <c r="A11" s="33" t="s">
        <v>17</v>
      </c>
      <c r="B11" s="481" t="s">
        <v>318</v>
      </c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6">
        <f t="shared" si="0"/>
        <v>0</v>
      </c>
    </row>
    <row r="12" spans="1:15" ht="28.35" customHeight="1" x14ac:dyDescent="0.2">
      <c r="A12" s="33" t="s">
        <v>23</v>
      </c>
      <c r="B12" s="481" t="s">
        <v>400</v>
      </c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6">
        <f t="shared" si="0"/>
        <v>0</v>
      </c>
    </row>
    <row r="13" spans="1:15" ht="28.35" customHeight="1" x14ac:dyDescent="0.2">
      <c r="A13" s="33" t="s">
        <v>290</v>
      </c>
      <c r="B13" s="481" t="s">
        <v>643</v>
      </c>
      <c r="C13" s="474">
        <v>55813230</v>
      </c>
      <c r="D13" s="474">
        <v>8964336</v>
      </c>
      <c r="E13" s="474">
        <v>60000000</v>
      </c>
      <c r="F13" s="474">
        <v>80000000</v>
      </c>
      <c r="G13" s="474"/>
      <c r="H13" s="474"/>
      <c r="I13" s="474"/>
      <c r="J13" s="474"/>
      <c r="K13" s="474"/>
      <c r="L13" s="474">
        <v>100000000</v>
      </c>
      <c r="M13" s="474"/>
      <c r="N13" s="474">
        <v>100000000</v>
      </c>
      <c r="O13" s="476">
        <f t="shared" si="0"/>
        <v>404777566</v>
      </c>
    </row>
    <row r="14" spans="1:15" ht="28.35" customHeight="1" x14ac:dyDescent="0.2">
      <c r="A14" s="33"/>
      <c r="B14" s="482" t="s">
        <v>69</v>
      </c>
      <c r="C14" s="476">
        <f>SUM(C4:C13)</f>
        <v>131726996</v>
      </c>
      <c r="D14" s="476">
        <f t="shared" ref="D14:O14" si="1">SUM(D4:D13)</f>
        <v>124408949</v>
      </c>
      <c r="E14" s="476">
        <f t="shared" si="1"/>
        <v>178344842</v>
      </c>
      <c r="F14" s="476">
        <f t="shared" si="1"/>
        <v>227193659</v>
      </c>
      <c r="G14" s="476">
        <f t="shared" si="1"/>
        <v>174946842</v>
      </c>
      <c r="H14" s="476">
        <f t="shared" si="1"/>
        <v>69346157</v>
      </c>
      <c r="I14" s="476">
        <f t="shared" si="1"/>
        <v>179591397</v>
      </c>
      <c r="J14" s="476">
        <f t="shared" si="1"/>
        <v>141365376</v>
      </c>
      <c r="K14" s="476">
        <f t="shared" si="1"/>
        <v>158347872</v>
      </c>
      <c r="L14" s="476">
        <f t="shared" si="1"/>
        <v>349686242</v>
      </c>
      <c r="M14" s="476">
        <f t="shared" si="1"/>
        <v>83719345</v>
      </c>
      <c r="N14" s="476">
        <f t="shared" si="1"/>
        <v>259659791</v>
      </c>
      <c r="O14" s="476">
        <f t="shared" si="1"/>
        <v>2078337468</v>
      </c>
    </row>
    <row r="15" spans="1:15" ht="28.35" customHeight="1" x14ac:dyDescent="0.2">
      <c r="A15" s="32"/>
      <c r="B15" s="478" t="s">
        <v>51</v>
      </c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5"/>
    </row>
    <row r="16" spans="1:15" ht="28.35" customHeight="1" x14ac:dyDescent="0.2">
      <c r="A16" s="33" t="s">
        <v>18</v>
      </c>
      <c r="B16" s="479" t="s">
        <v>319</v>
      </c>
      <c r="C16" s="474">
        <v>19799281</v>
      </c>
      <c r="D16" s="474">
        <v>19799281</v>
      </c>
      <c r="E16" s="474">
        <v>19799281</v>
      </c>
      <c r="F16" s="474">
        <f>19799281+3737048</f>
        <v>23536329</v>
      </c>
      <c r="G16" s="474">
        <v>19799281</v>
      </c>
      <c r="H16" s="474">
        <v>19799281</v>
      </c>
      <c r="I16" s="474">
        <v>19799281</v>
      </c>
      <c r="J16" s="474">
        <v>19799281</v>
      </c>
      <c r="K16" s="474">
        <v>19799281</v>
      </c>
      <c r="L16" s="474">
        <v>19799281</v>
      </c>
      <c r="M16" s="474">
        <v>19799281</v>
      </c>
      <c r="N16" s="474">
        <v>19799282</v>
      </c>
      <c r="O16" s="476">
        <f t="shared" ref="O16:O23" si="2">SUM(C16:N16)</f>
        <v>241328421</v>
      </c>
    </row>
    <row r="17" spans="1:15" ht="28.35" customHeight="1" x14ac:dyDescent="0.2">
      <c r="A17" s="33" t="s">
        <v>178</v>
      </c>
      <c r="B17" s="479" t="s">
        <v>320</v>
      </c>
      <c r="C17" s="474">
        <v>4159862</v>
      </c>
      <c r="D17" s="474">
        <v>4159862</v>
      </c>
      <c r="E17" s="474">
        <v>4159862</v>
      </c>
      <c r="F17" s="474">
        <f>4159862+716125</f>
        <v>4875987</v>
      </c>
      <c r="G17" s="474">
        <v>4159862</v>
      </c>
      <c r="H17" s="474">
        <v>4159862</v>
      </c>
      <c r="I17" s="474">
        <v>4159862</v>
      </c>
      <c r="J17" s="474">
        <v>4159862</v>
      </c>
      <c r="K17" s="474">
        <v>4159862</v>
      </c>
      <c r="L17" s="474">
        <v>4159862</v>
      </c>
      <c r="M17" s="474">
        <v>4159862</v>
      </c>
      <c r="N17" s="474">
        <v>4159866</v>
      </c>
      <c r="O17" s="476">
        <f t="shared" si="2"/>
        <v>50634473</v>
      </c>
    </row>
    <row r="18" spans="1:15" ht="28.35" customHeight="1" x14ac:dyDescent="0.2">
      <c r="A18" s="33" t="s">
        <v>38</v>
      </c>
      <c r="B18" s="480" t="s">
        <v>163</v>
      </c>
      <c r="C18" s="474">
        <f>26840000+5000000</f>
        <v>31840000</v>
      </c>
      <c r="D18" s="474">
        <v>32500000</v>
      </c>
      <c r="E18" s="474">
        <v>25412000</v>
      </c>
      <c r="F18" s="474">
        <v>29500000</v>
      </c>
      <c r="G18" s="474">
        <v>38401000</v>
      </c>
      <c r="H18" s="474">
        <v>30000000</v>
      </c>
      <c r="I18" s="474">
        <v>63932000</v>
      </c>
      <c r="J18" s="474">
        <v>45200000</v>
      </c>
      <c r="K18" s="474">
        <v>36500000</v>
      </c>
      <c r="L18" s="474">
        <v>29800000</v>
      </c>
      <c r="M18" s="474">
        <v>35400000</v>
      </c>
      <c r="N18" s="474">
        <v>97546874</v>
      </c>
      <c r="O18" s="476">
        <f t="shared" si="2"/>
        <v>496031874</v>
      </c>
    </row>
    <row r="19" spans="1:15" ht="28.35" customHeight="1" x14ac:dyDescent="0.2">
      <c r="A19" s="33" t="s">
        <v>326</v>
      </c>
      <c r="B19" s="481" t="s">
        <v>330</v>
      </c>
      <c r="C19" s="474">
        <v>8248500</v>
      </c>
      <c r="D19" s="474">
        <v>8248500</v>
      </c>
      <c r="E19" s="474">
        <v>8251500</v>
      </c>
      <c r="F19" s="474">
        <v>15400000</v>
      </c>
      <c r="G19" s="474">
        <v>8248500</v>
      </c>
      <c r="H19" s="474">
        <v>10500000</v>
      </c>
      <c r="I19" s="474">
        <v>9250000</v>
      </c>
      <c r="J19" s="474">
        <v>23668500</v>
      </c>
      <c r="K19" s="474">
        <v>11129408</v>
      </c>
      <c r="L19" s="474">
        <v>43109090</v>
      </c>
      <c r="M19" s="474">
        <v>10500000</v>
      </c>
      <c r="N19" s="474">
        <v>24241501</v>
      </c>
      <c r="O19" s="476">
        <f t="shared" si="2"/>
        <v>180795499</v>
      </c>
    </row>
    <row r="20" spans="1:15" ht="28.35" customHeight="1" x14ac:dyDescent="0.2">
      <c r="A20" s="33" t="s">
        <v>327</v>
      </c>
      <c r="B20" s="481" t="s">
        <v>321</v>
      </c>
      <c r="C20" s="474">
        <v>410000</v>
      </c>
      <c r="D20" s="474">
        <v>425000</v>
      </c>
      <c r="E20" s="474">
        <v>625000</v>
      </c>
      <c r="F20" s="474">
        <v>425000</v>
      </c>
      <c r="G20" s="474">
        <v>625400</v>
      </c>
      <c r="H20" s="474">
        <v>410000</v>
      </c>
      <c r="I20" s="474">
        <v>395000</v>
      </c>
      <c r="J20" s="474">
        <v>645000</v>
      </c>
      <c r="K20" s="474">
        <v>1015000</v>
      </c>
      <c r="L20" s="474">
        <v>625000</v>
      </c>
      <c r="M20" s="474">
        <v>500000</v>
      </c>
      <c r="N20" s="474">
        <f>7500000-6100400</f>
        <v>1399600</v>
      </c>
      <c r="O20" s="476">
        <f t="shared" si="2"/>
        <v>7500000</v>
      </c>
    </row>
    <row r="21" spans="1:15" ht="28.35" customHeight="1" x14ac:dyDescent="0.2">
      <c r="A21" s="33" t="s">
        <v>328</v>
      </c>
      <c r="B21" s="481" t="s">
        <v>322</v>
      </c>
      <c r="C21" s="474"/>
      <c r="D21" s="474"/>
      <c r="E21" s="474"/>
      <c r="F21" s="474">
        <v>3673915</v>
      </c>
      <c r="G21" s="474">
        <v>2500000</v>
      </c>
      <c r="H21" s="474">
        <v>687000</v>
      </c>
      <c r="I21" s="474"/>
      <c r="J21" s="474"/>
      <c r="K21" s="474"/>
      <c r="L21" s="474"/>
      <c r="M21" s="474">
        <v>10400000</v>
      </c>
      <c r="N21" s="474">
        <f>32843676-14185000</f>
        <v>18658676</v>
      </c>
      <c r="O21" s="476">
        <f t="shared" si="2"/>
        <v>35919591</v>
      </c>
    </row>
    <row r="22" spans="1:15" ht="28.35" customHeight="1" x14ac:dyDescent="0.2">
      <c r="A22" s="33" t="s">
        <v>248</v>
      </c>
      <c r="B22" s="481" t="s">
        <v>323</v>
      </c>
      <c r="C22" s="474"/>
      <c r="D22" s="474"/>
      <c r="E22" s="474">
        <v>15300000</v>
      </c>
      <c r="F22" s="474">
        <v>103771472</v>
      </c>
      <c r="G22" s="474">
        <v>39500000</v>
      </c>
      <c r="H22" s="474"/>
      <c r="I22" s="474">
        <v>82050000</v>
      </c>
      <c r="J22" s="474">
        <v>47400000</v>
      </c>
      <c r="K22" s="474">
        <v>83000000</v>
      </c>
      <c r="L22" s="474">
        <v>285400000</v>
      </c>
      <c r="M22" s="474">
        <v>2780000</v>
      </c>
      <c r="N22" s="474">
        <f>751946293-667930000</f>
        <v>84016293</v>
      </c>
      <c r="O22" s="476">
        <f t="shared" si="2"/>
        <v>743217765</v>
      </c>
    </row>
    <row r="23" spans="1:15" ht="28.35" customHeight="1" x14ac:dyDescent="0.2">
      <c r="A23" s="33" t="s">
        <v>352</v>
      </c>
      <c r="B23" s="481" t="s">
        <v>363</v>
      </c>
      <c r="C23" s="474">
        <v>14048925</v>
      </c>
      <c r="D23" s="474"/>
      <c r="E23" s="474">
        <v>102500000</v>
      </c>
      <c r="F23" s="474"/>
      <c r="G23" s="474"/>
      <c r="H23" s="474">
        <v>2500000</v>
      </c>
      <c r="I23" s="474"/>
      <c r="J23" s="474"/>
      <c r="K23" s="474">
        <v>2500000</v>
      </c>
      <c r="L23" s="474"/>
      <c r="M23" s="474"/>
      <c r="N23" s="474">
        <v>2500000</v>
      </c>
      <c r="O23" s="476">
        <f t="shared" si="2"/>
        <v>124048925</v>
      </c>
    </row>
    <row r="24" spans="1:15" ht="28.35" customHeight="1" x14ac:dyDescent="0.2">
      <c r="A24" s="33" t="s">
        <v>353</v>
      </c>
      <c r="B24" s="481" t="s">
        <v>324</v>
      </c>
      <c r="C24" s="474">
        <v>119000000</v>
      </c>
      <c r="D24" s="474">
        <v>50000000</v>
      </c>
      <c r="E24" s="474"/>
      <c r="F24" s="474">
        <v>25000000</v>
      </c>
      <c r="G24" s="474">
        <v>4860920</v>
      </c>
      <c r="H24" s="474"/>
      <c r="I24" s="474"/>
      <c r="J24" s="474"/>
      <c r="K24" s="474"/>
      <c r="L24" s="474"/>
      <c r="M24" s="474"/>
      <c r="N24" s="474"/>
      <c r="O24" s="476">
        <f>SUM(C24:N24)</f>
        <v>198860920</v>
      </c>
    </row>
    <row r="25" spans="1:15" ht="28.35" customHeight="1" x14ac:dyDescent="0.2">
      <c r="A25" s="33"/>
      <c r="B25" s="482" t="s">
        <v>70</v>
      </c>
      <c r="C25" s="476">
        <f t="shared" ref="C25:O25" si="3">SUM(C16:C24)</f>
        <v>197506568</v>
      </c>
      <c r="D25" s="476">
        <f t="shared" si="3"/>
        <v>115132643</v>
      </c>
      <c r="E25" s="476">
        <f t="shared" si="3"/>
        <v>176047643</v>
      </c>
      <c r="F25" s="476">
        <f t="shared" si="3"/>
        <v>206182703</v>
      </c>
      <c r="G25" s="476">
        <f t="shared" si="3"/>
        <v>118094963</v>
      </c>
      <c r="H25" s="476">
        <f t="shared" si="3"/>
        <v>68056143</v>
      </c>
      <c r="I25" s="476">
        <f t="shared" si="3"/>
        <v>179586143</v>
      </c>
      <c r="J25" s="476">
        <f t="shared" si="3"/>
        <v>140872643</v>
      </c>
      <c r="K25" s="476">
        <f t="shared" si="3"/>
        <v>158103551</v>
      </c>
      <c r="L25" s="476">
        <f t="shared" si="3"/>
        <v>382893233</v>
      </c>
      <c r="M25" s="476">
        <f t="shared" si="3"/>
        <v>83539143</v>
      </c>
      <c r="N25" s="476">
        <f t="shared" si="3"/>
        <v>252322092</v>
      </c>
      <c r="O25" s="476">
        <f t="shared" si="3"/>
        <v>2078337468</v>
      </c>
    </row>
    <row r="26" spans="1:15" ht="15" x14ac:dyDescent="0.2">
      <c r="A26" s="152"/>
      <c r="B26" s="478" t="s">
        <v>325</v>
      </c>
      <c r="C26" s="474">
        <f>C14-C25+C3</f>
        <v>5628301</v>
      </c>
      <c r="D26" s="474">
        <f t="shared" ref="D26:N26" si="4">D3+D14-D25</f>
        <v>9276306</v>
      </c>
      <c r="E26" s="474">
        <f t="shared" si="4"/>
        <v>2297199</v>
      </c>
      <c r="F26" s="474">
        <f t="shared" si="4"/>
        <v>21010956</v>
      </c>
      <c r="G26" s="474">
        <f t="shared" si="4"/>
        <v>56851879</v>
      </c>
      <c r="H26" s="474">
        <f t="shared" si="4"/>
        <v>1290014</v>
      </c>
      <c r="I26" s="474">
        <f t="shared" si="4"/>
        <v>5254</v>
      </c>
      <c r="J26" s="474">
        <f t="shared" si="4"/>
        <v>492733</v>
      </c>
      <c r="K26" s="474">
        <f t="shared" si="4"/>
        <v>244321</v>
      </c>
      <c r="L26" s="474">
        <f t="shared" si="4"/>
        <v>-33206991</v>
      </c>
      <c r="M26" s="474">
        <f t="shared" si="4"/>
        <v>180202</v>
      </c>
      <c r="N26" s="474">
        <f t="shared" si="4"/>
        <v>7337699</v>
      </c>
      <c r="O26" s="474"/>
    </row>
    <row r="30" spans="1:15" ht="22.5" customHeight="1" x14ac:dyDescent="0.2">
      <c r="B30" s="124"/>
    </row>
  </sheetData>
  <mergeCells count="1">
    <mergeCell ref="M1:O1"/>
  </mergeCells>
  <phoneticPr fontId="8" type="noConversion"/>
  <printOptions horizontalCentered="1"/>
  <pageMargins left="0.23622047244094491" right="0.23622047244094491" top="0.86614173228346458" bottom="0.19685039370078741" header="0.35433070866141736" footer="0.19685039370078741"/>
  <pageSetup paperSize="9" scale="68" fitToHeight="0" orientation="landscape" horizontalDpi="4294967294" r:id="rId1"/>
  <headerFooter alignWithMargins="0">
    <oddHeader xml:space="preserve">&amp;C&amp;"Garamond,Félkövér"&amp;12 8/2018. ( VI.28.  ) számú költségvetési rendelethez
ZALAKAROS VÁROS ÖNKORMÁNYZATA 
2018.ÉVI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4"/>
  <sheetViews>
    <sheetView zoomScaleNormal="100" zoomScaleSheetLayoutView="100" workbookViewId="0">
      <selection activeCell="K8" sqref="K8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20" t="s">
        <v>204</v>
      </c>
      <c r="B1" s="150" t="s">
        <v>705</v>
      </c>
      <c r="C1" s="150" t="s">
        <v>208</v>
      </c>
      <c r="D1" s="150" t="s">
        <v>209</v>
      </c>
      <c r="E1" s="150" t="s">
        <v>215</v>
      </c>
      <c r="F1" s="150" t="s">
        <v>218</v>
      </c>
      <c r="G1" s="150" t="s">
        <v>210</v>
      </c>
      <c r="H1" s="150" t="s">
        <v>692</v>
      </c>
      <c r="I1" s="150" t="s">
        <v>216</v>
      </c>
      <c r="J1" s="150" t="s">
        <v>205</v>
      </c>
      <c r="K1" s="150" t="s">
        <v>219</v>
      </c>
      <c r="L1" s="150" t="s">
        <v>704</v>
      </c>
    </row>
    <row r="2" spans="1:12" ht="24.95" customHeight="1" x14ac:dyDescent="0.2">
      <c r="A2" s="98" t="s">
        <v>206</v>
      </c>
      <c r="B2" s="58"/>
      <c r="C2" s="55"/>
      <c r="D2" s="55"/>
      <c r="E2" s="55"/>
      <c r="F2" s="55"/>
      <c r="G2" s="55"/>
      <c r="H2" s="55"/>
      <c r="I2" s="55"/>
      <c r="J2" s="55"/>
      <c r="K2" s="55"/>
      <c r="L2" s="58"/>
    </row>
    <row r="3" spans="1:12" ht="24.95" customHeight="1" x14ac:dyDescent="0.2">
      <c r="A3" s="55" t="s">
        <v>245</v>
      </c>
      <c r="B3" s="58">
        <v>5</v>
      </c>
      <c r="C3" s="55"/>
      <c r="D3" s="55"/>
      <c r="E3" s="55"/>
      <c r="F3" s="55"/>
      <c r="G3" s="55">
        <v>2</v>
      </c>
      <c r="H3" s="55">
        <v>1</v>
      </c>
      <c r="I3" s="55"/>
      <c r="J3" s="55">
        <v>2</v>
      </c>
      <c r="K3" s="55"/>
      <c r="L3" s="58">
        <f t="shared" ref="L3:L9" si="0">SUM(C3:K3)</f>
        <v>5</v>
      </c>
    </row>
    <row r="4" spans="1:12" ht="24.95" customHeight="1" x14ac:dyDescent="0.2">
      <c r="A4" s="55" t="s">
        <v>243</v>
      </c>
      <c r="B4" s="58">
        <v>1</v>
      </c>
      <c r="C4" s="55"/>
      <c r="D4" s="55"/>
      <c r="E4" s="55"/>
      <c r="F4" s="55"/>
      <c r="G4" s="55">
        <v>1</v>
      </c>
      <c r="H4" s="55"/>
      <c r="I4" s="55"/>
      <c r="J4" s="55"/>
      <c r="K4" s="55"/>
      <c r="L4" s="58">
        <f t="shared" si="0"/>
        <v>1</v>
      </c>
    </row>
    <row r="5" spans="1:12" ht="24.95" customHeight="1" x14ac:dyDescent="0.2">
      <c r="A5" s="55" t="s">
        <v>244</v>
      </c>
      <c r="B5" s="58">
        <v>1</v>
      </c>
      <c r="C5" s="55"/>
      <c r="D5" s="55"/>
      <c r="E5" s="55"/>
      <c r="F5" s="55"/>
      <c r="G5" s="55">
        <v>1</v>
      </c>
      <c r="H5" s="55"/>
      <c r="I5" s="55"/>
      <c r="J5" s="55"/>
      <c r="K5" s="55"/>
      <c r="L5" s="58">
        <f t="shared" si="0"/>
        <v>1</v>
      </c>
    </row>
    <row r="6" spans="1:12" ht="24.95" customHeight="1" x14ac:dyDescent="0.2">
      <c r="A6" s="55" t="s">
        <v>689</v>
      </c>
      <c r="B6" s="58">
        <v>1</v>
      </c>
      <c r="C6" s="55"/>
      <c r="D6" s="55"/>
      <c r="E6" s="55"/>
      <c r="F6" s="55"/>
      <c r="G6" s="55">
        <v>1</v>
      </c>
      <c r="H6" s="55"/>
      <c r="I6" s="55"/>
      <c r="J6" s="55"/>
      <c r="K6" s="55"/>
      <c r="L6" s="58">
        <f t="shared" si="0"/>
        <v>1</v>
      </c>
    </row>
    <row r="7" spans="1:12" ht="24.95" customHeight="1" x14ac:dyDescent="0.2">
      <c r="A7" s="55" t="s">
        <v>690</v>
      </c>
      <c r="B7" s="58">
        <v>45</v>
      </c>
      <c r="C7" s="55"/>
      <c r="D7" s="55"/>
      <c r="E7" s="55"/>
      <c r="F7" s="55"/>
      <c r="G7" s="55"/>
      <c r="H7" s="55"/>
      <c r="I7" s="55"/>
      <c r="J7" s="55"/>
      <c r="K7" s="55">
        <v>38</v>
      </c>
      <c r="L7" s="58">
        <f t="shared" si="0"/>
        <v>38</v>
      </c>
    </row>
    <row r="8" spans="1:12" s="83" customFormat="1" ht="24.95" customHeight="1" x14ac:dyDescent="0.2">
      <c r="A8" s="224" t="s">
        <v>82</v>
      </c>
      <c r="B8" s="114">
        <f>SUM(B3:B7)</f>
        <v>53</v>
      </c>
      <c r="C8" s="114">
        <f t="shared" ref="C8:K8" si="1">SUM(C3:C7)</f>
        <v>0</v>
      </c>
      <c r="D8" s="114">
        <f t="shared" si="1"/>
        <v>0</v>
      </c>
      <c r="E8" s="114">
        <f t="shared" si="1"/>
        <v>0</v>
      </c>
      <c r="F8" s="114">
        <f t="shared" si="1"/>
        <v>0</v>
      </c>
      <c r="G8" s="114">
        <f t="shared" si="1"/>
        <v>5</v>
      </c>
      <c r="H8" s="114">
        <f>SUM(H3:H7)</f>
        <v>1</v>
      </c>
      <c r="I8" s="114">
        <f t="shared" si="1"/>
        <v>0</v>
      </c>
      <c r="J8" s="114">
        <f t="shared" si="1"/>
        <v>2</v>
      </c>
      <c r="K8" s="114">
        <f t="shared" si="1"/>
        <v>38</v>
      </c>
      <c r="L8" s="58">
        <f t="shared" si="0"/>
        <v>46</v>
      </c>
    </row>
    <row r="9" spans="1:12" s="421" customFormat="1" ht="24.95" customHeight="1" x14ac:dyDescent="0.2">
      <c r="A9" s="420" t="s">
        <v>207</v>
      </c>
      <c r="B9" s="420">
        <v>21</v>
      </c>
      <c r="C9" s="420">
        <v>21</v>
      </c>
      <c r="D9" s="420"/>
      <c r="E9" s="420"/>
      <c r="F9" s="420"/>
      <c r="G9" s="420"/>
      <c r="H9" s="420"/>
      <c r="I9" s="420"/>
      <c r="J9" s="420"/>
      <c r="K9" s="420"/>
      <c r="L9" s="419">
        <f t="shared" si="0"/>
        <v>21</v>
      </c>
    </row>
    <row r="10" spans="1:12" ht="24.95" customHeight="1" x14ac:dyDescent="0.2">
      <c r="A10" s="98" t="s">
        <v>391</v>
      </c>
      <c r="B10" s="58"/>
      <c r="C10" s="55"/>
      <c r="D10" s="55"/>
      <c r="E10" s="55"/>
      <c r="F10" s="55"/>
      <c r="G10" s="55"/>
      <c r="H10" s="55"/>
      <c r="I10" s="55"/>
      <c r="J10" s="55"/>
      <c r="K10" s="55"/>
      <c r="L10" s="58"/>
    </row>
    <row r="11" spans="1:12" ht="24.95" customHeight="1" x14ac:dyDescent="0.2">
      <c r="A11" s="55" t="s">
        <v>211</v>
      </c>
      <c r="B11" s="58">
        <v>13.7</v>
      </c>
      <c r="C11" s="55"/>
      <c r="D11" s="55">
        <v>7</v>
      </c>
      <c r="E11" s="55"/>
      <c r="F11" s="55"/>
      <c r="G11" s="55">
        <v>4</v>
      </c>
      <c r="H11" s="55"/>
      <c r="I11" s="55"/>
      <c r="J11" s="55">
        <v>3</v>
      </c>
      <c r="K11" s="55"/>
      <c r="L11" s="58">
        <f>SUM(D11:K11)</f>
        <v>14</v>
      </c>
    </row>
    <row r="12" spans="1:12" ht="24.95" customHeight="1" x14ac:dyDescent="0.2">
      <c r="A12" s="55" t="s">
        <v>212</v>
      </c>
      <c r="B12" s="58">
        <v>8</v>
      </c>
      <c r="C12" s="55"/>
      <c r="D12" s="55"/>
      <c r="E12" s="55">
        <v>4</v>
      </c>
      <c r="F12" s="55"/>
      <c r="G12" s="55"/>
      <c r="H12" s="55"/>
      <c r="I12" s="55"/>
      <c r="J12" s="55">
        <v>2</v>
      </c>
      <c r="K12" s="55"/>
      <c r="L12" s="58">
        <f>SUM(D12:K12)</f>
        <v>6</v>
      </c>
    </row>
    <row r="13" spans="1:12" ht="24.95" customHeight="1" x14ac:dyDescent="0.2">
      <c r="A13" s="55" t="s">
        <v>213</v>
      </c>
      <c r="B13" s="58">
        <v>7</v>
      </c>
      <c r="C13" s="55"/>
      <c r="D13" s="55"/>
      <c r="E13" s="55"/>
      <c r="F13" s="55"/>
      <c r="G13" s="55">
        <v>2</v>
      </c>
      <c r="H13" s="55"/>
      <c r="I13" s="55">
        <v>1</v>
      </c>
      <c r="J13" s="55">
        <v>4</v>
      </c>
      <c r="K13" s="55"/>
      <c r="L13" s="58">
        <f>SUM(D13:K13)</f>
        <v>7</v>
      </c>
    </row>
    <row r="14" spans="1:12" ht="24.95" customHeight="1" x14ac:dyDescent="0.2">
      <c r="A14" s="55" t="s">
        <v>214</v>
      </c>
      <c r="B14" s="58"/>
      <c r="C14" s="55"/>
      <c r="D14" s="55"/>
      <c r="E14" s="55"/>
      <c r="F14" s="55"/>
      <c r="G14" s="55"/>
      <c r="H14" s="55"/>
      <c r="I14" s="55"/>
      <c r="J14" s="55"/>
      <c r="K14" s="55"/>
      <c r="L14" s="58">
        <f>SUM(D14:K14)</f>
        <v>0</v>
      </c>
    </row>
    <row r="15" spans="1:12" ht="24.95" customHeight="1" x14ac:dyDescent="0.2">
      <c r="A15" s="114" t="s">
        <v>376</v>
      </c>
      <c r="B15" s="114">
        <f t="shared" ref="B15:L15" si="2">SUM(B10:B14)</f>
        <v>28.7</v>
      </c>
      <c r="C15" s="114">
        <f t="shared" si="2"/>
        <v>0</v>
      </c>
      <c r="D15" s="114">
        <f t="shared" si="2"/>
        <v>7</v>
      </c>
      <c r="E15" s="114">
        <f t="shared" si="2"/>
        <v>4</v>
      </c>
      <c r="F15" s="114">
        <f t="shared" si="2"/>
        <v>0</v>
      </c>
      <c r="G15" s="114">
        <f t="shared" si="2"/>
        <v>6</v>
      </c>
      <c r="H15" s="114"/>
      <c r="I15" s="114">
        <f t="shared" si="2"/>
        <v>1</v>
      </c>
      <c r="J15" s="114">
        <f t="shared" si="2"/>
        <v>9</v>
      </c>
      <c r="K15" s="114">
        <f t="shared" si="2"/>
        <v>0</v>
      </c>
      <c r="L15" s="114">
        <f t="shared" si="2"/>
        <v>27</v>
      </c>
    </row>
    <row r="16" spans="1:12" ht="24.95" customHeight="1" x14ac:dyDescent="0.2">
      <c r="A16" s="223" t="s">
        <v>390</v>
      </c>
      <c r="B16" s="115"/>
      <c r="C16" s="223"/>
      <c r="D16" s="223"/>
      <c r="E16" s="223"/>
      <c r="F16" s="223"/>
      <c r="G16" s="223"/>
      <c r="H16" s="223"/>
      <c r="I16" s="223"/>
      <c r="J16" s="223"/>
      <c r="K16" s="223"/>
      <c r="L16" s="115"/>
    </row>
    <row r="17" spans="1:12" ht="24.95" customHeight="1" x14ac:dyDescent="0.2">
      <c r="A17" s="189" t="s">
        <v>392</v>
      </c>
      <c r="B17" s="225">
        <v>0.6</v>
      </c>
      <c r="C17" s="189"/>
      <c r="D17" s="189"/>
      <c r="E17" s="189"/>
      <c r="F17" s="55">
        <v>0.6</v>
      </c>
      <c r="G17" s="189"/>
      <c r="H17" s="189"/>
      <c r="I17" s="189"/>
      <c r="J17" s="189"/>
      <c r="K17" s="189"/>
      <c r="L17" s="58">
        <f>SUM(D17:K17)</f>
        <v>0.6</v>
      </c>
    </row>
    <row r="18" spans="1:12" ht="24.95" customHeight="1" x14ac:dyDescent="0.2">
      <c r="A18" s="189" t="s">
        <v>393</v>
      </c>
      <c r="B18" s="225">
        <v>4</v>
      </c>
      <c r="C18" s="189"/>
      <c r="D18" s="189"/>
      <c r="E18" s="189"/>
      <c r="F18" s="55"/>
      <c r="G18" s="189">
        <v>3</v>
      </c>
      <c r="H18" s="189"/>
      <c r="I18" s="189"/>
      <c r="J18" s="189">
        <v>1</v>
      </c>
      <c r="K18" s="189"/>
      <c r="L18" s="58">
        <f>SUM(D18:K18)</f>
        <v>4</v>
      </c>
    </row>
    <row r="19" spans="1:12" ht="24.95" customHeight="1" x14ac:dyDescent="0.2">
      <c r="A19" s="114" t="s">
        <v>394</v>
      </c>
      <c r="B19" s="114">
        <f t="shared" ref="B19:K19" si="3">B17+B18</f>
        <v>4.5999999999999996</v>
      </c>
      <c r="C19" s="114">
        <f t="shared" si="3"/>
        <v>0</v>
      </c>
      <c r="D19" s="114">
        <f t="shared" si="3"/>
        <v>0</v>
      </c>
      <c r="E19" s="114">
        <f t="shared" si="3"/>
        <v>0</v>
      </c>
      <c r="F19" s="114">
        <f t="shared" si="3"/>
        <v>0.6</v>
      </c>
      <c r="G19" s="114">
        <f t="shared" si="3"/>
        <v>3</v>
      </c>
      <c r="H19" s="114"/>
      <c r="I19" s="114">
        <f t="shared" si="3"/>
        <v>0</v>
      </c>
      <c r="J19" s="114">
        <f t="shared" si="3"/>
        <v>1</v>
      </c>
      <c r="K19" s="114">
        <f t="shared" si="3"/>
        <v>0</v>
      </c>
      <c r="L19" s="114">
        <f>L17+L18</f>
        <v>4.5999999999999996</v>
      </c>
    </row>
    <row r="20" spans="1:12" s="83" customFormat="1" ht="24.95" customHeight="1" x14ac:dyDescent="0.2">
      <c r="A20" s="115" t="s">
        <v>217</v>
      </c>
      <c r="B20" s="115">
        <f>SUM(B15+B9+B8+B19)</f>
        <v>107.3</v>
      </c>
      <c r="C20" s="115">
        <f t="shared" ref="C20:K20" si="4">SUM(C15+C9+C8+C19)</f>
        <v>21</v>
      </c>
      <c r="D20" s="115">
        <f t="shared" si="4"/>
        <v>7</v>
      </c>
      <c r="E20" s="115">
        <f t="shared" si="4"/>
        <v>4</v>
      </c>
      <c r="F20" s="115">
        <f t="shared" si="4"/>
        <v>0.6</v>
      </c>
      <c r="G20" s="115">
        <f t="shared" si="4"/>
        <v>14</v>
      </c>
      <c r="H20" s="115">
        <f>G8+H15+H19</f>
        <v>5</v>
      </c>
      <c r="I20" s="115">
        <f t="shared" si="4"/>
        <v>1</v>
      </c>
      <c r="J20" s="115">
        <f t="shared" si="4"/>
        <v>12</v>
      </c>
      <c r="K20" s="115">
        <f t="shared" si="4"/>
        <v>38</v>
      </c>
      <c r="L20" s="115">
        <f>SUM(L15+L9+L8+L19)</f>
        <v>98.6</v>
      </c>
    </row>
    <row r="22" spans="1:12" ht="15.75" x14ac:dyDescent="0.25">
      <c r="A22" s="121"/>
      <c r="B22" s="121"/>
      <c r="C22" s="121"/>
      <c r="D22" s="121"/>
      <c r="J22" s="113"/>
    </row>
    <row r="23" spans="1:12" x14ac:dyDescent="0.2">
      <c r="A23" s="83"/>
    </row>
    <row r="24" spans="1:12" x14ac:dyDescent="0.2">
      <c r="A24" s="83"/>
    </row>
  </sheetData>
  <phoneticPr fontId="43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CE,Félkövér"8/2018. ( VI.28.  ) 
számú rendelethez
ZALAKAROS VÁROS ÖNKORMÁNYZATÁNAK ÉS KÖLTSÉGVETÉSI SZERVEI  
 2018.ÉVI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5"/>
  <sheetViews>
    <sheetView tabSelected="1" zoomScaleNormal="100" workbookViewId="0">
      <selection activeCell="I28" sqref="I28"/>
    </sheetView>
  </sheetViews>
  <sheetFormatPr defaultRowHeight="12.75" x14ac:dyDescent="0.2"/>
  <cols>
    <col min="1" max="1" width="10" style="8" customWidth="1"/>
    <col min="2" max="2" width="32.85546875" style="8" customWidth="1"/>
    <col min="3" max="3" width="15.85546875" style="8" customWidth="1"/>
    <col min="4" max="4" width="12.85546875" style="8" customWidth="1"/>
    <col min="5" max="5" width="16.28515625" style="8" customWidth="1"/>
    <col min="6" max="6" width="12.85546875" style="8" customWidth="1"/>
    <col min="7" max="7" width="13.28515625" style="8" customWidth="1"/>
    <col min="8" max="8" width="13" style="8" customWidth="1"/>
    <col min="9" max="9" width="13.85546875" style="8" customWidth="1"/>
    <col min="10" max="10" width="11.5703125" style="8" customWidth="1"/>
    <col min="11" max="11" width="14.140625" style="8" customWidth="1"/>
    <col min="12" max="12" width="13.42578125" style="8" customWidth="1"/>
    <col min="13" max="13" width="16.28515625" style="8" customWidth="1"/>
    <col min="14" max="14" width="13.42578125" style="8" customWidth="1"/>
    <col min="15" max="16384" width="9.140625" style="8"/>
  </cols>
  <sheetData>
    <row r="1" spans="1:18" ht="55.5" customHeight="1" x14ac:dyDescent="0.2">
      <c r="B1" s="122"/>
      <c r="C1" s="122"/>
      <c r="D1" s="122"/>
      <c r="E1" s="122"/>
      <c r="F1" s="122"/>
      <c r="G1" s="122"/>
      <c r="H1" s="122"/>
    </row>
    <row r="2" spans="1:18" x14ac:dyDescent="0.2">
      <c r="A2" s="760" t="s">
        <v>0</v>
      </c>
      <c r="B2" s="760" t="s">
        <v>412</v>
      </c>
      <c r="C2" s="763" t="s">
        <v>83</v>
      </c>
      <c r="D2" s="764"/>
      <c r="E2" s="767" t="s">
        <v>413</v>
      </c>
      <c r="F2" s="767"/>
      <c r="G2" s="767"/>
      <c r="H2" s="767"/>
      <c r="I2" s="767"/>
      <c r="J2" s="767"/>
      <c r="K2" s="767"/>
      <c r="L2" s="767"/>
      <c r="M2" s="767"/>
      <c r="N2" s="767"/>
    </row>
    <row r="3" spans="1:18" ht="51" customHeight="1" x14ac:dyDescent="0.2">
      <c r="A3" s="761"/>
      <c r="B3" s="761"/>
      <c r="C3" s="765"/>
      <c r="D3" s="766"/>
      <c r="E3" s="759" t="s">
        <v>416</v>
      </c>
      <c r="F3" s="759"/>
      <c r="G3" s="759" t="s">
        <v>417</v>
      </c>
      <c r="H3" s="759"/>
      <c r="I3" s="759" t="s">
        <v>414</v>
      </c>
      <c r="J3" s="759"/>
      <c r="K3" s="759" t="s">
        <v>418</v>
      </c>
      <c r="L3" s="759"/>
      <c r="M3" s="759" t="s">
        <v>415</v>
      </c>
      <c r="N3" s="759"/>
    </row>
    <row r="4" spans="1:18" ht="54.75" customHeight="1" x14ac:dyDescent="0.2">
      <c r="A4" s="762"/>
      <c r="B4" s="762"/>
      <c r="C4" s="274" t="s">
        <v>706</v>
      </c>
      <c r="D4" s="274" t="s">
        <v>786</v>
      </c>
      <c r="E4" s="425" t="s">
        <v>706</v>
      </c>
      <c r="F4" s="487" t="s">
        <v>786</v>
      </c>
      <c r="G4" s="425" t="s">
        <v>706</v>
      </c>
      <c r="H4" s="487" t="s">
        <v>786</v>
      </c>
      <c r="I4" s="425" t="s">
        <v>706</v>
      </c>
      <c r="J4" s="487" t="s">
        <v>786</v>
      </c>
      <c r="K4" s="425" t="s">
        <v>706</v>
      </c>
      <c r="L4" s="487" t="s">
        <v>786</v>
      </c>
      <c r="M4" s="425" t="s">
        <v>706</v>
      </c>
      <c r="N4" s="487" t="s">
        <v>786</v>
      </c>
    </row>
    <row r="5" spans="1:18" ht="30" customHeight="1" x14ac:dyDescent="0.2">
      <c r="A5" s="249" t="s">
        <v>2</v>
      </c>
      <c r="B5" s="249" t="s">
        <v>4</v>
      </c>
      <c r="C5" s="274" t="s">
        <v>5</v>
      </c>
      <c r="D5" s="249" t="s">
        <v>6</v>
      </c>
      <c r="E5" s="274" t="s">
        <v>8</v>
      </c>
      <c r="F5" s="274" t="s">
        <v>22</v>
      </c>
      <c r="G5" s="274" t="s">
        <v>17</v>
      </c>
      <c r="H5" s="274" t="s">
        <v>23</v>
      </c>
      <c r="I5" s="274" t="s">
        <v>608</v>
      </c>
      <c r="J5" s="274" t="s">
        <v>609</v>
      </c>
      <c r="K5" s="274" t="s">
        <v>178</v>
      </c>
      <c r="L5" s="274" t="s">
        <v>38</v>
      </c>
      <c r="M5" s="274" t="s">
        <v>610</v>
      </c>
      <c r="N5" s="274" t="s">
        <v>611</v>
      </c>
    </row>
    <row r="6" spans="1:18" ht="19.5" customHeight="1" x14ac:dyDescent="0.2">
      <c r="A6" s="245" t="s">
        <v>2</v>
      </c>
      <c r="B6" s="245" t="s">
        <v>97</v>
      </c>
      <c r="C6" s="287">
        <f>'2. számú melléklet  '!I18+'2. számú melléklet  '!I55</f>
        <v>128522344</v>
      </c>
      <c r="D6" s="287">
        <f>'2. számú melléklet  '!J18+'2. számú melléklet  '!J55</f>
        <v>136169432</v>
      </c>
      <c r="E6" s="248">
        <f>'1.a számú melléklet '!G5</f>
        <v>76531800</v>
      </c>
      <c r="F6" s="248">
        <f>E6+67100+199693</f>
        <v>76798593</v>
      </c>
      <c r="G6" s="248">
        <f t="shared" ref="G6:H8" si="0">C6-E6-K6</f>
        <v>37635544</v>
      </c>
      <c r="H6" s="248">
        <f t="shared" si="0"/>
        <v>37635544</v>
      </c>
      <c r="I6" s="248">
        <f t="shared" ref="I6:J8" si="1">E6+G6</f>
        <v>114167344</v>
      </c>
      <c r="J6" s="248">
        <f t="shared" si="1"/>
        <v>114434137</v>
      </c>
      <c r="K6" s="248">
        <f>'2. számú melléklet  '!D18+'2. számú melléklet  '!D36</f>
        <v>14355000</v>
      </c>
      <c r="L6" s="248">
        <f>'2. számú melléklet  '!E18+'2. számú melléklet  '!E36</f>
        <v>21735295</v>
      </c>
      <c r="M6" s="287">
        <f t="shared" ref="M6:N8" si="2">I6+K6</f>
        <v>128522344</v>
      </c>
      <c r="N6" s="287">
        <f t="shared" si="2"/>
        <v>136169432</v>
      </c>
    </row>
    <row r="7" spans="1:18" ht="21.75" customHeight="1" x14ac:dyDescent="0.2">
      <c r="A7" s="245" t="s">
        <v>4</v>
      </c>
      <c r="B7" s="245" t="s">
        <v>376</v>
      </c>
      <c r="C7" s="287">
        <f>'2. számú melléklet  '!I23+'2. számú melléklet  '!I58</f>
        <v>157939000</v>
      </c>
      <c r="D7" s="287">
        <f>'2. számú melléklet  '!J23+'2. számú melléklet  '!J58</f>
        <v>160580527</v>
      </c>
      <c r="E7" s="248">
        <v>78758663</v>
      </c>
      <c r="F7" s="248">
        <f>'1.a számú melléklet '!J32+'1.a számú melléklet '!J37+'1.a számú melléklet '!J38+'1.a számú melléklet '!J39+'1.a számú melléklet '!J40+'1.a számú melléklet '!J41+58072+202777+168116</f>
        <v>79286808</v>
      </c>
      <c r="G7" s="248">
        <f t="shared" si="0"/>
        <v>30498610</v>
      </c>
      <c r="H7" s="248">
        <f t="shared" si="0"/>
        <v>30399430</v>
      </c>
      <c r="I7" s="248">
        <f t="shared" si="1"/>
        <v>109257273</v>
      </c>
      <c r="J7" s="248">
        <f t="shared" si="1"/>
        <v>109686238</v>
      </c>
      <c r="K7" s="248">
        <f>'2. számú melléklet  '!D23+'2. számú melléklet  '!D38</f>
        <v>48681727</v>
      </c>
      <c r="L7" s="248">
        <f>'2. számú melléklet  '!E23+'2. számú melléklet  '!E38</f>
        <v>50894289</v>
      </c>
      <c r="M7" s="287">
        <f t="shared" si="2"/>
        <v>157939000</v>
      </c>
      <c r="N7" s="287">
        <f t="shared" si="2"/>
        <v>160580527</v>
      </c>
      <c r="R7" s="423"/>
    </row>
    <row r="8" spans="1:18" ht="24.75" customHeight="1" x14ac:dyDescent="0.2">
      <c r="A8" s="245" t="s">
        <v>5</v>
      </c>
      <c r="B8" s="245" t="s">
        <v>378</v>
      </c>
      <c r="C8" s="287">
        <f>'2. számú melléklet  '!I28+'2. számú melléklet  '!I61</f>
        <v>53721000</v>
      </c>
      <c r="D8" s="287">
        <f>'2. számú melléklet  '!J28+'2. számú melléklet  '!J61</f>
        <v>62223849</v>
      </c>
      <c r="E8" s="248">
        <v>2974180</v>
      </c>
      <c r="F8" s="248">
        <f>E8+358989</f>
        <v>3333169</v>
      </c>
      <c r="G8" s="248">
        <f t="shared" si="0"/>
        <v>23482872</v>
      </c>
      <c r="H8" s="248">
        <f t="shared" si="0"/>
        <v>23482872</v>
      </c>
      <c r="I8" s="248">
        <f t="shared" si="1"/>
        <v>26457052</v>
      </c>
      <c r="J8" s="248">
        <f t="shared" si="1"/>
        <v>26816041</v>
      </c>
      <c r="K8" s="248">
        <f>'2. számú melléklet  '!D28+'2. számú melléklet  '!D60</f>
        <v>27263948</v>
      </c>
      <c r="L8" s="248">
        <f>'2. számú melléklet  '!E28+'2. számú melléklet  '!E40+'2. számú melléklet  '!E61</f>
        <v>35407808</v>
      </c>
      <c r="M8" s="287">
        <f t="shared" si="2"/>
        <v>53721000</v>
      </c>
      <c r="N8" s="287">
        <f t="shared" si="2"/>
        <v>62223849</v>
      </c>
    </row>
    <row r="9" spans="1:18" ht="21.75" customHeight="1" x14ac:dyDescent="0.2">
      <c r="A9" s="246"/>
      <c r="B9" s="274" t="s">
        <v>81</v>
      </c>
      <c r="C9" s="247">
        <f>SUM(C6:C8)</f>
        <v>340182344</v>
      </c>
      <c r="D9" s="247">
        <f t="shared" ref="D9:N9" si="3">SUM(D6:D8)</f>
        <v>358973808</v>
      </c>
      <c r="E9" s="247">
        <f>SUM(E6:E8)</f>
        <v>158264643</v>
      </c>
      <c r="F9" s="247">
        <f t="shared" si="3"/>
        <v>159418570</v>
      </c>
      <c r="G9" s="247">
        <f>SUM(G6:G8)</f>
        <v>91617026</v>
      </c>
      <c r="H9" s="247">
        <f t="shared" si="3"/>
        <v>91517846</v>
      </c>
      <c r="I9" s="247">
        <f>SUM(I6:I8)</f>
        <v>249881669</v>
      </c>
      <c r="J9" s="247">
        <f t="shared" si="3"/>
        <v>250936416</v>
      </c>
      <c r="K9" s="247">
        <f>SUM(K6:K8)</f>
        <v>90300675</v>
      </c>
      <c r="L9" s="247">
        <f t="shared" si="3"/>
        <v>108037392</v>
      </c>
      <c r="M9" s="247">
        <f>SUM(M6:M8)</f>
        <v>340182344</v>
      </c>
      <c r="N9" s="247">
        <f t="shared" si="3"/>
        <v>358973808</v>
      </c>
    </row>
    <row r="10" spans="1:18" ht="15" x14ac:dyDescent="0.2">
      <c r="H10" s="122"/>
    </row>
    <row r="35" spans="11:11" x14ac:dyDescent="0.2">
      <c r="K35" s="9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 8/2018. ( VI.28.  ) 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5"/>
  <sheetViews>
    <sheetView view="pageBreakPreview" zoomScaleNormal="100" zoomScaleSheetLayoutView="100" zoomScalePageLayoutView="75" workbookViewId="0">
      <selection activeCell="P52" sqref="P52"/>
    </sheetView>
  </sheetViews>
  <sheetFormatPr defaultRowHeight="14.25" x14ac:dyDescent="0.2"/>
  <cols>
    <col min="1" max="1" width="76.5703125" style="84" customWidth="1"/>
    <col min="2" max="2" width="9.140625" style="84"/>
    <col min="3" max="3" width="13" style="84" customWidth="1"/>
    <col min="4" max="4" width="12.85546875" style="84" customWidth="1"/>
    <col min="5" max="5" width="9.5703125" style="84" customWidth="1"/>
    <col min="6" max="6" width="12.28515625" style="84" customWidth="1"/>
    <col min="7" max="7" width="15.140625" style="84" customWidth="1"/>
    <col min="8" max="8" width="9.140625" style="84"/>
    <col min="9" max="9" width="10.140625" style="84" bestFit="1" customWidth="1"/>
    <col min="10" max="10" width="12.42578125" style="84" bestFit="1" customWidth="1"/>
    <col min="11" max="16384" width="9.140625" style="84"/>
  </cols>
  <sheetData>
    <row r="1" spans="1:10" ht="15" x14ac:dyDescent="0.2">
      <c r="A1" s="616" t="s">
        <v>52</v>
      </c>
      <c r="B1" s="613" t="s">
        <v>684</v>
      </c>
      <c r="C1" s="614"/>
      <c r="D1" s="615"/>
      <c r="E1" s="613" t="s">
        <v>695</v>
      </c>
      <c r="F1" s="614"/>
      <c r="G1" s="615"/>
      <c r="H1" s="613" t="s">
        <v>782</v>
      </c>
      <c r="I1" s="614"/>
      <c r="J1" s="615"/>
    </row>
    <row r="2" spans="1:10" s="97" customFormat="1" ht="30" x14ac:dyDescent="0.2">
      <c r="A2" s="617"/>
      <c r="B2" s="288" t="s">
        <v>202</v>
      </c>
      <c r="C2" s="288" t="s">
        <v>117</v>
      </c>
      <c r="D2" s="289" t="s">
        <v>203</v>
      </c>
      <c r="E2" s="288" t="s">
        <v>202</v>
      </c>
      <c r="F2" s="288" t="s">
        <v>117</v>
      </c>
      <c r="G2" s="289" t="s">
        <v>647</v>
      </c>
      <c r="H2" s="288" t="s">
        <v>202</v>
      </c>
      <c r="I2" s="288" t="s">
        <v>117</v>
      </c>
      <c r="J2" s="289" t="s">
        <v>647</v>
      </c>
    </row>
    <row r="3" spans="1:10" ht="15" x14ac:dyDescent="0.2">
      <c r="A3" s="618"/>
      <c r="B3" s="290"/>
      <c r="C3" s="290" t="s">
        <v>53</v>
      </c>
      <c r="D3" s="290" t="s">
        <v>405</v>
      </c>
      <c r="E3" s="290"/>
      <c r="F3" s="290" t="s">
        <v>53</v>
      </c>
      <c r="G3" s="290" t="s">
        <v>405</v>
      </c>
      <c r="H3" s="290"/>
      <c r="I3" s="290" t="s">
        <v>53</v>
      </c>
      <c r="J3" s="290" t="s">
        <v>405</v>
      </c>
    </row>
    <row r="4" spans="1:10" x14ac:dyDescent="0.2">
      <c r="A4" s="619" t="s">
        <v>102</v>
      </c>
      <c r="B4" s="620"/>
      <c r="C4" s="620"/>
      <c r="D4" s="620"/>
      <c r="E4" s="620"/>
      <c r="F4" s="620"/>
      <c r="G4" s="620"/>
      <c r="H4" s="620"/>
      <c r="I4" s="620"/>
      <c r="J4" s="620"/>
    </row>
    <row r="5" spans="1:10" ht="15" x14ac:dyDescent="0.25">
      <c r="A5" s="95" t="s">
        <v>103</v>
      </c>
      <c r="B5" s="142">
        <v>16.760000000000002</v>
      </c>
      <c r="C5" s="143">
        <v>4580000</v>
      </c>
      <c r="D5" s="144">
        <v>76760800</v>
      </c>
      <c r="E5" s="142">
        <v>16.71</v>
      </c>
      <c r="F5" s="143">
        <v>4580000</v>
      </c>
      <c r="G5" s="144">
        <f>E5*F5</f>
        <v>76531800</v>
      </c>
      <c r="H5" s="142">
        <v>16.71</v>
      </c>
      <c r="I5" s="143">
        <v>4580000</v>
      </c>
      <c r="J5" s="144">
        <f>H5*I5</f>
        <v>76531800</v>
      </c>
    </row>
    <row r="6" spans="1:10" ht="15" x14ac:dyDescent="0.25">
      <c r="A6" s="95" t="s">
        <v>104</v>
      </c>
      <c r="B6" s="143"/>
      <c r="C6" s="143"/>
      <c r="D6" s="144"/>
      <c r="E6" s="143"/>
      <c r="F6" s="143"/>
      <c r="G6" s="144"/>
      <c r="H6" s="143"/>
      <c r="I6" s="143"/>
      <c r="J6" s="144"/>
    </row>
    <row r="7" spans="1:10" ht="15" x14ac:dyDescent="0.25">
      <c r="A7" s="95" t="s">
        <v>253</v>
      </c>
      <c r="B7" s="143"/>
      <c r="C7" s="143"/>
      <c r="D7" s="144"/>
      <c r="E7" s="143"/>
      <c r="F7" s="143"/>
      <c r="G7" s="144">
        <f>G9+G11+G13+G15</f>
        <v>0</v>
      </c>
      <c r="H7" s="143"/>
      <c r="I7" s="143"/>
      <c r="J7" s="144">
        <f>J9+J11+J13+J15</f>
        <v>0</v>
      </c>
    </row>
    <row r="8" spans="1:10" x14ac:dyDescent="0.2">
      <c r="A8" s="96" t="s">
        <v>105</v>
      </c>
      <c r="B8" s="85"/>
      <c r="C8" s="86"/>
      <c r="D8" s="87">
        <v>7550780</v>
      </c>
      <c r="E8" s="85"/>
      <c r="F8" s="86"/>
      <c r="G8" s="87">
        <v>7619910</v>
      </c>
      <c r="H8" s="85"/>
      <c r="I8" s="86"/>
      <c r="J8" s="87">
        <v>7619910</v>
      </c>
    </row>
    <row r="9" spans="1:10" x14ac:dyDescent="0.2">
      <c r="A9" s="96" t="s">
        <v>125</v>
      </c>
      <c r="B9" s="85"/>
      <c r="C9" s="86"/>
      <c r="D9" s="87"/>
      <c r="E9" s="85"/>
      <c r="F9" s="86"/>
      <c r="G9" s="87"/>
      <c r="H9" s="85"/>
      <c r="I9" s="86"/>
      <c r="J9" s="87"/>
    </row>
    <row r="10" spans="1:10" x14ac:dyDescent="0.2">
      <c r="A10" s="96" t="s">
        <v>106</v>
      </c>
      <c r="B10" s="88"/>
      <c r="C10" s="88"/>
      <c r="D10" s="87">
        <v>14912000</v>
      </c>
      <c r="E10" s="88"/>
      <c r="F10" s="88"/>
      <c r="G10" s="87">
        <v>15008000</v>
      </c>
      <c r="H10" s="88"/>
      <c r="I10" s="88"/>
      <c r="J10" s="87">
        <v>15008000</v>
      </c>
    </row>
    <row r="11" spans="1:10" x14ac:dyDescent="0.2">
      <c r="A11" s="96" t="s">
        <v>126</v>
      </c>
      <c r="B11" s="88"/>
      <c r="C11" s="88"/>
      <c r="D11" s="87"/>
      <c r="E11" s="88"/>
      <c r="F11" s="88"/>
      <c r="G11" s="87"/>
      <c r="H11" s="88"/>
      <c r="I11" s="88"/>
      <c r="J11" s="87"/>
    </row>
    <row r="12" spans="1:10" x14ac:dyDescent="0.2">
      <c r="A12" s="96" t="s">
        <v>107</v>
      </c>
      <c r="B12" s="88"/>
      <c r="C12" s="88"/>
      <c r="D12" s="87">
        <v>672681</v>
      </c>
      <c r="E12" s="88"/>
      <c r="F12" s="88"/>
      <c r="G12" s="87">
        <v>672681</v>
      </c>
      <c r="H12" s="88"/>
      <c r="I12" s="88"/>
      <c r="J12" s="87">
        <v>672681</v>
      </c>
    </row>
    <row r="13" spans="1:10" x14ac:dyDescent="0.2">
      <c r="A13" s="96" t="s">
        <v>127</v>
      </c>
      <c r="B13" s="88"/>
      <c r="C13" s="88"/>
      <c r="D13" s="87"/>
      <c r="E13" s="88"/>
      <c r="F13" s="88"/>
      <c r="G13" s="87"/>
      <c r="H13" s="88"/>
      <c r="I13" s="88"/>
      <c r="J13" s="87"/>
    </row>
    <row r="14" spans="1:10" x14ac:dyDescent="0.2">
      <c r="A14" s="96" t="s">
        <v>108</v>
      </c>
      <c r="B14" s="88"/>
      <c r="C14" s="88"/>
      <c r="D14" s="87">
        <v>7209520</v>
      </c>
      <c r="E14" s="88"/>
      <c r="F14" s="88"/>
      <c r="G14" s="87">
        <v>7243570</v>
      </c>
      <c r="H14" s="88"/>
      <c r="I14" s="88"/>
      <c r="J14" s="87">
        <v>7243570</v>
      </c>
    </row>
    <row r="15" spans="1:10" x14ac:dyDescent="0.2">
      <c r="A15" s="96" t="s">
        <v>108</v>
      </c>
      <c r="B15" s="88"/>
      <c r="C15" s="88"/>
      <c r="D15" s="87"/>
      <c r="E15" s="88"/>
      <c r="F15" s="88"/>
      <c r="G15" s="87"/>
      <c r="H15" s="88"/>
      <c r="I15" s="88"/>
      <c r="J15" s="87"/>
    </row>
    <row r="16" spans="1:10" ht="15" x14ac:dyDescent="0.2">
      <c r="A16" s="95" t="s">
        <v>295</v>
      </c>
      <c r="B16" s="89"/>
      <c r="C16" s="89"/>
      <c r="D16" s="90"/>
      <c r="E16" s="89"/>
      <c r="F16" s="89"/>
      <c r="G16" s="90"/>
      <c r="H16" s="89"/>
      <c r="I16" s="89"/>
      <c r="J16" s="90"/>
    </row>
    <row r="17" spans="1:10" ht="15" x14ac:dyDescent="0.2">
      <c r="A17" s="95" t="s">
        <v>296</v>
      </c>
      <c r="B17" s="89"/>
      <c r="C17" s="89"/>
      <c r="D17" s="90">
        <v>6669000</v>
      </c>
      <c r="E17" s="89"/>
      <c r="F17" s="89"/>
      <c r="G17" s="90">
        <v>6636600</v>
      </c>
      <c r="H17" s="89"/>
      <c r="I17" s="89"/>
      <c r="J17" s="90">
        <v>6636600</v>
      </c>
    </row>
    <row r="18" spans="1:10" ht="14.25" customHeight="1" x14ac:dyDescent="0.2">
      <c r="A18" s="95" t="s">
        <v>299</v>
      </c>
      <c r="B18" s="89"/>
      <c r="C18" s="89"/>
      <c r="D18" s="90"/>
      <c r="E18" s="89"/>
      <c r="F18" s="89"/>
      <c r="G18" s="90"/>
      <c r="H18" s="89"/>
      <c r="I18" s="89"/>
      <c r="J18" s="90"/>
    </row>
    <row r="19" spans="1:10" ht="14.25" customHeight="1" x14ac:dyDescent="0.2">
      <c r="A19" s="95" t="s">
        <v>297</v>
      </c>
      <c r="B19" s="89"/>
      <c r="C19" s="89"/>
      <c r="D19" s="90">
        <v>953700</v>
      </c>
      <c r="E19" s="89"/>
      <c r="F19" s="89"/>
      <c r="G19" s="90">
        <v>943500</v>
      </c>
      <c r="H19" s="89"/>
      <c r="I19" s="89"/>
      <c r="J19" s="90">
        <v>943500</v>
      </c>
    </row>
    <row r="20" spans="1:10" ht="14.25" customHeight="1" x14ac:dyDescent="0.2">
      <c r="A20" s="95" t="s">
        <v>298</v>
      </c>
      <c r="B20" s="89"/>
      <c r="C20" s="89"/>
      <c r="D20" s="90"/>
      <c r="E20" s="89"/>
      <c r="F20" s="89"/>
      <c r="G20" s="90"/>
      <c r="H20" s="89"/>
      <c r="I20" s="89"/>
      <c r="J20" s="90"/>
    </row>
    <row r="21" spans="1:10" ht="14.25" customHeight="1" x14ac:dyDescent="0.2">
      <c r="A21" s="95" t="s">
        <v>300</v>
      </c>
      <c r="B21" s="89"/>
      <c r="C21" s="89"/>
      <c r="D21" s="90">
        <v>160021000</v>
      </c>
      <c r="E21" s="89"/>
      <c r="F21" s="89"/>
      <c r="G21" s="90">
        <v>181056570</v>
      </c>
      <c r="H21" s="89"/>
      <c r="I21" s="89"/>
      <c r="J21" s="90">
        <v>181056570</v>
      </c>
    </row>
    <row r="22" spans="1:10" ht="14.25" customHeight="1" x14ac:dyDescent="0.2">
      <c r="A22" s="95" t="s">
        <v>301</v>
      </c>
      <c r="B22" s="89"/>
      <c r="C22" s="89"/>
      <c r="D22" s="90">
        <v>154097949</v>
      </c>
      <c r="E22" s="89"/>
      <c r="F22" s="89"/>
      <c r="G22" s="90">
        <v>176208897</v>
      </c>
      <c r="H22" s="89"/>
      <c r="I22" s="89"/>
      <c r="J22" s="90">
        <v>176208897</v>
      </c>
    </row>
    <row r="23" spans="1:10" ht="14.25" customHeight="1" x14ac:dyDescent="0.2">
      <c r="A23" s="95" t="s">
        <v>806</v>
      </c>
      <c r="B23" s="89"/>
      <c r="C23" s="89"/>
      <c r="D23" s="90">
        <v>357251</v>
      </c>
      <c r="E23" s="89"/>
      <c r="F23" s="89"/>
      <c r="G23" s="90"/>
      <c r="H23" s="89"/>
      <c r="I23" s="89"/>
      <c r="J23" s="90">
        <v>303658</v>
      </c>
    </row>
    <row r="24" spans="1:10" ht="14.25" customHeight="1" x14ac:dyDescent="0.2">
      <c r="A24" s="95" t="s">
        <v>302</v>
      </c>
      <c r="B24" s="89"/>
      <c r="C24" s="89"/>
      <c r="D24" s="90">
        <v>-43890732</v>
      </c>
      <c r="E24" s="89"/>
      <c r="F24" s="89"/>
      <c r="G24" s="90">
        <v>-42971934</v>
      </c>
      <c r="H24" s="89"/>
      <c r="I24" s="89"/>
      <c r="J24" s="90">
        <v>-42971934</v>
      </c>
    </row>
    <row r="25" spans="1:10" ht="15" x14ac:dyDescent="0.25">
      <c r="A25" s="291" t="s">
        <v>109</v>
      </c>
      <c r="B25" s="292"/>
      <c r="C25" s="292"/>
      <c r="D25" s="293">
        <f>D5+D7+D22+D23</f>
        <v>231216000</v>
      </c>
      <c r="E25" s="292"/>
      <c r="F25" s="292"/>
      <c r="G25" s="293">
        <f>G5+G7+G22+G23</f>
        <v>252740697</v>
      </c>
      <c r="H25" s="292"/>
      <c r="I25" s="292"/>
      <c r="J25" s="293">
        <f>J5+J7+J22+J23</f>
        <v>253044355</v>
      </c>
    </row>
    <row r="26" spans="1:10" ht="15" customHeight="1" x14ac:dyDescent="0.2">
      <c r="A26" s="601" t="s">
        <v>110</v>
      </c>
      <c r="B26" s="602"/>
      <c r="C26" s="602"/>
      <c r="D26" s="602"/>
      <c r="E26" s="602"/>
      <c r="F26" s="602"/>
      <c r="G26" s="602"/>
      <c r="H26" s="602"/>
      <c r="I26" s="602"/>
      <c r="J26" s="603"/>
    </row>
    <row r="27" spans="1:10" x14ac:dyDescent="0.2">
      <c r="A27" s="125" t="s">
        <v>573</v>
      </c>
      <c r="B27" s="230">
        <v>7.5</v>
      </c>
      <c r="C27" s="145">
        <v>4469900</v>
      </c>
      <c r="D27" s="146">
        <v>32779267</v>
      </c>
      <c r="E27" s="230">
        <v>7.2</v>
      </c>
      <c r="F27" s="145">
        <v>4469900</v>
      </c>
      <c r="G27" s="146">
        <v>31669500</v>
      </c>
      <c r="H27" s="230">
        <v>7.2</v>
      </c>
      <c r="I27" s="145">
        <v>4469900</v>
      </c>
      <c r="J27" s="146">
        <v>31669500</v>
      </c>
    </row>
    <row r="28" spans="1:10" x14ac:dyDescent="0.2">
      <c r="A28" s="125" t="s">
        <v>574</v>
      </c>
      <c r="B28" s="230">
        <v>7.6</v>
      </c>
      <c r="C28" s="145"/>
      <c r="D28" s="146">
        <v>267400</v>
      </c>
      <c r="E28" s="230"/>
      <c r="F28" s="145"/>
      <c r="G28" s="146"/>
      <c r="H28" s="230"/>
      <c r="I28" s="145"/>
      <c r="J28" s="146"/>
    </row>
    <row r="29" spans="1:10" x14ac:dyDescent="0.2">
      <c r="A29" s="256" t="s">
        <v>575</v>
      </c>
      <c r="B29" s="231">
        <v>4</v>
      </c>
      <c r="C29" s="145">
        <v>1800000</v>
      </c>
      <c r="D29" s="146">
        <v>7200000</v>
      </c>
      <c r="E29" s="231">
        <v>4</v>
      </c>
      <c r="F29" s="145">
        <v>2205000</v>
      </c>
      <c r="G29" s="146">
        <v>8820000</v>
      </c>
      <c r="H29" s="231">
        <v>4</v>
      </c>
      <c r="I29" s="145">
        <v>2205000</v>
      </c>
      <c r="J29" s="146">
        <v>8820000</v>
      </c>
    </row>
    <row r="30" spans="1:10" x14ac:dyDescent="0.2">
      <c r="A30" s="258" t="s">
        <v>685</v>
      </c>
      <c r="B30" s="255"/>
      <c r="C30" s="253"/>
      <c r="D30" s="254">
        <v>1949500</v>
      </c>
      <c r="E30" s="255">
        <v>4</v>
      </c>
      <c r="F30" s="253">
        <v>401000</v>
      </c>
      <c r="G30" s="254">
        <v>2666000</v>
      </c>
      <c r="H30" s="255">
        <v>4</v>
      </c>
      <c r="I30" s="253">
        <v>401000</v>
      </c>
      <c r="J30" s="254">
        <v>2666000</v>
      </c>
    </row>
    <row r="31" spans="1:10" x14ac:dyDescent="0.2">
      <c r="A31" s="257" t="s">
        <v>576</v>
      </c>
      <c r="B31" s="232">
        <v>75</v>
      </c>
      <c r="C31" s="147">
        <v>80000</v>
      </c>
      <c r="D31" s="148">
        <v>6454300</v>
      </c>
      <c r="E31" s="232">
        <v>75</v>
      </c>
      <c r="F31" s="147">
        <v>81700</v>
      </c>
      <c r="G31" s="148">
        <v>6181967</v>
      </c>
      <c r="H31" s="232">
        <v>75</v>
      </c>
      <c r="I31" s="147">
        <v>81700</v>
      </c>
      <c r="J31" s="148">
        <v>6181967</v>
      </c>
    </row>
    <row r="32" spans="1:10" ht="15" x14ac:dyDescent="0.25">
      <c r="A32" s="294" t="s">
        <v>111</v>
      </c>
      <c r="B32" s="295"/>
      <c r="C32" s="295"/>
      <c r="D32" s="295">
        <f>SUM(D27:D31)</f>
        <v>48650467</v>
      </c>
      <c r="E32" s="295"/>
      <c r="F32" s="295"/>
      <c r="G32" s="295">
        <f>SUM(G27:G31)</f>
        <v>49337467</v>
      </c>
      <c r="H32" s="295"/>
      <c r="I32" s="295"/>
      <c r="J32" s="295">
        <f>SUM(J27:J31)</f>
        <v>49337467</v>
      </c>
    </row>
    <row r="33" spans="1:10" ht="15" customHeight="1" x14ac:dyDescent="0.2">
      <c r="A33" s="604" t="s">
        <v>112</v>
      </c>
      <c r="B33" s="605"/>
      <c r="C33" s="605"/>
      <c r="D33" s="605"/>
      <c r="E33" s="605"/>
      <c r="F33" s="605"/>
      <c r="G33" s="605"/>
      <c r="H33" s="605"/>
      <c r="I33" s="605"/>
      <c r="J33" s="606"/>
    </row>
    <row r="34" spans="1:10" x14ac:dyDescent="0.2">
      <c r="A34" s="492" t="s">
        <v>788</v>
      </c>
      <c r="B34" s="493"/>
      <c r="C34" s="494"/>
      <c r="D34" s="494"/>
      <c r="E34" s="493"/>
      <c r="F34" s="494"/>
      <c r="G34" s="494"/>
      <c r="H34" s="493"/>
      <c r="I34" s="494"/>
      <c r="J34" s="494"/>
    </row>
    <row r="35" spans="1:10" x14ac:dyDescent="0.2">
      <c r="A35" s="492" t="s">
        <v>686</v>
      </c>
      <c r="B35" s="495"/>
      <c r="C35" s="496"/>
      <c r="D35" s="496">
        <v>3000000</v>
      </c>
      <c r="E35" s="495"/>
      <c r="F35" s="496"/>
      <c r="G35" s="496">
        <v>3400000</v>
      </c>
      <c r="H35" s="495"/>
      <c r="I35" s="496"/>
      <c r="J35" s="496">
        <v>3400000</v>
      </c>
    </row>
    <row r="36" spans="1:10" x14ac:dyDescent="0.2">
      <c r="A36" s="492" t="s">
        <v>115</v>
      </c>
      <c r="B36" s="497">
        <v>70</v>
      </c>
      <c r="C36" s="498">
        <v>55360</v>
      </c>
      <c r="D36" s="496">
        <v>3875200</v>
      </c>
      <c r="E36" s="497">
        <v>70</v>
      </c>
      <c r="F36" s="498">
        <v>55360</v>
      </c>
      <c r="G36" s="496">
        <v>3875200</v>
      </c>
      <c r="H36" s="497">
        <v>70</v>
      </c>
      <c r="I36" s="498">
        <v>55360</v>
      </c>
      <c r="J36" s="496">
        <v>3875200</v>
      </c>
    </row>
    <row r="37" spans="1:10" x14ac:dyDescent="0.2">
      <c r="A37" s="499" t="s">
        <v>113</v>
      </c>
      <c r="B37" s="500">
        <v>27</v>
      </c>
      <c r="C37" s="501"/>
      <c r="D37" s="496">
        <v>13414815</v>
      </c>
      <c r="E37" s="500">
        <v>4.3</v>
      </c>
      <c r="F37" s="501">
        <v>2993000</v>
      </c>
      <c r="G37" s="496">
        <v>12869900</v>
      </c>
      <c r="H37" s="500">
        <v>4.3</v>
      </c>
      <c r="I37" s="501">
        <v>2993000</v>
      </c>
      <c r="J37" s="496">
        <v>12869900</v>
      </c>
    </row>
    <row r="38" spans="1:10" x14ac:dyDescent="0.2">
      <c r="A38" s="502" t="s">
        <v>128</v>
      </c>
      <c r="B38" s="500"/>
      <c r="C38" s="501"/>
      <c r="D38" s="496">
        <f>B38*C38</f>
        <v>0</v>
      </c>
      <c r="E38" s="500"/>
      <c r="F38" s="501"/>
      <c r="G38" s="496">
        <f>E38*F38</f>
        <v>0</v>
      </c>
      <c r="H38" s="500"/>
      <c r="I38" s="501"/>
      <c r="J38" s="496">
        <f>H38*I38</f>
        <v>0</v>
      </c>
    </row>
    <row r="39" spans="1:10" x14ac:dyDescent="0.2">
      <c r="A39" s="503" t="s">
        <v>129</v>
      </c>
      <c r="B39" s="149">
        <v>7.43</v>
      </c>
      <c r="C39" s="501">
        <v>1632000</v>
      </c>
      <c r="D39" s="496">
        <v>12125760</v>
      </c>
      <c r="E39" s="149">
        <v>7.44</v>
      </c>
      <c r="F39" s="501">
        <v>1900000</v>
      </c>
      <c r="G39" s="496">
        <v>14136000</v>
      </c>
      <c r="H39" s="149">
        <v>7.44</v>
      </c>
      <c r="I39" s="501">
        <v>1900000</v>
      </c>
      <c r="J39" s="496">
        <v>14136000</v>
      </c>
    </row>
    <row r="40" spans="1:10" x14ac:dyDescent="0.2">
      <c r="A40" s="503" t="s">
        <v>303</v>
      </c>
      <c r="B40" s="149"/>
      <c r="C40" s="501"/>
      <c r="D40" s="504">
        <v>2072918</v>
      </c>
      <c r="E40" s="149"/>
      <c r="F40" s="501"/>
      <c r="G40" s="504">
        <v>2415296</v>
      </c>
      <c r="H40" s="149"/>
      <c r="I40" s="501"/>
      <c r="J40" s="504">
        <v>2415296</v>
      </c>
    </row>
    <row r="41" spans="1:10" x14ac:dyDescent="0.2">
      <c r="A41" s="503" t="s">
        <v>675</v>
      </c>
      <c r="B41" s="149"/>
      <c r="C41" s="501"/>
      <c r="D41" s="504">
        <v>23655</v>
      </c>
      <c r="E41" s="149">
        <v>348</v>
      </c>
      <c r="F41" s="501">
        <v>285</v>
      </c>
      <c r="G41" s="504">
        <v>99180</v>
      </c>
      <c r="H41" s="149">
        <v>348</v>
      </c>
      <c r="I41" s="501">
        <v>285</v>
      </c>
      <c r="J41" s="504">
        <v>99180</v>
      </c>
    </row>
    <row r="42" spans="1:10" x14ac:dyDescent="0.2">
      <c r="A42" s="503" t="s">
        <v>789</v>
      </c>
      <c r="B42" s="149"/>
      <c r="C42" s="501"/>
      <c r="D42" s="504"/>
      <c r="E42" s="149"/>
      <c r="F42" s="501"/>
      <c r="G42" s="504"/>
      <c r="H42" s="149"/>
      <c r="I42" s="501"/>
      <c r="J42" s="504">
        <v>2272727</v>
      </c>
    </row>
    <row r="43" spans="1:10" ht="15" x14ac:dyDescent="0.2">
      <c r="A43" s="505" t="s">
        <v>790</v>
      </c>
      <c r="B43" s="493"/>
      <c r="C43" s="506"/>
      <c r="D43" s="493"/>
      <c r="E43" s="493"/>
      <c r="F43" s="506"/>
      <c r="G43" s="493"/>
      <c r="H43" s="493"/>
      <c r="I43" s="506"/>
      <c r="J43" s="493"/>
    </row>
    <row r="44" spans="1:10" x14ac:dyDescent="0.2">
      <c r="A44" s="503" t="s">
        <v>787</v>
      </c>
      <c r="B44" s="493">
        <v>52</v>
      </c>
      <c r="C44" s="506">
        <v>273000</v>
      </c>
      <c r="D44" s="493">
        <v>15196000</v>
      </c>
      <c r="E44" s="493">
        <v>5</v>
      </c>
      <c r="F44" s="506">
        <v>25000</v>
      </c>
      <c r="G44" s="493">
        <v>125000</v>
      </c>
      <c r="H44" s="493">
        <v>5</v>
      </c>
      <c r="I44" s="506">
        <v>25000</v>
      </c>
      <c r="J44" s="493">
        <v>125000</v>
      </c>
    </row>
    <row r="45" spans="1:10" x14ac:dyDescent="0.2">
      <c r="A45" s="503" t="s">
        <v>707</v>
      </c>
      <c r="B45" s="493"/>
      <c r="C45" s="506"/>
      <c r="D45" s="493"/>
      <c r="E45" s="493">
        <v>27</v>
      </c>
      <c r="F45" s="506">
        <v>330000</v>
      </c>
      <c r="G45" s="493">
        <v>8910000</v>
      </c>
      <c r="H45" s="493">
        <v>27</v>
      </c>
      <c r="I45" s="506">
        <v>330000</v>
      </c>
      <c r="J45" s="493">
        <v>8910000</v>
      </c>
    </row>
    <row r="46" spans="1:10" x14ac:dyDescent="0.2">
      <c r="A46" s="503" t="s">
        <v>708</v>
      </c>
      <c r="B46" s="493"/>
      <c r="C46" s="506"/>
      <c r="D46" s="493"/>
      <c r="E46" s="493">
        <v>43</v>
      </c>
      <c r="F46" s="506">
        <v>429000</v>
      </c>
      <c r="G46" s="493">
        <v>18447000</v>
      </c>
      <c r="H46" s="493">
        <v>43</v>
      </c>
      <c r="I46" s="506">
        <v>429000</v>
      </c>
      <c r="J46" s="493">
        <v>18447000</v>
      </c>
    </row>
    <row r="47" spans="1:10" ht="15" x14ac:dyDescent="0.25">
      <c r="A47" s="507" t="s">
        <v>791</v>
      </c>
      <c r="B47" s="295"/>
      <c r="C47" s="295"/>
      <c r="D47" s="295">
        <f>SUM(D44:D46)</f>
        <v>15196000</v>
      </c>
      <c r="E47" s="295"/>
      <c r="F47" s="295"/>
      <c r="G47" s="295">
        <f>SUM(G44:G46)</f>
        <v>27482000</v>
      </c>
      <c r="H47" s="295"/>
      <c r="I47" s="295"/>
      <c r="J47" s="295">
        <f>SUM(J44:J46)</f>
        <v>27482000</v>
      </c>
    </row>
    <row r="48" spans="1:10" ht="15" x14ac:dyDescent="0.25">
      <c r="A48" s="507" t="s">
        <v>114</v>
      </c>
      <c r="B48" s="296"/>
      <c r="C48" s="297"/>
      <c r="D48" s="298">
        <f>SUM(D34:D42)+D47</f>
        <v>49708348</v>
      </c>
      <c r="E48" s="296"/>
      <c r="F48" s="297"/>
      <c r="G48" s="298">
        <f>SUM(G34:G42)+G47</f>
        <v>64277576</v>
      </c>
      <c r="H48" s="296"/>
      <c r="I48" s="297"/>
      <c r="J48" s="298">
        <f>SUM(J34:J42)+J47</f>
        <v>66550303</v>
      </c>
    </row>
    <row r="49" spans="1:10" ht="15" customHeight="1" x14ac:dyDescent="0.2">
      <c r="A49" s="508" t="s">
        <v>792</v>
      </c>
      <c r="B49" s="509"/>
      <c r="C49" s="509"/>
      <c r="D49" s="509"/>
      <c r="E49" s="509"/>
      <c r="F49" s="509"/>
      <c r="G49" s="509"/>
      <c r="H49" s="509"/>
      <c r="I49" s="509"/>
      <c r="J49" s="510"/>
    </row>
    <row r="50" spans="1:10" x14ac:dyDescent="0.2">
      <c r="A50" s="511" t="s">
        <v>793</v>
      </c>
      <c r="B50" s="488"/>
      <c r="C50" s="489"/>
      <c r="D50" s="491">
        <v>2815800</v>
      </c>
      <c r="E50" s="488"/>
      <c r="F50" s="489"/>
      <c r="G50" s="490">
        <v>2974180</v>
      </c>
      <c r="H50" s="488"/>
      <c r="I50" s="489"/>
      <c r="J50" s="490">
        <v>2974180</v>
      </c>
    </row>
    <row r="51" spans="1:10" x14ac:dyDescent="0.2">
      <c r="A51" s="511" t="s">
        <v>794</v>
      </c>
      <c r="B51" s="488"/>
      <c r="C51" s="489"/>
      <c r="D51" s="491"/>
      <c r="E51" s="488"/>
      <c r="F51" s="489"/>
      <c r="G51" s="490"/>
      <c r="H51" s="488"/>
      <c r="I51" s="489"/>
      <c r="J51" s="490">
        <v>358989</v>
      </c>
    </row>
    <row r="52" spans="1:10" ht="15" x14ac:dyDescent="0.2">
      <c r="A52" s="512" t="s">
        <v>795</v>
      </c>
      <c r="B52" s="512"/>
      <c r="C52" s="512"/>
      <c r="D52" s="513">
        <f>SUM(D50:D51)</f>
        <v>2815800</v>
      </c>
      <c r="E52" s="512"/>
      <c r="F52" s="512"/>
      <c r="G52" s="513">
        <f>SUM(G50:G51)</f>
        <v>2974180</v>
      </c>
      <c r="H52" s="512"/>
      <c r="I52" s="512"/>
      <c r="J52" s="513">
        <f>SUM(J50:J51)</f>
        <v>3333169</v>
      </c>
    </row>
    <row r="53" spans="1:10" ht="15" x14ac:dyDescent="0.2">
      <c r="A53" s="607" t="s">
        <v>358</v>
      </c>
      <c r="B53" s="608"/>
      <c r="C53" s="608"/>
      <c r="D53" s="608"/>
      <c r="E53" s="608"/>
      <c r="F53" s="608"/>
      <c r="G53" s="608"/>
      <c r="H53" s="608"/>
      <c r="I53" s="608"/>
      <c r="J53" s="609"/>
    </row>
    <row r="54" spans="1:10" x14ac:dyDescent="0.2">
      <c r="A54" s="515" t="s">
        <v>796</v>
      </c>
      <c r="B54" s="516"/>
      <c r="C54" s="516"/>
      <c r="D54" s="491"/>
      <c r="E54" s="491"/>
      <c r="F54" s="491"/>
      <c r="G54" s="491"/>
      <c r="H54" s="491"/>
      <c r="I54" s="491"/>
      <c r="J54" s="491">
        <v>1136200</v>
      </c>
    </row>
    <row r="55" spans="1:10" x14ac:dyDescent="0.2">
      <c r="A55" s="515" t="s">
        <v>797</v>
      </c>
      <c r="B55" s="516"/>
      <c r="C55" s="516"/>
      <c r="D55" s="491"/>
      <c r="E55" s="491"/>
      <c r="F55" s="491"/>
      <c r="G55" s="491"/>
      <c r="H55" s="491"/>
      <c r="I55" s="491"/>
      <c r="J55" s="491">
        <v>670400</v>
      </c>
    </row>
    <row r="56" spans="1:10" x14ac:dyDescent="0.2">
      <c r="A56" s="515" t="s">
        <v>799</v>
      </c>
      <c r="B56" s="516"/>
      <c r="C56" s="516"/>
      <c r="D56" s="491"/>
      <c r="E56" s="491"/>
      <c r="F56" s="491"/>
      <c r="G56" s="491"/>
      <c r="H56" s="491"/>
      <c r="I56" s="491"/>
      <c r="J56" s="491">
        <v>817880</v>
      </c>
    </row>
    <row r="57" spans="1:10" ht="15" x14ac:dyDescent="0.2">
      <c r="A57" s="512" t="s">
        <v>798</v>
      </c>
      <c r="B57" s="517"/>
      <c r="C57" s="517"/>
      <c r="D57" s="513">
        <f>SUM(D54:D56)</f>
        <v>0</v>
      </c>
      <c r="E57" s="513"/>
      <c r="F57" s="513"/>
      <c r="G57" s="513">
        <f>SUM(G54:G56)</f>
        <v>0</v>
      </c>
      <c r="H57" s="513"/>
      <c r="I57" s="513"/>
      <c r="J57" s="513">
        <f>SUM(J54:J56)</f>
        <v>2624480</v>
      </c>
    </row>
    <row r="58" spans="1:10" s="116" customFormat="1" ht="15" x14ac:dyDescent="0.25">
      <c r="A58" s="514" t="s">
        <v>116</v>
      </c>
      <c r="B58" s="210"/>
      <c r="C58" s="299"/>
      <c r="D58" s="519">
        <f>D25+D32+D48+D52+D57</f>
        <v>332390615</v>
      </c>
      <c r="E58" s="520"/>
      <c r="F58" s="521"/>
      <c r="G58" s="519">
        <f>G25+G32+G48+G52+G57</f>
        <v>369329920</v>
      </c>
      <c r="H58" s="520"/>
      <c r="I58" s="521"/>
      <c r="J58" s="519">
        <f>J25+J32+J48+J52+J57</f>
        <v>374889774</v>
      </c>
    </row>
    <row r="59" spans="1:10" ht="15" x14ac:dyDescent="0.25">
      <c r="A59" s="507" t="s">
        <v>800</v>
      </c>
      <c r="B59" s="295"/>
      <c r="C59" s="295"/>
      <c r="D59" s="522"/>
      <c r="E59" s="522"/>
      <c r="F59" s="522"/>
      <c r="G59" s="522"/>
      <c r="H59" s="522"/>
      <c r="I59" s="522"/>
      <c r="J59" s="522">
        <v>1102420</v>
      </c>
    </row>
    <row r="60" spans="1:10" ht="15" x14ac:dyDescent="0.25">
      <c r="A60" s="514" t="s">
        <v>130</v>
      </c>
      <c r="B60" s="518"/>
      <c r="C60" s="518"/>
      <c r="D60" s="521">
        <f>D58+D59</f>
        <v>332390615</v>
      </c>
      <c r="E60" s="523"/>
      <c r="F60" s="523"/>
      <c r="G60" s="521">
        <f>G58+G59</f>
        <v>369329920</v>
      </c>
      <c r="H60" s="523"/>
      <c r="I60" s="523"/>
      <c r="J60" s="521">
        <f>J58+J59</f>
        <v>375992194</v>
      </c>
    </row>
    <row r="61" spans="1:10" ht="15" x14ac:dyDescent="0.25">
      <c r="A61" s="610" t="s">
        <v>801</v>
      </c>
      <c r="B61" s="611"/>
      <c r="C61" s="611"/>
      <c r="D61" s="611"/>
      <c r="E61" s="611"/>
      <c r="F61" s="611"/>
      <c r="G61" s="611"/>
      <c r="H61" s="611"/>
      <c r="I61" s="611"/>
      <c r="J61" s="612"/>
    </row>
    <row r="62" spans="1:10" x14ac:dyDescent="0.2">
      <c r="A62" s="524" t="s">
        <v>802</v>
      </c>
      <c r="B62" s="525"/>
      <c r="C62" s="525"/>
      <c r="D62" s="527"/>
      <c r="E62" s="527"/>
      <c r="F62" s="527"/>
      <c r="G62" s="447">
        <v>14258924</v>
      </c>
      <c r="H62" s="529"/>
      <c r="I62" s="529"/>
      <c r="J62" s="447">
        <v>14258924</v>
      </c>
    </row>
    <row r="63" spans="1:10" x14ac:dyDescent="0.2">
      <c r="A63" s="524" t="s">
        <v>803</v>
      </c>
      <c r="B63" s="525"/>
      <c r="C63" s="525"/>
      <c r="D63" s="527"/>
      <c r="E63" s="527"/>
      <c r="F63" s="527"/>
      <c r="G63" s="527"/>
      <c r="H63" s="527"/>
      <c r="I63" s="527"/>
      <c r="J63" s="527">
        <v>539315</v>
      </c>
    </row>
    <row r="64" spans="1:10" x14ac:dyDescent="0.2">
      <c r="A64" s="524" t="s">
        <v>804</v>
      </c>
      <c r="B64" s="525"/>
      <c r="C64" s="525"/>
      <c r="D64" s="527"/>
      <c r="E64" s="527"/>
      <c r="F64" s="527"/>
      <c r="G64" s="527"/>
      <c r="H64" s="527"/>
      <c r="I64" s="527"/>
      <c r="J64" s="527"/>
    </row>
    <row r="65" spans="1:10" ht="15" x14ac:dyDescent="0.25">
      <c r="A65" s="526" t="s">
        <v>805</v>
      </c>
      <c r="B65" s="526"/>
      <c r="C65" s="526"/>
      <c r="D65" s="528">
        <f>SUM(D62:D64)</f>
        <v>0</v>
      </c>
      <c r="E65" s="528"/>
      <c r="F65" s="528"/>
      <c r="G65" s="528">
        <f>SUM(G62:G64)</f>
        <v>14258924</v>
      </c>
      <c r="H65" s="528"/>
      <c r="I65" s="528"/>
      <c r="J65" s="528">
        <f>SUM(J62:J64)</f>
        <v>14798239</v>
      </c>
    </row>
  </sheetData>
  <mergeCells count="9">
    <mergeCell ref="A26:J26"/>
    <mergeCell ref="A33:J33"/>
    <mergeCell ref="A53:J53"/>
    <mergeCell ref="A61:J61"/>
    <mergeCell ref="B1:D1"/>
    <mergeCell ref="A1:A3"/>
    <mergeCell ref="E1:G1"/>
    <mergeCell ref="H1:J1"/>
    <mergeCell ref="A4:J4"/>
  </mergeCells>
  <phoneticPr fontId="27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81" fitToHeight="0" orientation="landscape" horizontalDpi="4294967294" r:id="rId1"/>
  <headerFooter alignWithMargins="0">
    <oddHeader>&amp;C&amp;"Garamond,Félkövér"&amp;14 8/2018. ( VI.28.  )  számú rendelethez 
ZALAKAROS VÁROS ÖNKORMÁNYZATÁNAK 
ÁLLAMI HOZZÁJÁRULÁSA 2018.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6"/>
  <sheetViews>
    <sheetView topLeftCell="A37" zoomScaleNormal="100" zoomScaleSheetLayoutView="100" workbookViewId="0">
      <selection activeCell="E75" sqref="E75"/>
    </sheetView>
  </sheetViews>
  <sheetFormatPr defaultRowHeight="12.75" x14ac:dyDescent="0.2"/>
  <cols>
    <col min="1" max="1" width="4.5703125" customWidth="1"/>
    <col min="2" max="2" width="44.85546875" customWidth="1"/>
    <col min="3" max="3" width="16.85546875" bestFit="1" customWidth="1"/>
    <col min="4" max="4" width="16.140625" customWidth="1"/>
    <col min="5" max="5" width="16" customWidth="1"/>
    <col min="6" max="6" width="5.7109375" customWidth="1"/>
    <col min="7" max="7" width="50.42578125" bestFit="1" customWidth="1"/>
    <col min="8" max="8" width="17" customWidth="1"/>
    <col min="9" max="9" width="17.5703125" customWidth="1"/>
    <col min="10" max="10" width="17.28515625" customWidth="1"/>
  </cols>
  <sheetData>
    <row r="1" spans="1:10" ht="12.95" customHeight="1" x14ac:dyDescent="0.2">
      <c r="A1" s="626" t="s">
        <v>16</v>
      </c>
      <c r="B1" s="624" t="s">
        <v>1</v>
      </c>
      <c r="C1" s="621" t="s">
        <v>277</v>
      </c>
      <c r="D1" s="621" t="s">
        <v>375</v>
      </c>
      <c r="E1" s="593" t="s">
        <v>781</v>
      </c>
      <c r="F1" s="626" t="s">
        <v>16</v>
      </c>
      <c r="G1" s="624" t="s">
        <v>1</v>
      </c>
      <c r="H1" s="621" t="s">
        <v>277</v>
      </c>
      <c r="I1" s="621" t="s">
        <v>375</v>
      </c>
      <c r="J1" s="593" t="s">
        <v>781</v>
      </c>
    </row>
    <row r="2" spans="1:10" ht="15" customHeight="1" x14ac:dyDescent="0.2">
      <c r="A2" s="627"/>
      <c r="B2" s="625"/>
      <c r="C2" s="622"/>
      <c r="D2" s="622"/>
      <c r="E2" s="594"/>
      <c r="F2" s="627"/>
      <c r="G2" s="625"/>
      <c r="H2" s="622"/>
      <c r="I2" s="622"/>
      <c r="J2" s="594"/>
    </row>
    <row r="3" spans="1:10" ht="15" customHeight="1" x14ac:dyDescent="0.2">
      <c r="A3" s="623" t="s">
        <v>60</v>
      </c>
      <c r="B3" s="623"/>
      <c r="C3" s="190"/>
      <c r="D3" s="320"/>
      <c r="E3" s="486"/>
      <c r="F3" s="623" t="s">
        <v>27</v>
      </c>
      <c r="G3" s="623"/>
      <c r="H3" s="155"/>
      <c r="I3" s="155"/>
      <c r="J3" s="155"/>
    </row>
    <row r="4" spans="1:10" ht="15" customHeight="1" x14ac:dyDescent="0.2">
      <c r="A4" s="69" t="s">
        <v>89</v>
      </c>
      <c r="B4" s="5" t="s">
        <v>82</v>
      </c>
      <c r="C4" s="2"/>
      <c r="D4" s="2"/>
      <c r="E4" s="2"/>
      <c r="F4" s="69" t="s">
        <v>89</v>
      </c>
      <c r="G4" s="5" t="s">
        <v>82</v>
      </c>
      <c r="H4" s="2"/>
      <c r="I4" s="2"/>
      <c r="J4" s="2"/>
    </row>
    <row r="5" spans="1:10" ht="15" customHeight="1" x14ac:dyDescent="0.2">
      <c r="A5" s="69"/>
      <c r="B5" s="157" t="s">
        <v>306</v>
      </c>
      <c r="C5" s="158">
        <f>'3.számú melléklet'!C28</f>
        <v>350240394</v>
      </c>
      <c r="D5" s="158">
        <f>'3.számú melléklet'!D28</f>
        <v>432042145</v>
      </c>
      <c r="E5" s="158">
        <f>'3.számú melléklet'!E28</f>
        <v>448468874</v>
      </c>
      <c r="F5" s="69"/>
      <c r="G5" s="157" t="s">
        <v>221</v>
      </c>
      <c r="H5" s="158">
        <f>'4.a.számú melléklet'!C8</f>
        <v>387317283</v>
      </c>
      <c r="I5" s="158">
        <f>'4.a.számú melléklet'!D8</f>
        <v>409591794</v>
      </c>
      <c r="J5" s="158">
        <f>'4.a.számú melléklet'!E8</f>
        <v>467125391</v>
      </c>
    </row>
    <row r="6" spans="1:10" ht="15" customHeight="1" x14ac:dyDescent="0.2">
      <c r="A6" s="69"/>
      <c r="B6" s="159" t="s">
        <v>307</v>
      </c>
      <c r="C6" s="99">
        <f>'3.számú melléklet'!C48</f>
        <v>410000000</v>
      </c>
      <c r="D6" s="99">
        <f>'3.számú melléklet'!D48</f>
        <v>473500000</v>
      </c>
      <c r="E6" s="99">
        <f>'3.számú melléklet'!E48</f>
        <v>473500000</v>
      </c>
      <c r="F6" s="69"/>
      <c r="G6" s="159" t="s">
        <v>222</v>
      </c>
      <c r="H6" s="158">
        <f>'4.a.számú melléklet'!C9</f>
        <v>8500000</v>
      </c>
      <c r="I6" s="158">
        <f>'4.a.számú melléklet'!D9</f>
        <v>7500000</v>
      </c>
      <c r="J6" s="158">
        <f>'4.a.számú melléklet'!E9</f>
        <v>7500000</v>
      </c>
    </row>
    <row r="7" spans="1:10" ht="15" customHeight="1" x14ac:dyDescent="0.2">
      <c r="A7" s="69"/>
      <c r="B7" s="157" t="s">
        <v>308</v>
      </c>
      <c r="C7" s="99">
        <f>'3.számú melléklet'!C49</f>
        <v>74320128</v>
      </c>
      <c r="D7" s="99">
        <f>'3.számú melléklet'!D49</f>
        <v>80313766</v>
      </c>
      <c r="E7" s="99">
        <f>'3.számú melléklet'!E49</f>
        <v>80313766</v>
      </c>
      <c r="F7" s="69"/>
      <c r="G7" s="157" t="s">
        <v>223</v>
      </c>
      <c r="H7" s="99">
        <f>'4.a.számú melléklet'!C19</f>
        <v>26794000</v>
      </c>
      <c r="I7" s="99">
        <f>'4.a.számú melléklet'!D19</f>
        <v>51316408</v>
      </c>
      <c r="J7" s="99">
        <f>'4.a.számú melléklet'!E19</f>
        <v>56458264</v>
      </c>
    </row>
    <row r="8" spans="1:10" ht="15" customHeight="1" x14ac:dyDescent="0.2">
      <c r="A8" s="69"/>
      <c r="B8" s="157" t="s">
        <v>309</v>
      </c>
      <c r="C8" s="99">
        <v>10000</v>
      </c>
      <c r="D8" s="99">
        <f>'3.a.számú melléklet'!S60</f>
        <v>0</v>
      </c>
      <c r="E8" s="99">
        <v>0</v>
      </c>
      <c r="F8" s="69"/>
      <c r="G8" s="157" t="s">
        <v>224</v>
      </c>
      <c r="H8" s="99">
        <f>'4.a.számú melléklet'!C37</f>
        <v>60000000</v>
      </c>
      <c r="I8" s="99">
        <f>'4.a.számú melléklet'!D37</f>
        <v>78000000</v>
      </c>
      <c r="J8" s="99">
        <f>'4.a.számú melléklet'!E37</f>
        <v>96072907</v>
      </c>
    </row>
    <row r="9" spans="1:10" ht="15" customHeight="1" x14ac:dyDescent="0.2">
      <c r="A9" s="69"/>
      <c r="B9" s="41" t="s">
        <v>408</v>
      </c>
      <c r="C9" s="99">
        <f>'3.számú melléklet'!C54</f>
        <v>570000</v>
      </c>
      <c r="D9" s="99">
        <f>'3.számú melléklet'!D54</f>
        <v>370000</v>
      </c>
      <c r="E9" s="99">
        <f>'3.számú melléklet'!E54</f>
        <v>370000</v>
      </c>
      <c r="F9" s="69"/>
      <c r="G9" s="41" t="s">
        <v>225</v>
      </c>
      <c r="H9" s="151">
        <f>'4.a.számú melléklet'!C40</f>
        <v>1000000</v>
      </c>
      <c r="I9" s="151">
        <f>'4.a.számú melléklet'!D40</f>
        <v>1000000</v>
      </c>
      <c r="J9" s="151">
        <f>'4.a.számú melléklet'!E40</f>
        <v>1000000</v>
      </c>
    </row>
    <row r="10" spans="1:10" ht="15" customHeight="1" x14ac:dyDescent="0.2">
      <c r="A10" s="69"/>
      <c r="B10" s="5"/>
      <c r="C10" s="99"/>
      <c r="D10" s="99"/>
      <c r="E10" s="99"/>
      <c r="F10" s="69"/>
      <c r="G10" s="41" t="s">
        <v>313</v>
      </c>
      <c r="H10" s="99">
        <f>'4.a.számú melléklet'!C41</f>
        <v>0</v>
      </c>
      <c r="I10" s="99">
        <f>'4.a.számú melléklet'!D41</f>
        <v>0</v>
      </c>
      <c r="J10" s="99">
        <f>'4.a.számú melléklet'!E41</f>
        <v>0</v>
      </c>
    </row>
    <row r="11" spans="1:10" ht="15" customHeight="1" x14ac:dyDescent="0.2">
      <c r="A11" s="69"/>
      <c r="B11" s="41"/>
      <c r="C11" s="151"/>
      <c r="D11" s="151"/>
      <c r="E11" s="151"/>
      <c r="F11" s="69"/>
      <c r="G11" s="41" t="s">
        <v>314</v>
      </c>
      <c r="H11" s="151">
        <f>'4.a.számú melléklet'!C42</f>
        <v>204110000</v>
      </c>
      <c r="I11" s="151">
        <f>'4.a.számú melléklet'!D42</f>
        <v>255712508</v>
      </c>
      <c r="J11" s="151">
        <f>'4.a.számú melléklet'!E42</f>
        <v>198860920</v>
      </c>
    </row>
    <row r="12" spans="1:10" ht="15" customHeight="1" x14ac:dyDescent="0.2">
      <c r="A12" s="188"/>
      <c r="B12" s="300" t="s">
        <v>88</v>
      </c>
      <c r="C12" s="251">
        <f>SUM(C5:C11)</f>
        <v>835140522</v>
      </c>
      <c r="D12" s="251">
        <f>SUM(D5:D11)</f>
        <v>986225911</v>
      </c>
      <c r="E12" s="251">
        <f>SUM(E5:E11)</f>
        <v>1002652640</v>
      </c>
      <c r="F12" s="273"/>
      <c r="G12" s="300" t="s">
        <v>88</v>
      </c>
      <c r="H12" s="251">
        <f>SUM(H5:H11)</f>
        <v>687721283</v>
      </c>
      <c r="I12" s="251">
        <f>SUM(I5:I11)</f>
        <v>803120710</v>
      </c>
      <c r="J12" s="251">
        <f>SUM(J5:J11)</f>
        <v>827017482</v>
      </c>
    </row>
    <row r="13" spans="1:10" ht="15" customHeight="1" x14ac:dyDescent="0.2">
      <c r="A13" s="69" t="s">
        <v>90</v>
      </c>
      <c r="B13" s="5" t="s">
        <v>97</v>
      </c>
      <c r="C13" s="99"/>
      <c r="D13" s="99"/>
      <c r="E13" s="99"/>
      <c r="F13" s="69" t="s">
        <v>90</v>
      </c>
      <c r="G13" s="5" t="s">
        <v>97</v>
      </c>
      <c r="H13" s="99"/>
      <c r="I13" s="99"/>
      <c r="J13" s="99"/>
    </row>
    <row r="14" spans="1:10" ht="15" customHeight="1" x14ac:dyDescent="0.2">
      <c r="A14" s="69"/>
      <c r="B14" s="41" t="s">
        <v>310</v>
      </c>
      <c r="C14" s="151">
        <f>'3.számú melléklet'!C71</f>
        <v>0</v>
      </c>
      <c r="D14" s="151">
        <f>'3.számú melléklet'!D71</f>
        <v>12255000</v>
      </c>
      <c r="E14" s="151">
        <f>'3.számú melléklet'!E71</f>
        <v>13717088</v>
      </c>
      <c r="F14" s="69"/>
      <c r="G14" s="41" t="s">
        <v>86</v>
      </c>
      <c r="H14" s="151">
        <f>'4.a.számú melléklet'!C49</f>
        <v>122146616</v>
      </c>
      <c r="I14" s="151">
        <f>'4.a.számú melléklet'!D49</f>
        <v>126322344</v>
      </c>
      <c r="J14" s="151">
        <f>'4.a.számú melléklet'!E49</f>
        <v>128040796</v>
      </c>
    </row>
    <row r="15" spans="1:10" ht="15" customHeight="1" x14ac:dyDescent="0.2">
      <c r="A15" s="69"/>
      <c r="B15" s="41" t="s">
        <v>311</v>
      </c>
      <c r="C15" s="151">
        <f>'3.számú melléklet'!C72</f>
        <v>750000</v>
      </c>
      <c r="D15" s="151">
        <f>'3.számú melléklet'!D72</f>
        <v>2100000</v>
      </c>
      <c r="E15" s="151">
        <f>'3.számú melléklet'!E72</f>
        <v>2100000</v>
      </c>
      <c r="F15" s="69"/>
      <c r="G15" s="41" t="s">
        <v>852</v>
      </c>
      <c r="H15" s="151">
        <f>'4.a.számú melléklet'!C52</f>
        <v>1200000</v>
      </c>
      <c r="I15" s="151">
        <f>'4.a.számú melléklet'!D52</f>
        <v>1200000</v>
      </c>
      <c r="J15" s="151">
        <f>'4.a.számú melléklet'!E52</f>
        <v>1200000</v>
      </c>
    </row>
    <row r="16" spans="1:10" ht="15" customHeight="1" x14ac:dyDescent="0.2">
      <c r="A16" s="69"/>
      <c r="B16" s="41"/>
      <c r="C16" s="151"/>
      <c r="D16" s="151"/>
      <c r="E16" s="151"/>
      <c r="F16" s="69"/>
      <c r="G16" s="41" t="s">
        <v>677</v>
      </c>
      <c r="H16" s="151">
        <f>'4.a.számú melléklet'!C55</f>
        <v>0</v>
      </c>
      <c r="I16" s="151">
        <f>'4.a.számú melléklet'!D55</f>
        <v>0</v>
      </c>
      <c r="J16" s="151">
        <f>'4.a.számú melléklet'!E55</f>
        <v>10429</v>
      </c>
    </row>
    <row r="17" spans="1:10" ht="15" customHeight="1" x14ac:dyDescent="0.2">
      <c r="A17" s="69"/>
      <c r="B17" s="41"/>
      <c r="C17" s="151"/>
      <c r="D17" s="151"/>
      <c r="E17" s="151"/>
      <c r="F17" s="69"/>
      <c r="G17" s="41" t="s">
        <v>676</v>
      </c>
      <c r="H17" s="151">
        <f>'4.a.számú melléklet'!C56</f>
        <v>0</v>
      </c>
      <c r="I17" s="151">
        <f>'4.a.számú melléklet'!D56</f>
        <v>0</v>
      </c>
      <c r="J17" s="151">
        <f>'4.a.számú melléklet'!E56</f>
        <v>5918207</v>
      </c>
    </row>
    <row r="18" spans="1:10" ht="15" customHeight="1" x14ac:dyDescent="0.2">
      <c r="A18" s="188"/>
      <c r="B18" s="300" t="s">
        <v>381</v>
      </c>
      <c r="C18" s="251">
        <f>SUM(C14:C17)</f>
        <v>750000</v>
      </c>
      <c r="D18" s="251">
        <f>SUM(D14:D17)</f>
        <v>14355000</v>
      </c>
      <c r="E18" s="251">
        <f>SUM(E14:E17)</f>
        <v>15817088</v>
      </c>
      <c r="F18" s="273"/>
      <c r="G18" s="300" t="s">
        <v>120</v>
      </c>
      <c r="H18" s="251">
        <f>SUM(H14:H17)</f>
        <v>123346616</v>
      </c>
      <c r="I18" s="251">
        <f>SUM(I14:I17)</f>
        <v>127522344</v>
      </c>
      <c r="J18" s="251">
        <f>SUM(J14:J17)</f>
        <v>135169432</v>
      </c>
    </row>
    <row r="19" spans="1:10" ht="15" customHeight="1" x14ac:dyDescent="0.2">
      <c r="A19" s="69" t="s">
        <v>91</v>
      </c>
      <c r="B19" s="5" t="s">
        <v>376</v>
      </c>
      <c r="C19" s="99"/>
      <c r="D19" s="99"/>
      <c r="E19" s="99"/>
      <c r="F19" s="69" t="s">
        <v>91</v>
      </c>
      <c r="G19" s="5" t="s">
        <v>376</v>
      </c>
      <c r="H19" s="99"/>
      <c r="I19" s="99"/>
      <c r="J19" s="99"/>
    </row>
    <row r="20" spans="1:10" ht="15" customHeight="1" x14ac:dyDescent="0.25">
      <c r="A20" s="67"/>
      <c r="B20" s="41" t="s">
        <v>312</v>
      </c>
      <c r="C20" s="151">
        <f>'3.számú melléklet'!C76</f>
        <v>49301727</v>
      </c>
      <c r="D20" s="151">
        <f>'3.számú melléklet'!D76</f>
        <v>48681727</v>
      </c>
      <c r="E20" s="151">
        <f>'3.számú melléklet'!E76</f>
        <v>48681727</v>
      </c>
      <c r="F20" s="67"/>
      <c r="G20" s="41" t="s">
        <v>87</v>
      </c>
      <c r="H20" s="151">
        <f>'4.a.számú melléklet'!C63</f>
        <v>148335130</v>
      </c>
      <c r="I20" s="151">
        <f>'4.a.számú melléklet'!D63</f>
        <v>155739000</v>
      </c>
      <c r="J20" s="151">
        <f>'4.a.számú melléklet'!E63</f>
        <v>156167965</v>
      </c>
    </row>
    <row r="21" spans="1:10" ht="15" customHeight="1" x14ac:dyDescent="0.25">
      <c r="A21" s="67"/>
      <c r="B21" s="41"/>
      <c r="C21" s="151"/>
      <c r="D21" s="151"/>
      <c r="E21" s="151"/>
      <c r="F21" s="67"/>
      <c r="G21" s="41" t="s">
        <v>398</v>
      </c>
      <c r="H21" s="151">
        <f>'4.a.számú melléklet'!C64</f>
        <v>0</v>
      </c>
      <c r="I21" s="151">
        <f>'4.a.számú melléklet'!D64</f>
        <v>0</v>
      </c>
      <c r="J21" s="151">
        <f>'4.a.számú melléklet'!E64</f>
        <v>2212562</v>
      </c>
    </row>
    <row r="22" spans="1:10" ht="15" customHeight="1" x14ac:dyDescent="0.25">
      <c r="A22" s="67"/>
      <c r="B22" s="41"/>
      <c r="C22" s="151"/>
      <c r="D22" s="151"/>
      <c r="E22" s="151"/>
      <c r="F22" s="67"/>
      <c r="G22" s="41"/>
      <c r="H22" s="151"/>
      <c r="I22" s="151"/>
      <c r="J22" s="151"/>
    </row>
    <row r="23" spans="1:10" ht="15" customHeight="1" x14ac:dyDescent="0.25">
      <c r="A23" s="211"/>
      <c r="B23" s="300" t="s">
        <v>380</v>
      </c>
      <c r="C23" s="251">
        <f>SUM(C20)</f>
        <v>49301727</v>
      </c>
      <c r="D23" s="251">
        <f>SUM(D20)</f>
        <v>48681727</v>
      </c>
      <c r="E23" s="251">
        <f>SUM(E20)</f>
        <v>48681727</v>
      </c>
      <c r="F23" s="301"/>
      <c r="G23" s="300" t="s">
        <v>380</v>
      </c>
      <c r="H23" s="251">
        <f>SUM(H20:H22)</f>
        <v>148335130</v>
      </c>
      <c r="I23" s="251">
        <f>SUM(I20:I22)</f>
        <v>155739000</v>
      </c>
      <c r="J23" s="251">
        <f>SUM(J20:J22)</f>
        <v>158380527</v>
      </c>
    </row>
    <row r="24" spans="1:10" ht="15" customHeight="1" x14ac:dyDescent="0.2">
      <c r="A24" s="69" t="s">
        <v>377</v>
      </c>
      <c r="B24" s="5" t="s">
        <v>378</v>
      </c>
      <c r="C24" s="66"/>
      <c r="D24" s="66"/>
      <c r="E24" s="66"/>
      <c r="F24" s="69" t="s">
        <v>377</v>
      </c>
      <c r="G24" s="5" t="s">
        <v>378</v>
      </c>
      <c r="H24" s="66"/>
      <c r="I24" s="66"/>
      <c r="J24" s="66"/>
    </row>
    <row r="25" spans="1:10" ht="15" customHeight="1" x14ac:dyDescent="0.2">
      <c r="A25" s="69"/>
      <c r="B25" s="41" t="s">
        <v>379</v>
      </c>
      <c r="C25" s="151">
        <f>'3.számú melléklet'!C88</f>
        <v>5300000</v>
      </c>
      <c r="D25" s="151">
        <f>'3.számú melléklet'!D88</f>
        <v>7300000</v>
      </c>
      <c r="E25" s="151">
        <f>'3.számú melléklet'!E88</f>
        <v>7300000</v>
      </c>
      <c r="F25" s="69"/>
      <c r="G25" s="41" t="s">
        <v>383</v>
      </c>
      <c r="H25" s="151">
        <f>'4.a.számú melléklet'!C71</f>
        <v>28536468</v>
      </c>
      <c r="I25" s="151">
        <f>'4.a.számú melléklet'!D71</f>
        <v>32457052</v>
      </c>
      <c r="J25" s="151">
        <f>'4.a.számú melléklet'!E71</f>
        <v>36660616</v>
      </c>
    </row>
    <row r="26" spans="1:10" ht="15" customHeight="1" x14ac:dyDescent="0.25">
      <c r="A26" s="67"/>
      <c r="B26" s="41" t="s">
        <v>397</v>
      </c>
      <c r="C26" s="151">
        <f>'3.számú melléklet'!C83</f>
        <v>0</v>
      </c>
      <c r="D26" s="151">
        <f>'3.számú melléklet'!D83</f>
        <v>0</v>
      </c>
      <c r="E26" s="151">
        <f>'3.számú melléklet'!E83</f>
        <v>4897000</v>
      </c>
      <c r="F26" s="67"/>
      <c r="G26" s="192" t="s">
        <v>922</v>
      </c>
      <c r="H26" s="151">
        <f>'4.a.számú melléklet'!C74</f>
        <v>0</v>
      </c>
      <c r="I26" s="151">
        <f>'4.a.számú melléklet'!D74</f>
        <v>0</v>
      </c>
      <c r="J26" s="151">
        <f>'4.a.számú melléklet'!E74</f>
        <v>6270</v>
      </c>
    </row>
    <row r="27" spans="1:10" ht="15" customHeight="1" x14ac:dyDescent="0.25">
      <c r="A27" s="67"/>
      <c r="B27" s="41"/>
      <c r="C27" s="151"/>
      <c r="D27" s="151"/>
      <c r="E27" s="151"/>
      <c r="F27" s="67"/>
      <c r="G27" s="41" t="s">
        <v>625</v>
      </c>
      <c r="H27" s="151">
        <f>'4.a.számú melléklet'!C75</f>
        <v>0</v>
      </c>
      <c r="I27" s="151">
        <f>'4.a.számú melléklet'!D75</f>
        <v>0</v>
      </c>
      <c r="J27" s="151">
        <f>'4.a.számú melléklet'!E75</f>
        <v>2496860</v>
      </c>
    </row>
    <row r="28" spans="1:10" ht="15" customHeight="1" x14ac:dyDescent="0.25">
      <c r="A28" s="211"/>
      <c r="B28" s="300" t="s">
        <v>382</v>
      </c>
      <c r="C28" s="251">
        <f>C26+C25</f>
        <v>5300000</v>
      </c>
      <c r="D28" s="251">
        <f>D26+D25</f>
        <v>7300000</v>
      </c>
      <c r="E28" s="251">
        <f>E26+E25</f>
        <v>12197000</v>
      </c>
      <c r="F28" s="301"/>
      <c r="G28" s="300" t="s">
        <v>382</v>
      </c>
      <c r="H28" s="251">
        <f>SUM(H25:H27)</f>
        <v>28536468</v>
      </c>
      <c r="I28" s="251">
        <f>SUM(I25:I27)</f>
        <v>32457052</v>
      </c>
      <c r="J28" s="251">
        <f>SUM(J25:J27)</f>
        <v>39163746</v>
      </c>
    </row>
    <row r="29" spans="1:10" ht="15" customHeight="1" x14ac:dyDescent="0.2">
      <c r="A29" s="628" t="s">
        <v>340</v>
      </c>
      <c r="B29" s="629"/>
      <c r="C29" s="303">
        <f>C12+C23+C18+C28</f>
        <v>890492249</v>
      </c>
      <c r="D29" s="303">
        <f>D12+D23+D18+D28</f>
        <v>1056562638</v>
      </c>
      <c r="E29" s="303">
        <f>E12+E23+E18+E28</f>
        <v>1079348455</v>
      </c>
      <c r="F29" s="628" t="s">
        <v>349</v>
      </c>
      <c r="G29" s="629"/>
      <c r="H29" s="303">
        <f>H12+H23+H18+H28</f>
        <v>987939497</v>
      </c>
      <c r="I29" s="303">
        <f>I12+I23+I18+I28</f>
        <v>1118839106</v>
      </c>
      <c r="J29" s="303">
        <f>J12+J23+J18+J28</f>
        <v>1159731187</v>
      </c>
    </row>
    <row r="30" spans="1:10" ht="15" customHeight="1" x14ac:dyDescent="0.2">
      <c r="A30" s="191" t="s">
        <v>364</v>
      </c>
      <c r="B30" s="191"/>
      <c r="C30" s="66"/>
      <c r="D30" s="66"/>
      <c r="E30" s="66"/>
      <c r="F30" s="191" t="s">
        <v>367</v>
      </c>
      <c r="G30" s="191"/>
      <c r="H30" s="66"/>
      <c r="I30" s="66"/>
      <c r="J30" s="66"/>
    </row>
    <row r="31" spans="1:10" ht="15" customHeight="1" x14ac:dyDescent="0.2">
      <c r="A31" s="69" t="s">
        <v>89</v>
      </c>
      <c r="B31" s="82" t="s">
        <v>82</v>
      </c>
      <c r="C31" s="66"/>
      <c r="D31" s="66"/>
      <c r="E31" s="66"/>
      <c r="F31" s="69" t="s">
        <v>89</v>
      </c>
      <c r="G31" s="82" t="s">
        <v>82</v>
      </c>
      <c r="H31" s="66"/>
      <c r="I31" s="66"/>
      <c r="J31" s="66"/>
    </row>
    <row r="32" spans="1:10" ht="15" customHeight="1" x14ac:dyDescent="0.2">
      <c r="A32" s="68"/>
      <c r="B32" s="161" t="s">
        <v>409</v>
      </c>
      <c r="C32" s="162">
        <f>'3.számú melléklet'!C62</f>
        <v>51522907</v>
      </c>
      <c r="D32" s="162">
        <f>'3.számú melléklet'!D62</f>
        <v>55813230</v>
      </c>
      <c r="E32" s="162">
        <f>'3.számú melléklet'!E62</f>
        <v>54149937</v>
      </c>
      <c r="F32" s="68"/>
      <c r="G32" s="161" t="s">
        <v>369</v>
      </c>
      <c r="H32" s="162">
        <f>'4.a.számú melléklet'!C109</f>
        <v>12597768</v>
      </c>
      <c r="I32" s="162">
        <f>'4.a.számú melléklet'!D109</f>
        <v>14048925</v>
      </c>
      <c r="J32" s="162">
        <f>'4.a.számú melléklet'!E109</f>
        <v>14048925</v>
      </c>
    </row>
    <row r="33" spans="1:10" ht="15" customHeight="1" x14ac:dyDescent="0.2">
      <c r="A33" s="68"/>
      <c r="B33" s="161" t="s">
        <v>410</v>
      </c>
      <c r="C33" s="162">
        <f>'3.számú melléklet'!C63</f>
        <v>0</v>
      </c>
      <c r="D33" s="162">
        <f>'3.számú melléklet'!D63</f>
        <v>0</v>
      </c>
      <c r="E33" s="162">
        <f>'3.számú melléklet'!E63</f>
        <v>0</v>
      </c>
      <c r="F33" s="68"/>
      <c r="G33" s="161" t="s">
        <v>626</v>
      </c>
      <c r="H33" s="162">
        <f>'4.a.számú melléklet'!C108</f>
        <v>0</v>
      </c>
      <c r="I33" s="162">
        <f>'4.a.számú melléklet'!D108</f>
        <v>100000000</v>
      </c>
      <c r="J33" s="162">
        <f>'4.a.számú melléklet'!E108</f>
        <v>100000000</v>
      </c>
    </row>
    <row r="34" spans="1:10" ht="15" customHeight="1" x14ac:dyDescent="0.2">
      <c r="A34" s="68"/>
      <c r="B34" s="161" t="s">
        <v>619</v>
      </c>
      <c r="C34" s="162">
        <f>'3.számú melléklet'!C64</f>
        <v>180000000</v>
      </c>
      <c r="D34" s="162">
        <f>'3.számú melléklet'!D64</f>
        <v>340000000</v>
      </c>
      <c r="E34" s="162">
        <f>'3.számú melléklet'!E64</f>
        <v>340000000</v>
      </c>
      <c r="F34" s="68"/>
      <c r="G34" s="161"/>
      <c r="H34" s="162"/>
      <c r="I34" s="162"/>
      <c r="J34" s="162"/>
    </row>
    <row r="35" spans="1:10" ht="15" customHeight="1" x14ac:dyDescent="0.2">
      <c r="A35" s="69" t="s">
        <v>90</v>
      </c>
      <c r="B35" s="5" t="s">
        <v>97</v>
      </c>
      <c r="C35" s="29"/>
      <c r="D35" s="29"/>
      <c r="E35" s="29"/>
      <c r="F35" s="69" t="s">
        <v>90</v>
      </c>
      <c r="G35" s="5" t="s">
        <v>97</v>
      </c>
      <c r="H35" s="29"/>
      <c r="I35" s="29"/>
      <c r="J35" s="29"/>
    </row>
    <row r="36" spans="1:10" ht="15" customHeight="1" x14ac:dyDescent="0.2">
      <c r="A36" s="68"/>
      <c r="B36" s="161" t="s">
        <v>368</v>
      </c>
      <c r="C36" s="151">
        <f>'3.számú melléklet'!C73</f>
        <v>0</v>
      </c>
      <c r="D36" s="151">
        <f>'3.számú melléklet'!D73</f>
        <v>0</v>
      </c>
      <c r="E36" s="151">
        <f>'3.számú melléklet'!E73</f>
        <v>5918207</v>
      </c>
      <c r="F36" s="68"/>
      <c r="G36" s="161"/>
      <c r="H36" s="151"/>
      <c r="I36" s="151"/>
      <c r="J36" s="151"/>
    </row>
    <row r="37" spans="1:10" ht="15" customHeight="1" x14ac:dyDescent="0.2">
      <c r="A37" s="69" t="s">
        <v>91</v>
      </c>
      <c r="B37" s="5" t="s">
        <v>376</v>
      </c>
      <c r="C37" s="151"/>
      <c r="D37" s="151"/>
      <c r="E37" s="151"/>
      <c r="F37" s="69" t="s">
        <v>91</v>
      </c>
      <c r="G37" s="5" t="s">
        <v>376</v>
      </c>
      <c r="H37" s="151"/>
      <c r="I37" s="151"/>
      <c r="J37" s="151"/>
    </row>
    <row r="38" spans="1:10" ht="15" customHeight="1" x14ac:dyDescent="0.2">
      <c r="A38" s="69"/>
      <c r="B38" s="161" t="s">
        <v>366</v>
      </c>
      <c r="C38" s="151">
        <f>'3.számú melléklet'!C77</f>
        <v>0</v>
      </c>
      <c r="D38" s="151">
        <f>'3.számú melléklet'!D77</f>
        <v>0</v>
      </c>
      <c r="E38" s="151">
        <f>'3.számú melléklet'!E77</f>
        <v>2212562</v>
      </c>
      <c r="F38" s="69"/>
      <c r="G38" s="161"/>
      <c r="H38" s="151"/>
      <c r="I38" s="151"/>
      <c r="J38" s="151"/>
    </row>
    <row r="39" spans="1:10" ht="15" customHeight="1" x14ac:dyDescent="0.2">
      <c r="A39" s="69" t="s">
        <v>377</v>
      </c>
      <c r="B39" s="5" t="s">
        <v>378</v>
      </c>
      <c r="C39" s="151"/>
      <c r="D39" s="151"/>
      <c r="E39" s="151"/>
      <c r="F39" s="69"/>
      <c r="G39" s="161"/>
      <c r="H39" s="151"/>
      <c r="I39" s="151"/>
      <c r="J39" s="151"/>
    </row>
    <row r="40" spans="1:10" ht="15" customHeight="1" x14ac:dyDescent="0.2">
      <c r="A40" s="312"/>
      <c r="B40" s="313" t="s">
        <v>620</v>
      </c>
      <c r="C40" s="151">
        <f>'3.számú melléklet'!C89</f>
        <v>0</v>
      </c>
      <c r="D40" s="151">
        <f>'3.számú melléklet'!D89</f>
        <v>0</v>
      </c>
      <c r="E40" s="151">
        <f>'3.számú melléklet'!E89</f>
        <v>2496860</v>
      </c>
      <c r="F40" s="69"/>
      <c r="G40" s="161"/>
      <c r="H40" s="151"/>
      <c r="I40" s="151"/>
      <c r="J40" s="151"/>
    </row>
    <row r="41" spans="1:10" ht="15" customHeight="1" x14ac:dyDescent="0.2">
      <c r="A41" s="630" t="s">
        <v>407</v>
      </c>
      <c r="B41" s="631"/>
      <c r="C41" s="302">
        <f>SUM(C32+C36+C38+C33+C34+C40)</f>
        <v>231522907</v>
      </c>
      <c r="D41" s="302">
        <f>SUM(D32+D36+D38+D33+D34+D40)</f>
        <v>395813230</v>
      </c>
      <c r="E41" s="302">
        <f>SUM(E32+E36+E38+E33+E34+E40)</f>
        <v>404777566</v>
      </c>
      <c r="F41" s="632" t="s">
        <v>367</v>
      </c>
      <c r="G41" s="632"/>
      <c r="H41" s="302">
        <f>SUM(H32:H40)</f>
        <v>12597768</v>
      </c>
      <c r="I41" s="302">
        <f>SUM(I32:I40)</f>
        <v>114048925</v>
      </c>
      <c r="J41" s="302">
        <f>SUM(J32:J40)</f>
        <v>114048925</v>
      </c>
    </row>
    <row r="42" spans="1:10" ht="15" customHeight="1" x14ac:dyDescent="0.2">
      <c r="A42" s="635" t="s">
        <v>57</v>
      </c>
      <c r="B42" s="635"/>
      <c r="C42" s="305">
        <f>C29+C41</f>
        <v>1122015156</v>
      </c>
      <c r="D42" s="305">
        <f>D29+D41</f>
        <v>1452375868</v>
      </c>
      <c r="E42" s="305">
        <f>E29+E41</f>
        <v>1484126021</v>
      </c>
      <c r="F42" s="636" t="s">
        <v>9</v>
      </c>
      <c r="G42" s="637" t="s">
        <v>9</v>
      </c>
      <c r="H42" s="305">
        <f>H29+H41</f>
        <v>1000537265</v>
      </c>
      <c r="I42" s="305">
        <f>I29+I41</f>
        <v>1232888031</v>
      </c>
      <c r="J42" s="305">
        <f>J29+J41</f>
        <v>1273780112</v>
      </c>
    </row>
    <row r="43" spans="1:10" ht="15" customHeight="1" x14ac:dyDescent="0.2">
      <c r="A43" s="235"/>
      <c r="B43" s="235"/>
      <c r="C43" s="236"/>
      <c r="D43" s="236"/>
      <c r="E43" s="236"/>
      <c r="F43" s="237"/>
      <c r="G43" s="238"/>
      <c r="H43" s="236"/>
      <c r="I43" s="236"/>
      <c r="J43" s="236"/>
    </row>
    <row r="44" spans="1:10" ht="15" customHeight="1" x14ac:dyDescent="0.2">
      <c r="A44" s="640" t="s">
        <v>28</v>
      </c>
      <c r="B44" s="641"/>
      <c r="C44" s="233"/>
      <c r="D44" s="233"/>
      <c r="E44" s="233"/>
      <c r="F44" s="640" t="s">
        <v>362</v>
      </c>
      <c r="G44" s="641"/>
      <c r="H44" s="234"/>
      <c r="I44" s="234"/>
      <c r="J44" s="234"/>
    </row>
    <row r="45" spans="1:10" ht="15" customHeight="1" x14ac:dyDescent="0.2">
      <c r="A45" s="638" t="s">
        <v>341</v>
      </c>
      <c r="B45" s="638"/>
      <c r="C45" s="160"/>
      <c r="D45" s="160"/>
      <c r="E45" s="160"/>
      <c r="F45" s="638" t="s">
        <v>343</v>
      </c>
      <c r="G45" s="638"/>
      <c r="H45" s="155"/>
      <c r="I45" s="155"/>
      <c r="J45" s="155"/>
    </row>
    <row r="46" spans="1:10" ht="15" customHeight="1" x14ac:dyDescent="0.2">
      <c r="A46" s="69" t="s">
        <v>89</v>
      </c>
      <c r="B46" s="82" t="s">
        <v>82</v>
      </c>
      <c r="C46" s="4"/>
      <c r="D46" s="4"/>
      <c r="E46" s="4"/>
      <c r="F46" s="69" t="s">
        <v>89</v>
      </c>
      <c r="G46" s="82" t="s">
        <v>82</v>
      </c>
      <c r="H46" s="4"/>
      <c r="I46" s="4"/>
      <c r="J46" s="4"/>
    </row>
    <row r="47" spans="1:10" ht="15" customHeight="1" x14ac:dyDescent="0.2">
      <c r="A47" s="68"/>
      <c r="B47" s="41" t="s">
        <v>621</v>
      </c>
      <c r="C47" s="4">
        <f>'3.számú melléklet'!C40</f>
        <v>0</v>
      </c>
      <c r="D47" s="4">
        <f>'3.számú melléklet'!D40</f>
        <v>569645184</v>
      </c>
      <c r="E47" s="4">
        <f>'3.számú melléklet'!E40</f>
        <v>570184499</v>
      </c>
      <c r="F47" s="68"/>
      <c r="G47" s="41" t="s">
        <v>627</v>
      </c>
      <c r="H47" s="4">
        <f>'4.a.számú melléklet'!C80</f>
        <v>64337985</v>
      </c>
      <c r="I47" s="4">
        <f>'4.a.számú melléklet'!D80</f>
        <v>727482345</v>
      </c>
      <c r="J47" s="4">
        <f>'4.a.számú melléklet'!E80</f>
        <v>716957662</v>
      </c>
    </row>
    <row r="48" spans="1:10" ht="15" customHeight="1" x14ac:dyDescent="0.2">
      <c r="A48" s="68"/>
      <c r="B48" s="41" t="s">
        <v>622</v>
      </c>
      <c r="C48" s="4">
        <f>'3.számú melléklet'!C52</f>
        <v>5000000</v>
      </c>
      <c r="D48" s="4">
        <f>'3.számú melléklet'!D52</f>
        <v>0</v>
      </c>
      <c r="E48" s="4">
        <f>'3.számú melléklet'!E52</f>
        <v>2200000</v>
      </c>
      <c r="F48" s="68"/>
      <c r="G48" s="41" t="s">
        <v>628</v>
      </c>
      <c r="H48" s="4">
        <f>'4.a.számú melléklet'!C81</f>
        <v>42494750</v>
      </c>
      <c r="I48" s="4">
        <f>'4.a.számú melléklet'!D81</f>
        <v>32843676</v>
      </c>
      <c r="J48" s="4">
        <f>'4.a.számú melléklet'!E81</f>
        <v>35919591</v>
      </c>
    </row>
    <row r="49" spans="1:10" ht="15" customHeight="1" x14ac:dyDescent="0.2">
      <c r="A49" s="68"/>
      <c r="B49" s="41" t="s">
        <v>623</v>
      </c>
      <c r="C49" s="4">
        <f>'3.számú melléklet'!C57</f>
        <v>880000</v>
      </c>
      <c r="D49" s="4">
        <f>'3.számú melléklet'!D57</f>
        <v>705000</v>
      </c>
      <c r="E49" s="4">
        <f>'3.számú melléklet'!E57</f>
        <v>705000</v>
      </c>
      <c r="F49" s="68"/>
      <c r="G49" s="41" t="s">
        <v>629</v>
      </c>
      <c r="H49" s="4">
        <f>'4.a.számú melléklet'!C82</f>
        <v>0</v>
      </c>
      <c r="I49" s="4">
        <f>'4.a.számú melléklet'!D82</f>
        <v>0</v>
      </c>
      <c r="J49" s="4">
        <f>'4.a.számú melléklet'!E82</f>
        <v>0</v>
      </c>
    </row>
    <row r="50" spans="1:10" ht="15" customHeight="1" x14ac:dyDescent="0.2">
      <c r="A50" s="68"/>
      <c r="B50" s="41" t="s">
        <v>624</v>
      </c>
      <c r="C50" s="4">
        <f>'3.számú melléklet'!C58</f>
        <v>509844</v>
      </c>
      <c r="D50" s="4">
        <f>'3.számú melléklet'!D58</f>
        <v>408000</v>
      </c>
      <c r="E50" s="4">
        <f>'3.számú melléklet'!E58</f>
        <v>408000</v>
      </c>
      <c r="F50" s="68"/>
      <c r="G50" s="41" t="s">
        <v>630</v>
      </c>
      <c r="H50" s="4">
        <f>'4.a.számú melléklet'!C86+'4.a.számú melléklet'!C90</f>
        <v>2905000</v>
      </c>
      <c r="I50" s="4">
        <f>'4.a.számú melléklet'!D86+'4.a.számú melléklet'!D90</f>
        <v>14420000</v>
      </c>
      <c r="J50" s="4">
        <f>'4.a.számú melléklet'!E86+'4.a.számú melléklet'!E90</f>
        <v>14420000</v>
      </c>
    </row>
    <row r="51" spans="1:10" ht="15" customHeight="1" x14ac:dyDescent="0.2">
      <c r="A51" s="68"/>
      <c r="B51" s="41"/>
      <c r="C51" s="4"/>
      <c r="D51" s="4"/>
      <c r="E51" s="4"/>
      <c r="F51" s="68"/>
      <c r="G51" s="41" t="s">
        <v>631</v>
      </c>
      <c r="H51" s="4">
        <f>'4.a.számú melléklet'!C93</f>
        <v>1000000</v>
      </c>
      <c r="I51" s="4">
        <f>'4.a.számú melléklet'!D93</f>
        <v>1000000</v>
      </c>
      <c r="J51" s="4">
        <f>'4.a.számú melléklet'!E93</f>
        <v>1000000</v>
      </c>
    </row>
    <row r="52" spans="1:10" s="100" customFormat="1" ht="15.75" x14ac:dyDescent="0.25">
      <c r="A52" s="68"/>
      <c r="B52" s="300" t="s">
        <v>88</v>
      </c>
      <c r="C52" s="304">
        <f>SUM(C47:C51)</f>
        <v>6389844</v>
      </c>
      <c r="D52" s="304">
        <f>SUM(D47:D51)</f>
        <v>570758184</v>
      </c>
      <c r="E52" s="304">
        <f>SUM(E47:E51)</f>
        <v>573497499</v>
      </c>
      <c r="F52" s="264"/>
      <c r="G52" s="300" t="s">
        <v>88</v>
      </c>
      <c r="H52" s="304">
        <f>SUM(H47:H51)</f>
        <v>110737735</v>
      </c>
      <c r="I52" s="304">
        <f>SUM(I47:I51)</f>
        <v>775746021</v>
      </c>
      <c r="J52" s="304">
        <f>SUM(J47:J51)</f>
        <v>768297253</v>
      </c>
    </row>
    <row r="53" spans="1:10" s="100" customFormat="1" ht="15.75" x14ac:dyDescent="0.2">
      <c r="A53" s="69" t="s">
        <v>90</v>
      </c>
      <c r="B53" s="5" t="s">
        <v>97</v>
      </c>
      <c r="C53" s="4"/>
      <c r="D53" s="4"/>
      <c r="E53" s="4"/>
      <c r="F53" s="69" t="s">
        <v>90</v>
      </c>
      <c r="G53" s="5" t="s">
        <v>97</v>
      </c>
      <c r="H53" s="4"/>
      <c r="I53" s="4"/>
      <c r="J53" s="4"/>
    </row>
    <row r="54" spans="1:10" s="100" customFormat="1" ht="15" x14ac:dyDescent="0.2">
      <c r="A54" s="68"/>
      <c r="B54" s="41"/>
      <c r="C54" s="4"/>
      <c r="D54" s="4"/>
      <c r="E54" s="4"/>
      <c r="F54" s="68"/>
      <c r="G54" s="41" t="s">
        <v>361</v>
      </c>
      <c r="H54" s="4">
        <f>'4.a.számú melléklet'!C96</f>
        <v>1270000</v>
      </c>
      <c r="I54" s="4">
        <f>'4.a.számú melléklet'!D96</f>
        <v>1000000</v>
      </c>
      <c r="J54" s="4">
        <f>'4.a.számú melléklet'!E96</f>
        <v>1000000</v>
      </c>
    </row>
    <row r="55" spans="1:10" s="100" customFormat="1" ht="15.75" x14ac:dyDescent="0.2">
      <c r="A55" s="68"/>
      <c r="B55" s="300" t="s">
        <v>98</v>
      </c>
      <c r="C55" s="265"/>
      <c r="D55" s="265"/>
      <c r="E55" s="265"/>
      <c r="F55" s="264"/>
      <c r="G55" s="300" t="s">
        <v>98</v>
      </c>
      <c r="H55" s="265">
        <f>SUM(H54)</f>
        <v>1270000</v>
      </c>
      <c r="I55" s="265">
        <f>SUM(I54)</f>
        <v>1000000</v>
      </c>
      <c r="J55" s="265">
        <f>SUM(J54)</f>
        <v>1000000</v>
      </c>
    </row>
    <row r="56" spans="1:10" s="100" customFormat="1" ht="15.75" x14ac:dyDescent="0.2">
      <c r="A56" s="69" t="s">
        <v>91</v>
      </c>
      <c r="B56" s="5" t="s">
        <v>376</v>
      </c>
      <c r="C56" s="4"/>
      <c r="D56" s="4"/>
      <c r="E56" s="4"/>
      <c r="F56" s="69" t="s">
        <v>91</v>
      </c>
      <c r="G56" s="5" t="s">
        <v>376</v>
      </c>
      <c r="H56" s="4"/>
      <c r="I56" s="4"/>
      <c r="J56" s="4"/>
    </row>
    <row r="57" spans="1:10" ht="15" customHeight="1" x14ac:dyDescent="0.2">
      <c r="A57" s="68"/>
      <c r="B57" s="41"/>
      <c r="C57" s="4"/>
      <c r="D57" s="4"/>
      <c r="E57" s="4"/>
      <c r="F57" s="68"/>
      <c r="G57" s="41" t="s">
        <v>399</v>
      </c>
      <c r="H57" s="4">
        <f>'4.a.számú melléklet'!C99</f>
        <v>5500000</v>
      </c>
      <c r="I57" s="4">
        <f>'4.a.számú melléklet'!D99</f>
        <v>2200000</v>
      </c>
      <c r="J57" s="4">
        <f>'4.a.számú melléklet'!E99</f>
        <v>2200000</v>
      </c>
    </row>
    <row r="58" spans="1:10" ht="15" customHeight="1" x14ac:dyDescent="0.2">
      <c r="A58" s="68"/>
      <c r="B58" s="300" t="s">
        <v>380</v>
      </c>
      <c r="C58" s="265"/>
      <c r="D58" s="265"/>
      <c r="E58" s="265"/>
      <c r="F58" s="264"/>
      <c r="G58" s="300" t="s">
        <v>380</v>
      </c>
      <c r="H58" s="265">
        <f>SUM(H57)</f>
        <v>5500000</v>
      </c>
      <c r="I58" s="265">
        <f>SUM(I57)</f>
        <v>2200000</v>
      </c>
      <c r="J58" s="265">
        <f>SUM(J57)</f>
        <v>2200000</v>
      </c>
    </row>
    <row r="59" spans="1:10" ht="15" customHeight="1" x14ac:dyDescent="0.2">
      <c r="A59" s="69" t="s">
        <v>377</v>
      </c>
      <c r="B59" s="5" t="s">
        <v>378</v>
      </c>
      <c r="C59" s="4"/>
      <c r="D59" s="4"/>
      <c r="E59" s="4"/>
      <c r="F59" s="69" t="s">
        <v>377</v>
      </c>
      <c r="G59" s="5" t="s">
        <v>378</v>
      </c>
      <c r="H59" s="4"/>
      <c r="I59" s="4"/>
      <c r="J59" s="4"/>
    </row>
    <row r="60" spans="1:10" ht="15" customHeight="1" x14ac:dyDescent="0.2">
      <c r="A60" s="68"/>
      <c r="B60" s="103" t="s">
        <v>848</v>
      </c>
      <c r="C60" s="4">
        <f>'3.számú melléklet'!C87</f>
        <v>0</v>
      </c>
      <c r="D60" s="4">
        <f>'3.számú melléklet'!D87</f>
        <v>19963948</v>
      </c>
      <c r="E60" s="4">
        <f>'3.számú melléklet'!E87</f>
        <v>20713948</v>
      </c>
      <c r="F60" s="68"/>
      <c r="G60" s="41" t="s">
        <v>389</v>
      </c>
      <c r="H60" s="4">
        <f>'4.a.számú melléklet'!C102</f>
        <v>360000</v>
      </c>
      <c r="I60" s="4">
        <f>'4.a.számú melléklet'!D102</f>
        <v>21263948</v>
      </c>
      <c r="J60" s="4">
        <f>'4.a.számú melléklet'!E102</f>
        <v>23060103</v>
      </c>
    </row>
    <row r="61" spans="1:10" ht="15" customHeight="1" x14ac:dyDescent="0.2">
      <c r="A61" s="68"/>
      <c r="B61" s="300" t="s">
        <v>745</v>
      </c>
      <c r="C61" s="265"/>
      <c r="D61" s="265">
        <f>D60</f>
        <v>19963948</v>
      </c>
      <c r="E61" s="265">
        <f>E60</f>
        <v>20713948</v>
      </c>
      <c r="F61" s="264"/>
      <c r="G61" s="300" t="s">
        <v>382</v>
      </c>
      <c r="H61" s="265">
        <f>H60</f>
        <v>360000</v>
      </c>
      <c r="I61" s="265">
        <f>I60</f>
        <v>21263948</v>
      </c>
      <c r="J61" s="265">
        <f>J60</f>
        <v>23060103</v>
      </c>
    </row>
    <row r="62" spans="1:10" ht="15" customHeight="1" x14ac:dyDescent="0.2">
      <c r="A62" s="307" t="s">
        <v>350</v>
      </c>
      <c r="B62" s="308"/>
      <c r="C62" s="302">
        <f>C52+C53+C56</f>
        <v>6389844</v>
      </c>
      <c r="D62" s="302">
        <f>D52+D53+D56+D61</f>
        <v>590722132</v>
      </c>
      <c r="E62" s="302">
        <f>E52+E53+E56+E61</f>
        <v>594211447</v>
      </c>
      <c r="F62" s="306" t="s">
        <v>351</v>
      </c>
      <c r="G62" s="306"/>
      <c r="H62" s="302">
        <f>H52+H55+H58+H61</f>
        <v>117867735</v>
      </c>
      <c r="I62" s="302">
        <f>I52+I55+I58+I61</f>
        <v>800209969</v>
      </c>
      <c r="J62" s="302">
        <f>J52+J55+J58+J61</f>
        <v>794557356</v>
      </c>
    </row>
    <row r="63" spans="1:10" ht="15" customHeight="1" x14ac:dyDescent="0.2">
      <c r="A63" s="191" t="s">
        <v>365</v>
      </c>
      <c r="B63" s="191"/>
      <c r="C63" s="66"/>
      <c r="D63" s="66"/>
      <c r="E63" s="66"/>
      <c r="F63" s="191" t="s">
        <v>344</v>
      </c>
      <c r="G63" s="191"/>
      <c r="H63" s="66"/>
      <c r="I63" s="66"/>
      <c r="J63" s="66"/>
    </row>
    <row r="64" spans="1:10" ht="15" customHeight="1" x14ac:dyDescent="0.2">
      <c r="A64" s="69" t="s">
        <v>89</v>
      </c>
      <c r="B64" s="82" t="s">
        <v>82</v>
      </c>
      <c r="C64" s="66"/>
      <c r="D64" s="66"/>
      <c r="E64" s="66"/>
      <c r="F64" s="69" t="s">
        <v>89</v>
      </c>
      <c r="G64" s="82" t="s">
        <v>82</v>
      </c>
      <c r="H64" s="66"/>
      <c r="I64" s="66"/>
      <c r="J64" s="66"/>
    </row>
    <row r="65" spans="1:10" ht="15" customHeight="1" x14ac:dyDescent="0.2">
      <c r="A65" s="68"/>
      <c r="B65" s="161"/>
      <c r="C65" s="162"/>
      <c r="D65" s="162"/>
      <c r="E65" s="162"/>
      <c r="F65" s="68"/>
      <c r="G65" s="161" t="s">
        <v>632</v>
      </c>
      <c r="H65" s="162">
        <f>'4.a.számú melléklet'!C107</f>
        <v>10000000</v>
      </c>
      <c r="I65" s="162">
        <f>'4.a.számú melléklet'!D107</f>
        <v>10000000</v>
      </c>
      <c r="J65" s="162">
        <f>'4.a.számú melléklet'!E107</f>
        <v>10000000</v>
      </c>
    </row>
    <row r="66" spans="1:10" ht="15" customHeight="1" x14ac:dyDescent="0.2">
      <c r="A66" s="68"/>
      <c r="B66" s="161"/>
      <c r="C66" s="162"/>
      <c r="D66" s="162"/>
      <c r="E66" s="162"/>
      <c r="F66" s="68"/>
      <c r="G66" s="161"/>
      <c r="H66" s="162"/>
      <c r="I66" s="162"/>
      <c r="J66" s="162"/>
    </row>
    <row r="67" spans="1:10" ht="15" customHeight="1" x14ac:dyDescent="0.2">
      <c r="A67" s="69" t="s">
        <v>90</v>
      </c>
      <c r="B67" s="5" t="s">
        <v>97</v>
      </c>
      <c r="C67" s="29"/>
      <c r="D67" s="29"/>
      <c r="E67" s="29"/>
      <c r="F67" s="69" t="s">
        <v>90</v>
      </c>
      <c r="G67" s="5" t="s">
        <v>97</v>
      </c>
      <c r="H67" s="29"/>
      <c r="I67" s="29"/>
      <c r="J67" s="29"/>
    </row>
    <row r="68" spans="1:10" ht="15" customHeight="1" x14ac:dyDescent="0.2">
      <c r="A68" s="68"/>
      <c r="B68" s="192"/>
      <c r="C68" s="151"/>
      <c r="D68" s="151"/>
      <c r="E68" s="151"/>
      <c r="F68" s="68"/>
      <c r="G68" s="192"/>
      <c r="H68" s="151"/>
      <c r="I68" s="151"/>
      <c r="J68" s="151"/>
    </row>
    <row r="69" spans="1:10" ht="15" customHeight="1" x14ac:dyDescent="0.2">
      <c r="A69" s="69" t="s">
        <v>91</v>
      </c>
      <c r="B69" s="5" t="s">
        <v>376</v>
      </c>
      <c r="C69" s="151"/>
      <c r="D69" s="151"/>
      <c r="E69" s="151"/>
      <c r="F69" s="69" t="s">
        <v>91</v>
      </c>
      <c r="G69" s="5" t="s">
        <v>376</v>
      </c>
      <c r="H69" s="151"/>
      <c r="I69" s="151"/>
      <c r="J69" s="151"/>
    </row>
    <row r="70" spans="1:10" ht="15" customHeight="1" x14ac:dyDescent="0.2">
      <c r="A70" s="69"/>
      <c r="B70" s="192"/>
      <c r="C70" s="151"/>
      <c r="D70" s="151"/>
      <c r="E70" s="151"/>
      <c r="F70" s="69"/>
      <c r="G70" s="192"/>
      <c r="H70" s="151"/>
      <c r="I70" s="151"/>
      <c r="J70" s="151"/>
    </row>
    <row r="71" spans="1:10" ht="15" customHeight="1" x14ac:dyDescent="0.2">
      <c r="A71" s="69" t="s">
        <v>377</v>
      </c>
      <c r="B71" s="5" t="s">
        <v>378</v>
      </c>
      <c r="C71" s="151"/>
      <c r="D71" s="151"/>
      <c r="E71" s="151"/>
      <c r="F71" s="69" t="s">
        <v>377</v>
      </c>
      <c r="G71" s="5" t="s">
        <v>378</v>
      </c>
      <c r="H71" s="151"/>
      <c r="I71" s="151"/>
      <c r="J71" s="151"/>
    </row>
    <row r="72" spans="1:10" ht="15" customHeight="1" x14ac:dyDescent="0.2">
      <c r="A72" s="69"/>
      <c r="B72" s="192"/>
      <c r="C72" s="151"/>
      <c r="D72" s="151"/>
      <c r="E72" s="151"/>
      <c r="F72" s="69"/>
      <c r="G72" s="192"/>
      <c r="H72" s="151"/>
      <c r="I72" s="151"/>
      <c r="J72" s="151"/>
    </row>
    <row r="73" spans="1:10" ht="15" customHeight="1" x14ac:dyDescent="0.2">
      <c r="A73" s="639" t="s">
        <v>342</v>
      </c>
      <c r="B73" s="639"/>
      <c r="C73" s="251">
        <f>SUM(C65+C66+C68+C70+C72)</f>
        <v>0</v>
      </c>
      <c r="D73" s="251">
        <f>SUM(D65+D66+D68+D70+D72)</f>
        <v>0</v>
      </c>
      <c r="E73" s="251">
        <f>SUM(E65+E66+E68+E70+E72)</f>
        <v>0</v>
      </c>
      <c r="F73" s="639" t="s">
        <v>344</v>
      </c>
      <c r="G73" s="639"/>
      <c r="H73" s="251">
        <f>SUM(H65:H72)</f>
        <v>10000000</v>
      </c>
      <c r="I73" s="251">
        <f>SUM(I65:I72)</f>
        <v>10000000</v>
      </c>
      <c r="J73" s="251">
        <f>SUM(J65:J72)</f>
        <v>10000000</v>
      </c>
    </row>
    <row r="74" spans="1:10" ht="15" customHeight="1" x14ac:dyDescent="0.2">
      <c r="A74" s="634" t="s">
        <v>331</v>
      </c>
      <c r="B74" s="634"/>
      <c r="C74" s="309">
        <f>C62+C73</f>
        <v>6389844</v>
      </c>
      <c r="D74" s="309">
        <f>D62+D73</f>
        <v>590722132</v>
      </c>
      <c r="E74" s="309">
        <f>E62+E73</f>
        <v>594211447</v>
      </c>
      <c r="F74" s="634" t="s">
        <v>385</v>
      </c>
      <c r="G74" s="634" t="s">
        <v>305</v>
      </c>
      <c r="H74" s="309">
        <f>H62+H73</f>
        <v>127867735</v>
      </c>
      <c r="I74" s="309">
        <f>I62+I73</f>
        <v>810209969</v>
      </c>
      <c r="J74" s="309">
        <f>J62+J73</f>
        <v>804557356</v>
      </c>
    </row>
    <row r="75" spans="1:10" ht="15" customHeight="1" x14ac:dyDescent="0.2">
      <c r="A75" s="633" t="s">
        <v>58</v>
      </c>
      <c r="B75" s="633"/>
      <c r="C75" s="212">
        <f>C42+C74</f>
        <v>1128405000</v>
      </c>
      <c r="D75" s="212">
        <f>D42+D74</f>
        <v>2043098000</v>
      </c>
      <c r="E75" s="212">
        <f>E42+E74</f>
        <v>2078337468</v>
      </c>
      <c r="F75" s="633" t="s">
        <v>384</v>
      </c>
      <c r="G75" s="633" t="s">
        <v>220</v>
      </c>
      <c r="H75" s="212">
        <f>H42+H74</f>
        <v>1128405000</v>
      </c>
      <c r="I75" s="212">
        <f>I42+I74</f>
        <v>2043098000</v>
      </c>
      <c r="J75" s="212">
        <f>J42+J74</f>
        <v>2078337468</v>
      </c>
    </row>
    <row r="76" spans="1:10" s="1" customFormat="1" x14ac:dyDescent="0.2">
      <c r="A76" s="261"/>
      <c r="B76" s="261"/>
      <c r="F76" s="261"/>
    </row>
    <row r="77" spans="1:10" s="1" customFormat="1" x14ac:dyDescent="0.2">
      <c r="A77" s="261"/>
      <c r="B77" s="261"/>
      <c r="F77" s="261"/>
    </row>
    <row r="78" spans="1:10" s="1" customFormat="1" x14ac:dyDescent="0.2">
      <c r="F78" s="261"/>
    </row>
    <row r="79" spans="1:10" s="1" customFormat="1" x14ac:dyDescent="0.2">
      <c r="F79" s="261"/>
    </row>
    <row r="80" spans="1:10" s="1" customFormat="1" x14ac:dyDescent="0.2">
      <c r="F80" s="261"/>
    </row>
    <row r="81" spans="6:6" s="1" customFormat="1" x14ac:dyDescent="0.2">
      <c r="F81" s="262"/>
    </row>
    <row r="82" spans="6:6" s="1" customFormat="1" x14ac:dyDescent="0.2"/>
    <row r="83" spans="6:6" s="1" customFormat="1" x14ac:dyDescent="0.2"/>
    <row r="84" spans="6:6" s="1" customFormat="1" x14ac:dyDescent="0.2"/>
    <row r="85" spans="6:6" s="1" customFormat="1" x14ac:dyDescent="0.2"/>
    <row r="86" spans="6:6" s="1" customFormat="1" x14ac:dyDescent="0.2"/>
    <row r="87" spans="6:6" s="1" customFormat="1" x14ac:dyDescent="0.2"/>
    <row r="88" spans="6:6" s="1" customFormat="1" x14ac:dyDescent="0.2"/>
    <row r="89" spans="6:6" s="1" customFormat="1" x14ac:dyDescent="0.2"/>
    <row r="90" spans="6:6" s="1" customFormat="1" x14ac:dyDescent="0.2"/>
    <row r="91" spans="6:6" s="1" customFormat="1" x14ac:dyDescent="0.2"/>
    <row r="92" spans="6:6" s="1" customFormat="1" x14ac:dyDescent="0.2"/>
    <row r="93" spans="6:6" s="1" customFormat="1" x14ac:dyDescent="0.2"/>
    <row r="94" spans="6:6" s="1" customFormat="1" x14ac:dyDescent="0.2"/>
    <row r="95" spans="6:6" s="1" customFormat="1" x14ac:dyDescent="0.2"/>
    <row r="96" spans="6: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28">
    <mergeCell ref="A29:B29"/>
    <mergeCell ref="F29:G29"/>
    <mergeCell ref="A41:B41"/>
    <mergeCell ref="F41:G41"/>
    <mergeCell ref="A75:B75"/>
    <mergeCell ref="A74:B74"/>
    <mergeCell ref="A42:B42"/>
    <mergeCell ref="F42:G42"/>
    <mergeCell ref="A45:B45"/>
    <mergeCell ref="F45:G45"/>
    <mergeCell ref="F74:G74"/>
    <mergeCell ref="F75:G75"/>
    <mergeCell ref="F73:G73"/>
    <mergeCell ref="F44:G44"/>
    <mergeCell ref="A73:B73"/>
    <mergeCell ref="A44:B44"/>
    <mergeCell ref="J1:J2"/>
    <mergeCell ref="E1:E2"/>
    <mergeCell ref="I1:I2"/>
    <mergeCell ref="A3:B3"/>
    <mergeCell ref="F3:G3"/>
    <mergeCell ref="G1:G2"/>
    <mergeCell ref="A1:A2"/>
    <mergeCell ref="B1:B2"/>
    <mergeCell ref="F1:F2"/>
    <mergeCell ref="D1:D2"/>
    <mergeCell ref="C1:C2"/>
    <mergeCell ref="H1:H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70" fitToHeight="0" orientation="landscape" horizontalDpi="4294967294" r:id="rId1"/>
  <headerFooter alignWithMargins="0">
    <oddHeader>&amp;C&amp;"Garamond,Félkövér"&amp;12  8/2018. ( VI.28.  )   számú költségvetési rendelethez
ZALAKAROS VÁROS ÖNKORMÁNYZATA ÉS KÖLTSÉGVETÉSI SZERVEI 
2018. ÉVI MŰKÖDÉSI ÉS FELHALMOZÁSI CÉLÚ BEVÉTELEI ÉS KIADÁSAI
&amp;R&amp;A
&amp;P.oldal
forintban</oddHead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H721"/>
  <sheetViews>
    <sheetView view="pageBreakPreview" topLeftCell="A64" zoomScaleNormal="100" zoomScaleSheetLayoutView="100" workbookViewId="0">
      <selection activeCell="E91" sqref="E91"/>
    </sheetView>
  </sheetViews>
  <sheetFormatPr defaultRowHeight="12.75" x14ac:dyDescent="0.2"/>
  <cols>
    <col min="1" max="1" width="5.140625" style="17" customWidth="1"/>
    <col min="2" max="2" width="60.5703125" style="17" customWidth="1"/>
    <col min="3" max="3" width="15.140625" style="17" customWidth="1"/>
    <col min="4" max="5" width="15" style="17" customWidth="1"/>
    <col min="6" max="6" width="13.85546875" style="250" customWidth="1"/>
    <col min="7" max="7" width="13.42578125" style="250" customWidth="1"/>
    <col min="8" max="8" width="13.140625" style="17" customWidth="1"/>
    <col min="9" max="9" width="11.28515625" style="17" customWidth="1"/>
    <col min="10" max="16384" width="9.140625" style="17"/>
  </cols>
  <sheetData>
    <row r="2" spans="1:8" ht="0.95" customHeight="1" x14ac:dyDescent="0.2">
      <c r="A2" s="599" t="s">
        <v>21</v>
      </c>
      <c r="B2" s="600" t="s">
        <v>15</v>
      </c>
      <c r="C2" s="599" t="s">
        <v>277</v>
      </c>
      <c r="D2" s="621" t="s">
        <v>375</v>
      </c>
      <c r="E2" s="484"/>
      <c r="F2" s="621" t="s">
        <v>422</v>
      </c>
      <c r="G2" s="621" t="s">
        <v>687</v>
      </c>
      <c r="H2" s="599" t="s">
        <v>696</v>
      </c>
    </row>
    <row r="3" spans="1:8" ht="27" customHeight="1" x14ac:dyDescent="0.2">
      <c r="A3" s="599"/>
      <c r="B3" s="600"/>
      <c r="C3" s="599"/>
      <c r="D3" s="622"/>
      <c r="E3" s="485" t="s">
        <v>783</v>
      </c>
      <c r="F3" s="622"/>
      <c r="G3" s="622"/>
      <c r="H3" s="599"/>
    </row>
    <row r="4" spans="1:8" ht="20.100000000000001" customHeight="1" x14ac:dyDescent="0.25">
      <c r="A4" s="24" t="s">
        <v>89</v>
      </c>
      <c r="B4" s="53" t="s">
        <v>226</v>
      </c>
      <c r="C4" s="133"/>
      <c r="D4" s="133"/>
      <c r="E4" s="133"/>
      <c r="F4" s="133"/>
      <c r="G4" s="263"/>
      <c r="H4" s="263"/>
    </row>
    <row r="5" spans="1:8" ht="20.100000000000001" customHeight="1" x14ac:dyDescent="0.25">
      <c r="A5" s="24" t="s">
        <v>37</v>
      </c>
      <c r="B5" s="53" t="s">
        <v>227</v>
      </c>
      <c r="C5" s="19"/>
      <c r="D5" s="19"/>
      <c r="E5" s="19"/>
      <c r="F5" s="19"/>
      <c r="G5" s="263"/>
      <c r="H5" s="263"/>
    </row>
    <row r="6" spans="1:8" ht="20.100000000000001" customHeight="1" x14ac:dyDescent="0.25">
      <c r="A6" s="24">
        <v>1</v>
      </c>
      <c r="B6" s="53" t="s">
        <v>765</v>
      </c>
      <c r="C6" s="19"/>
      <c r="D6" s="19"/>
      <c r="E6" s="19"/>
      <c r="F6" s="19"/>
      <c r="G6" s="263"/>
      <c r="H6" s="263"/>
    </row>
    <row r="7" spans="1:8" ht="20.100000000000001" customHeight="1" x14ac:dyDescent="0.25">
      <c r="A7" s="24"/>
      <c r="B7" s="77" t="s">
        <v>280</v>
      </c>
      <c r="C7" s="19"/>
      <c r="D7" s="19"/>
      <c r="E7" s="19"/>
      <c r="F7" s="19"/>
      <c r="G7" s="263"/>
      <c r="H7" s="263"/>
    </row>
    <row r="8" spans="1:8" ht="20.100000000000001" customHeight="1" x14ac:dyDescent="0.2">
      <c r="A8" s="24"/>
      <c r="B8" s="112" t="s">
        <v>281</v>
      </c>
      <c r="C8" s="127">
        <f>'1.a számú melléklet '!D25</f>
        <v>231216000</v>
      </c>
      <c r="D8" s="127">
        <f>'1.a számú melléklet '!G25</f>
        <v>252740697</v>
      </c>
      <c r="E8" s="127">
        <f>'1.a számú melléklet '!J25</f>
        <v>253044355</v>
      </c>
      <c r="F8" s="127"/>
      <c r="G8" s="266"/>
      <c r="H8" s="266"/>
    </row>
    <row r="9" spans="1:8" ht="20.100000000000001" customHeight="1" x14ac:dyDescent="0.2">
      <c r="A9" s="24"/>
      <c r="B9" s="104" t="s">
        <v>282</v>
      </c>
      <c r="C9" s="127">
        <f>'1.a számú melléklet '!D32</f>
        <v>48650467</v>
      </c>
      <c r="D9" s="127">
        <f>'1.a számú melléklet '!G32</f>
        <v>49337467</v>
      </c>
      <c r="E9" s="127">
        <f>'1.a számú melléklet '!J32</f>
        <v>49337467</v>
      </c>
      <c r="F9" s="127"/>
      <c r="G9" s="266"/>
      <c r="H9" s="266"/>
    </row>
    <row r="10" spans="1:8" ht="20.100000000000001" customHeight="1" x14ac:dyDescent="0.2">
      <c r="A10" s="24"/>
      <c r="B10" s="104" t="s">
        <v>283</v>
      </c>
      <c r="C10" s="127">
        <f>'1.a számú melléklet '!D48</f>
        <v>49708348</v>
      </c>
      <c r="D10" s="127">
        <f>'1.a számú melléklet '!G48</f>
        <v>64277576</v>
      </c>
      <c r="E10" s="127">
        <f>'1.a számú melléklet '!J48</f>
        <v>66550303</v>
      </c>
      <c r="F10" s="127"/>
      <c r="G10" s="266"/>
      <c r="H10" s="266"/>
    </row>
    <row r="11" spans="1:8" ht="20.100000000000001" customHeight="1" x14ac:dyDescent="0.2">
      <c r="A11" s="24"/>
      <c r="B11" s="104" t="s">
        <v>284</v>
      </c>
      <c r="C11" s="127">
        <f>'1.a számú melléklet '!D52</f>
        <v>2815800</v>
      </c>
      <c r="D11" s="127">
        <f>'1.a számú melléklet '!G52</f>
        <v>2974180</v>
      </c>
      <c r="E11" s="127">
        <f>'1.a számú melléklet '!J52</f>
        <v>3333169</v>
      </c>
      <c r="F11" s="127"/>
      <c r="G11" s="266"/>
      <c r="H11" s="266"/>
    </row>
    <row r="12" spans="1:8" ht="20.100000000000001" customHeight="1" x14ac:dyDescent="0.2">
      <c r="A12" s="24"/>
      <c r="B12" s="104" t="s">
        <v>406</v>
      </c>
      <c r="C12" s="127"/>
      <c r="D12" s="127"/>
      <c r="E12" s="127">
        <f>'1.a számú melléklet '!J57</f>
        <v>2624480</v>
      </c>
      <c r="F12" s="127"/>
      <c r="G12" s="266"/>
      <c r="H12" s="266"/>
    </row>
    <row r="13" spans="1:8" ht="20.100000000000001" customHeight="1" x14ac:dyDescent="0.2">
      <c r="A13" s="24"/>
      <c r="B13" s="104" t="s">
        <v>807</v>
      </c>
      <c r="C13" s="127"/>
      <c r="D13" s="127"/>
      <c r="E13" s="127">
        <f>'1.a számú melléklet '!J59</f>
        <v>1102420</v>
      </c>
      <c r="F13" s="127"/>
      <c r="G13" s="266"/>
      <c r="H13" s="266"/>
    </row>
    <row r="14" spans="1:8" ht="20.100000000000001" customHeight="1" x14ac:dyDescent="0.2">
      <c r="A14" s="24"/>
      <c r="B14" s="213" t="s">
        <v>228</v>
      </c>
      <c r="C14" s="267">
        <f>SUM(C8:C13)</f>
        <v>332390615</v>
      </c>
      <c r="D14" s="267">
        <f>SUM(D8:D13)</f>
        <v>369329920</v>
      </c>
      <c r="E14" s="267">
        <f>SUM(E8:E13)</f>
        <v>375992194</v>
      </c>
      <c r="F14" s="267">
        <f t="shared" ref="F14:H14" si="0">SUM(F8:F12)</f>
        <v>0</v>
      </c>
      <c r="G14" s="267">
        <f t="shared" ref="G14" si="1">SUM(G8:G12)</f>
        <v>0</v>
      </c>
      <c r="H14" s="267">
        <f t="shared" si="0"/>
        <v>0</v>
      </c>
    </row>
    <row r="15" spans="1:8" ht="20.100000000000001" customHeight="1" x14ac:dyDescent="0.2">
      <c r="A15" s="24"/>
      <c r="B15" s="213" t="s">
        <v>633</v>
      </c>
      <c r="C15" s="267"/>
      <c r="D15" s="267"/>
      <c r="E15" s="267">
        <v>10627629</v>
      </c>
      <c r="F15" s="267"/>
      <c r="G15" s="267"/>
      <c r="H15" s="267"/>
    </row>
    <row r="16" spans="1:8" ht="20.100000000000001" customHeight="1" x14ac:dyDescent="0.2">
      <c r="A16" s="102"/>
      <c r="B16" s="101" t="s">
        <v>808</v>
      </c>
      <c r="C16" s="127"/>
      <c r="D16" s="127"/>
      <c r="E16" s="127"/>
      <c r="F16" s="127"/>
      <c r="G16" s="266"/>
      <c r="H16" s="266"/>
    </row>
    <row r="17" spans="1:8" ht="20.100000000000001" customHeight="1" x14ac:dyDescent="0.2">
      <c r="A17" s="24"/>
      <c r="B17" s="106" t="s">
        <v>634</v>
      </c>
      <c r="C17" s="127">
        <v>12898179</v>
      </c>
      <c r="D17" s="127">
        <v>10326772</v>
      </c>
      <c r="E17" s="127">
        <v>9233588</v>
      </c>
      <c r="F17" s="127"/>
      <c r="G17" s="266"/>
      <c r="H17" s="266"/>
    </row>
    <row r="18" spans="1:8" ht="20.100000000000001" customHeight="1" x14ac:dyDescent="0.2">
      <c r="A18" s="24"/>
      <c r="B18" s="106" t="s">
        <v>635</v>
      </c>
      <c r="C18" s="127">
        <v>4671600</v>
      </c>
      <c r="D18" s="127">
        <v>5521200</v>
      </c>
      <c r="E18" s="127">
        <v>5521200</v>
      </c>
      <c r="F18" s="127"/>
      <c r="G18" s="266"/>
      <c r="H18" s="266"/>
    </row>
    <row r="19" spans="1:8" ht="20.100000000000001" customHeight="1" x14ac:dyDescent="0.2">
      <c r="A19" s="24"/>
      <c r="B19" s="104" t="s">
        <v>636</v>
      </c>
      <c r="C19" s="127">
        <v>210000</v>
      </c>
      <c r="D19" s="127">
        <v>70000</v>
      </c>
      <c r="E19" s="127">
        <v>70000</v>
      </c>
      <c r="F19" s="127"/>
      <c r="G19" s="266"/>
      <c r="H19" s="266"/>
    </row>
    <row r="20" spans="1:8" ht="20.100000000000001" customHeight="1" x14ac:dyDescent="0.2">
      <c r="A20" s="24"/>
      <c r="B20" s="104" t="s">
        <v>637</v>
      </c>
      <c r="C20" s="127">
        <v>70000</v>
      </c>
      <c r="D20" s="127"/>
      <c r="E20" s="127"/>
      <c r="F20" s="127"/>
      <c r="G20" s="266"/>
      <c r="H20" s="266"/>
    </row>
    <row r="21" spans="1:8" ht="20.100000000000001" customHeight="1" x14ac:dyDescent="0.2">
      <c r="A21" s="24"/>
      <c r="B21" s="104" t="s">
        <v>748</v>
      </c>
      <c r="C21" s="127"/>
      <c r="D21" s="127">
        <v>2416860</v>
      </c>
      <c r="E21" s="127">
        <v>2416860</v>
      </c>
      <c r="F21" s="127"/>
      <c r="G21" s="266"/>
      <c r="H21" s="266"/>
    </row>
    <row r="22" spans="1:8" ht="20.100000000000001" customHeight="1" x14ac:dyDescent="0.2">
      <c r="A22" s="24"/>
      <c r="B22" s="104" t="s">
        <v>749</v>
      </c>
      <c r="C22" s="127"/>
      <c r="D22" s="127">
        <v>39864247</v>
      </c>
      <c r="E22" s="127">
        <v>39864247</v>
      </c>
      <c r="F22" s="127"/>
      <c r="G22" s="266"/>
      <c r="H22" s="266"/>
    </row>
    <row r="23" spans="1:8" ht="20.100000000000001" customHeight="1" x14ac:dyDescent="0.2">
      <c r="A23" s="24"/>
      <c r="B23" s="104" t="s">
        <v>750</v>
      </c>
      <c r="C23" s="127"/>
      <c r="D23" s="127">
        <v>671146</v>
      </c>
      <c r="E23" s="127">
        <v>671146</v>
      </c>
      <c r="F23" s="127"/>
      <c r="G23" s="266"/>
      <c r="H23" s="266"/>
    </row>
    <row r="24" spans="1:8" ht="20.100000000000001" customHeight="1" x14ac:dyDescent="0.2">
      <c r="A24" s="24"/>
      <c r="B24" s="104" t="s">
        <v>751</v>
      </c>
      <c r="C24" s="127"/>
      <c r="D24" s="127">
        <v>3842000</v>
      </c>
      <c r="E24" s="127">
        <v>3842000</v>
      </c>
      <c r="F24" s="127"/>
      <c r="G24" s="266"/>
      <c r="H24" s="266"/>
    </row>
    <row r="25" spans="1:8" ht="16.5" customHeight="1" x14ac:dyDescent="0.2">
      <c r="A25" s="24"/>
      <c r="B25" s="104" t="s">
        <v>809</v>
      </c>
      <c r="C25" s="268"/>
      <c r="D25" s="268"/>
      <c r="E25" s="268">
        <v>223740</v>
      </c>
      <c r="F25" s="268"/>
      <c r="G25" s="266"/>
      <c r="H25" s="266"/>
    </row>
    <row r="26" spans="1:8" ht="16.5" customHeight="1" x14ac:dyDescent="0.2">
      <c r="A26" s="24"/>
      <c r="B26" s="104" t="s">
        <v>813</v>
      </c>
      <c r="C26" s="268"/>
      <c r="D26" s="268"/>
      <c r="E26" s="268">
        <v>6270</v>
      </c>
      <c r="F26" s="268"/>
      <c r="G26" s="266"/>
      <c r="H26" s="266"/>
    </row>
    <row r="27" spans="1:8" ht="20.100000000000001" customHeight="1" x14ac:dyDescent="0.2">
      <c r="A27" s="24"/>
      <c r="B27" s="214" t="s">
        <v>240</v>
      </c>
      <c r="C27" s="267">
        <f>SUM(C17:C26)</f>
        <v>17849779</v>
      </c>
      <c r="D27" s="267">
        <f>SUM(D17:D26)</f>
        <v>62712225</v>
      </c>
      <c r="E27" s="267">
        <f>SUM(E17:E26)</f>
        <v>61849051</v>
      </c>
      <c r="F27" s="267">
        <f>SUM(F17:F25)</f>
        <v>0</v>
      </c>
      <c r="G27" s="267">
        <f>SUM(G17:G25)</f>
        <v>0</v>
      </c>
      <c r="H27" s="267">
        <f>SUM(H17:H25)</f>
        <v>0</v>
      </c>
    </row>
    <row r="28" spans="1:8" ht="20.100000000000001" customHeight="1" x14ac:dyDescent="0.25">
      <c r="A28" s="24"/>
      <c r="B28" s="215" t="s">
        <v>766</v>
      </c>
      <c r="C28" s="269">
        <f>C14+C27</f>
        <v>350240394</v>
      </c>
      <c r="D28" s="269">
        <f>D14+D27</f>
        <v>432042145</v>
      </c>
      <c r="E28" s="269">
        <f>E14+E27+E15</f>
        <v>448468874</v>
      </c>
      <c r="F28" s="269">
        <f>F14+F27</f>
        <v>0</v>
      </c>
      <c r="G28" s="269">
        <f>G14+G27</f>
        <v>0</v>
      </c>
      <c r="H28" s="269">
        <f>H14+H27</f>
        <v>0</v>
      </c>
    </row>
    <row r="29" spans="1:8" ht="20.100000000000001" customHeight="1" x14ac:dyDescent="0.25">
      <c r="A29" s="24" t="s">
        <v>4</v>
      </c>
      <c r="B29" s="53" t="s">
        <v>767</v>
      </c>
      <c r="C29" s="446"/>
      <c r="D29" s="446"/>
      <c r="E29" s="446"/>
      <c r="F29" s="446"/>
      <c r="G29" s="446"/>
      <c r="H29" s="446"/>
    </row>
    <row r="30" spans="1:8" ht="20.100000000000001" customHeight="1" x14ac:dyDescent="0.2">
      <c r="A30" s="24"/>
      <c r="B30" s="103" t="s">
        <v>768</v>
      </c>
      <c r="C30" s="447"/>
      <c r="D30" s="447"/>
      <c r="E30" s="447"/>
      <c r="F30" s="447"/>
      <c r="G30" s="447"/>
      <c r="H30" s="447"/>
    </row>
    <row r="31" spans="1:8" ht="20.100000000000001" customHeight="1" x14ac:dyDescent="0.2">
      <c r="A31" s="24"/>
      <c r="B31" s="103" t="s">
        <v>810</v>
      </c>
      <c r="C31" s="447"/>
      <c r="D31" s="447">
        <v>14258924</v>
      </c>
      <c r="E31" s="447">
        <f>'1.a számú melléklet '!J62</f>
        <v>14258924</v>
      </c>
      <c r="F31" s="447"/>
      <c r="G31" s="447"/>
      <c r="H31" s="447"/>
    </row>
    <row r="32" spans="1:8" ht="20.100000000000001" customHeight="1" x14ac:dyDescent="0.2">
      <c r="A32" s="24"/>
      <c r="B32" s="103" t="s">
        <v>811</v>
      </c>
      <c r="C32" s="447"/>
      <c r="D32" s="447"/>
      <c r="E32" s="447">
        <f>'1.a számú melléklet '!J63</f>
        <v>539315</v>
      </c>
      <c r="F32" s="447"/>
      <c r="G32" s="447"/>
      <c r="H32" s="447"/>
    </row>
    <row r="33" spans="1:8" ht="20.100000000000001" customHeight="1" x14ac:dyDescent="0.25">
      <c r="A33" s="24"/>
      <c r="B33" s="194" t="s">
        <v>769</v>
      </c>
      <c r="C33" s="271">
        <f>SUM(C31:C32)</f>
        <v>0</v>
      </c>
      <c r="D33" s="271">
        <f>SUM(D31:D32)</f>
        <v>14258924</v>
      </c>
      <c r="E33" s="271">
        <f>SUM(E31:E32)</f>
        <v>14798239</v>
      </c>
      <c r="F33" s="271"/>
      <c r="G33" s="271"/>
      <c r="H33" s="271"/>
    </row>
    <row r="34" spans="1:8" ht="20.100000000000001" customHeight="1" x14ac:dyDescent="0.2">
      <c r="A34" s="24"/>
      <c r="B34" s="103" t="s">
        <v>771</v>
      </c>
      <c r="C34" s="128"/>
      <c r="D34" s="128"/>
      <c r="E34" s="128"/>
      <c r="F34" s="128"/>
      <c r="G34" s="266"/>
      <c r="H34" s="266"/>
    </row>
    <row r="35" spans="1:8" ht="20.100000000000001" customHeight="1" x14ac:dyDescent="0.2">
      <c r="A35" s="24"/>
      <c r="B35" s="104" t="s">
        <v>814</v>
      </c>
      <c r="C35" s="272"/>
      <c r="D35" s="272">
        <v>88550534</v>
      </c>
      <c r="E35" s="272">
        <v>88550534</v>
      </c>
      <c r="F35" s="272">
        <v>7032606</v>
      </c>
      <c r="G35" s="427"/>
      <c r="H35" s="427"/>
    </row>
    <row r="36" spans="1:8" ht="20.100000000000001" customHeight="1" x14ac:dyDescent="0.2">
      <c r="A36" s="24"/>
      <c r="B36" s="104" t="s">
        <v>815</v>
      </c>
      <c r="C36" s="272"/>
      <c r="D36" s="272">
        <v>193464555</v>
      </c>
      <c r="E36" s="272">
        <v>193464555</v>
      </c>
      <c r="F36" s="272"/>
      <c r="G36" s="427"/>
      <c r="H36" s="427"/>
    </row>
    <row r="37" spans="1:8" ht="20.100000000000001" customHeight="1" x14ac:dyDescent="0.2">
      <c r="A37" s="24"/>
      <c r="B37" s="104" t="s">
        <v>816</v>
      </c>
      <c r="C37" s="272"/>
      <c r="D37" s="272">
        <v>26389771</v>
      </c>
      <c r="E37" s="272">
        <v>26389771</v>
      </c>
      <c r="F37" s="272"/>
      <c r="G37" s="427"/>
      <c r="H37" s="427"/>
    </row>
    <row r="38" spans="1:8" ht="20.100000000000001" customHeight="1" x14ac:dyDescent="0.2">
      <c r="A38" s="24"/>
      <c r="B38" s="104" t="s">
        <v>817</v>
      </c>
      <c r="C38" s="272"/>
      <c r="D38" s="272">
        <v>246981400</v>
      </c>
      <c r="E38" s="272">
        <v>246981400</v>
      </c>
      <c r="F38" s="272">
        <v>380894100</v>
      </c>
      <c r="G38" s="427"/>
      <c r="H38" s="427"/>
    </row>
    <row r="39" spans="1:8" ht="20.100000000000001" customHeight="1" x14ac:dyDescent="0.25">
      <c r="A39" s="24"/>
      <c r="B39" s="194" t="s">
        <v>812</v>
      </c>
      <c r="C39" s="271">
        <f>SUM(C34:C38)</f>
        <v>0</v>
      </c>
      <c r="D39" s="271">
        <f>SUM(D35:D38)</f>
        <v>555386260</v>
      </c>
      <c r="E39" s="271">
        <f>SUM(E35:E38)</f>
        <v>555386260</v>
      </c>
      <c r="F39" s="271">
        <f>SUM(F34:F38)</f>
        <v>387926706</v>
      </c>
      <c r="G39" s="271">
        <f>SUM(G34:G38)</f>
        <v>0</v>
      </c>
      <c r="H39" s="271">
        <f>SUM(H34:H38)</f>
        <v>0</v>
      </c>
    </row>
    <row r="40" spans="1:8" ht="20.100000000000001" customHeight="1" x14ac:dyDescent="0.25">
      <c r="A40" s="24"/>
      <c r="B40" s="215" t="s">
        <v>770</v>
      </c>
      <c r="C40" s="269">
        <f t="shared" ref="C40:H40" si="2">C33+C39</f>
        <v>0</v>
      </c>
      <c r="D40" s="269">
        <f t="shared" si="2"/>
        <v>569645184</v>
      </c>
      <c r="E40" s="269">
        <f t="shared" si="2"/>
        <v>570184499</v>
      </c>
      <c r="F40" s="269">
        <f t="shared" si="2"/>
        <v>387926706</v>
      </c>
      <c r="G40" s="269">
        <f t="shared" si="2"/>
        <v>0</v>
      </c>
      <c r="H40" s="269">
        <f t="shared" si="2"/>
        <v>0</v>
      </c>
    </row>
    <row r="41" spans="1:8" ht="20.100000000000001" customHeight="1" x14ac:dyDescent="0.25">
      <c r="A41" s="24" t="s">
        <v>5</v>
      </c>
      <c r="B41" s="53" t="s">
        <v>230</v>
      </c>
      <c r="C41" s="128"/>
      <c r="D41" s="128"/>
      <c r="E41" s="128"/>
      <c r="F41" s="128"/>
      <c r="G41" s="266"/>
      <c r="H41" s="266"/>
    </row>
    <row r="42" spans="1:8" ht="20.100000000000001" customHeight="1" x14ac:dyDescent="0.2">
      <c r="A42" s="24"/>
      <c r="B42" s="103" t="s">
        <v>818</v>
      </c>
      <c r="C42" s="127">
        <v>44000000</v>
      </c>
      <c r="D42" s="127">
        <v>48000000</v>
      </c>
      <c r="E42" s="127">
        <v>48000000</v>
      </c>
      <c r="F42" s="127">
        <v>48000000</v>
      </c>
      <c r="G42" s="127">
        <v>48000000</v>
      </c>
      <c r="H42" s="127">
        <v>48000000</v>
      </c>
    </row>
    <row r="43" spans="1:8" ht="20.100000000000001" customHeight="1" x14ac:dyDescent="0.2">
      <c r="A43" s="24"/>
      <c r="B43" s="103" t="s">
        <v>819</v>
      </c>
      <c r="C43" s="127">
        <v>11500000</v>
      </c>
      <c r="D43" s="127">
        <v>6000000</v>
      </c>
      <c r="E43" s="127">
        <v>6000000</v>
      </c>
      <c r="F43" s="127">
        <v>6000000</v>
      </c>
      <c r="G43" s="127">
        <v>6000000</v>
      </c>
      <c r="H43" s="127">
        <v>6000000</v>
      </c>
    </row>
    <row r="44" spans="1:8" ht="20.100000000000001" customHeight="1" x14ac:dyDescent="0.2">
      <c r="A44" s="24"/>
      <c r="B44" s="106" t="s">
        <v>820</v>
      </c>
      <c r="C44" s="127">
        <v>200000000</v>
      </c>
      <c r="D44" s="127">
        <v>240000000</v>
      </c>
      <c r="E44" s="127">
        <v>240000000</v>
      </c>
      <c r="F44" s="127">
        <v>240000000</v>
      </c>
      <c r="G44" s="127">
        <v>240000000</v>
      </c>
      <c r="H44" s="127">
        <v>240000000</v>
      </c>
    </row>
    <row r="45" spans="1:8" ht="20.100000000000001" customHeight="1" x14ac:dyDescent="0.2">
      <c r="A45" s="24"/>
      <c r="B45" s="103" t="s">
        <v>821</v>
      </c>
      <c r="C45" s="127">
        <v>145000000</v>
      </c>
      <c r="D45" s="127">
        <v>170000000</v>
      </c>
      <c r="E45" s="127">
        <v>170000000</v>
      </c>
      <c r="F45" s="127">
        <v>170000000</v>
      </c>
      <c r="G45" s="127">
        <v>170000000</v>
      </c>
      <c r="H45" s="127">
        <v>170000000</v>
      </c>
    </row>
    <row r="46" spans="1:8" ht="20.100000000000001" customHeight="1" x14ac:dyDescent="0.2">
      <c r="A46" s="24"/>
      <c r="B46" s="103" t="s">
        <v>822</v>
      </c>
      <c r="C46" s="270">
        <v>9000000</v>
      </c>
      <c r="D46" s="270">
        <v>9000000</v>
      </c>
      <c r="E46" s="270">
        <v>9000000</v>
      </c>
      <c r="F46" s="270">
        <v>9000000</v>
      </c>
      <c r="G46" s="270">
        <v>9000000</v>
      </c>
      <c r="H46" s="270">
        <v>9000000</v>
      </c>
    </row>
    <row r="47" spans="1:8" ht="20.100000000000001" customHeight="1" x14ac:dyDescent="0.2">
      <c r="A47" s="24"/>
      <c r="B47" s="103" t="s">
        <v>823</v>
      </c>
      <c r="C47" s="270">
        <v>500000</v>
      </c>
      <c r="D47" s="270">
        <v>500000</v>
      </c>
      <c r="E47" s="270">
        <v>500000</v>
      </c>
      <c r="F47" s="270">
        <v>500000</v>
      </c>
      <c r="G47" s="270">
        <v>500000</v>
      </c>
      <c r="H47" s="270">
        <v>500000</v>
      </c>
    </row>
    <row r="48" spans="1:8" ht="20.100000000000001" customHeight="1" x14ac:dyDescent="0.25">
      <c r="A48" s="24"/>
      <c r="B48" s="194" t="s">
        <v>99</v>
      </c>
      <c r="C48" s="271">
        <f t="shared" ref="C48:H48" si="3">SUM(C42:C47)</f>
        <v>410000000</v>
      </c>
      <c r="D48" s="271">
        <f t="shared" si="3"/>
        <v>473500000</v>
      </c>
      <c r="E48" s="271">
        <f t="shared" si="3"/>
        <v>473500000</v>
      </c>
      <c r="F48" s="271">
        <f t="shared" si="3"/>
        <v>473500000</v>
      </c>
      <c r="G48" s="271">
        <f t="shared" si="3"/>
        <v>473500000</v>
      </c>
      <c r="H48" s="271">
        <f t="shared" si="3"/>
        <v>473500000</v>
      </c>
    </row>
    <row r="49" spans="1:8" ht="20.100000000000001" customHeight="1" x14ac:dyDescent="0.25">
      <c r="A49" s="24" t="s">
        <v>6</v>
      </c>
      <c r="B49" s="194" t="s">
        <v>231</v>
      </c>
      <c r="C49" s="271">
        <v>74320128</v>
      </c>
      <c r="D49" s="271">
        <v>80313766</v>
      </c>
      <c r="E49" s="271">
        <v>80313766</v>
      </c>
      <c r="F49" s="271">
        <v>38325400</v>
      </c>
      <c r="G49" s="271">
        <v>38325400</v>
      </c>
      <c r="H49" s="271">
        <v>38325400</v>
      </c>
    </row>
    <row r="50" spans="1:8" ht="20.100000000000001" customHeight="1" x14ac:dyDescent="0.25">
      <c r="A50" s="24" t="s">
        <v>7</v>
      </c>
      <c r="B50" s="53" t="s">
        <v>232</v>
      </c>
      <c r="C50" s="128"/>
      <c r="D50" s="128"/>
      <c r="E50" s="128"/>
      <c r="F50" s="128"/>
      <c r="G50" s="266"/>
      <c r="H50" s="266"/>
    </row>
    <row r="51" spans="1:8" ht="20.100000000000001" customHeight="1" x14ac:dyDescent="0.2">
      <c r="A51" s="24"/>
      <c r="B51" s="139" t="s">
        <v>824</v>
      </c>
      <c r="C51" s="272">
        <v>5000000</v>
      </c>
      <c r="D51" s="272"/>
      <c r="E51" s="272">
        <v>2200000</v>
      </c>
      <c r="F51" s="272"/>
      <c r="G51" s="266"/>
      <c r="H51" s="266"/>
    </row>
    <row r="52" spans="1:8" ht="20.100000000000001" customHeight="1" x14ac:dyDescent="0.25">
      <c r="A52" s="24"/>
      <c r="B52" s="216" t="s">
        <v>289</v>
      </c>
      <c r="C52" s="271">
        <f t="shared" ref="C52:H52" si="4">SUM(C51:C51)</f>
        <v>5000000</v>
      </c>
      <c r="D52" s="271">
        <f t="shared" si="4"/>
        <v>0</v>
      </c>
      <c r="E52" s="271">
        <f t="shared" si="4"/>
        <v>2200000</v>
      </c>
      <c r="F52" s="271">
        <f t="shared" si="4"/>
        <v>0</v>
      </c>
      <c r="G52" s="271">
        <f t="shared" si="4"/>
        <v>0</v>
      </c>
      <c r="H52" s="271">
        <f t="shared" si="4"/>
        <v>0</v>
      </c>
    </row>
    <row r="53" spans="1:8" ht="20.100000000000001" customHeight="1" x14ac:dyDescent="0.25">
      <c r="A53" s="24" t="s">
        <v>233</v>
      </c>
      <c r="B53" s="53" t="s">
        <v>234</v>
      </c>
      <c r="C53" s="128"/>
      <c r="D53" s="128"/>
      <c r="E53" s="128"/>
      <c r="F53" s="128"/>
      <c r="G53" s="266"/>
      <c r="H53" s="266"/>
    </row>
    <row r="54" spans="1:8" ht="20.100000000000001" customHeight="1" x14ac:dyDescent="0.2">
      <c r="A54" s="18"/>
      <c r="B54" s="104" t="s">
        <v>825</v>
      </c>
      <c r="C54" s="272">
        <v>570000</v>
      </c>
      <c r="D54" s="272">
        <v>370000</v>
      </c>
      <c r="E54" s="272">
        <v>370000</v>
      </c>
      <c r="F54" s="272"/>
      <c r="G54" s="266"/>
      <c r="H54" s="266"/>
    </row>
    <row r="55" spans="1:8" ht="20.100000000000001" customHeight="1" x14ac:dyDescent="0.25">
      <c r="A55" s="24"/>
      <c r="B55" s="194" t="s">
        <v>235</v>
      </c>
      <c r="C55" s="271">
        <f t="shared" ref="C55:H55" si="5">SUM(C54:C54)</f>
        <v>570000</v>
      </c>
      <c r="D55" s="271">
        <f t="shared" si="5"/>
        <v>370000</v>
      </c>
      <c r="E55" s="271">
        <f t="shared" si="5"/>
        <v>370000</v>
      </c>
      <c r="F55" s="271">
        <f t="shared" si="5"/>
        <v>0</v>
      </c>
      <c r="G55" s="271">
        <f t="shared" si="5"/>
        <v>0</v>
      </c>
      <c r="H55" s="271">
        <f t="shared" si="5"/>
        <v>0</v>
      </c>
    </row>
    <row r="56" spans="1:8" ht="20.100000000000001" customHeight="1" x14ac:dyDescent="0.25">
      <c r="A56" s="93" t="s">
        <v>17</v>
      </c>
      <c r="B56" s="107" t="s">
        <v>236</v>
      </c>
      <c r="C56" s="272"/>
      <c r="D56" s="272"/>
      <c r="E56" s="272"/>
      <c r="F56" s="272"/>
      <c r="G56" s="266"/>
      <c r="H56" s="266"/>
    </row>
    <row r="57" spans="1:8" ht="20.100000000000001" customHeight="1" x14ac:dyDescent="0.2">
      <c r="A57" s="18"/>
      <c r="B57" s="103" t="s">
        <v>826</v>
      </c>
      <c r="C57" s="272">
        <v>880000</v>
      </c>
      <c r="D57" s="272">
        <v>705000</v>
      </c>
      <c r="E57" s="272">
        <v>705000</v>
      </c>
      <c r="F57" s="272">
        <v>705000</v>
      </c>
      <c r="G57" s="266"/>
      <c r="H57" s="266"/>
    </row>
    <row r="58" spans="1:8" ht="20.100000000000001" customHeight="1" x14ac:dyDescent="0.2">
      <c r="A58" s="18"/>
      <c r="B58" s="103" t="s">
        <v>827</v>
      </c>
      <c r="C58" s="272">
        <v>509844</v>
      </c>
      <c r="D58" s="272">
        <v>408000</v>
      </c>
      <c r="E58" s="272">
        <v>408000</v>
      </c>
      <c r="F58" s="272">
        <v>500000</v>
      </c>
      <c r="G58" s="266"/>
      <c r="H58" s="266"/>
    </row>
    <row r="59" spans="1:8" ht="20.100000000000001" customHeight="1" x14ac:dyDescent="0.25">
      <c r="A59" s="20"/>
      <c r="B59" s="217" t="s">
        <v>237</v>
      </c>
      <c r="C59" s="271">
        <f t="shared" ref="C59:H59" si="6">SUM(C57:C58)</f>
        <v>1389844</v>
      </c>
      <c r="D59" s="271">
        <f t="shared" si="6"/>
        <v>1113000</v>
      </c>
      <c r="E59" s="271">
        <f t="shared" si="6"/>
        <v>1113000</v>
      </c>
      <c r="F59" s="271">
        <f t="shared" si="6"/>
        <v>1205000</v>
      </c>
      <c r="G59" s="271">
        <f t="shared" si="6"/>
        <v>0</v>
      </c>
      <c r="H59" s="271">
        <f t="shared" si="6"/>
        <v>0</v>
      </c>
    </row>
    <row r="60" spans="1:8" ht="20.100000000000001" customHeight="1" x14ac:dyDescent="0.25">
      <c r="A60" s="22"/>
      <c r="B60" s="215" t="s">
        <v>160</v>
      </c>
      <c r="C60" s="269">
        <f t="shared" ref="C60:H60" si="7">C28+C40+C48+C49+C52+C55+C59</f>
        <v>841520366</v>
      </c>
      <c r="D60" s="269">
        <f t="shared" si="7"/>
        <v>1556984095</v>
      </c>
      <c r="E60" s="269">
        <f t="shared" si="7"/>
        <v>1576150139</v>
      </c>
      <c r="F60" s="269">
        <f t="shared" si="7"/>
        <v>900957106</v>
      </c>
      <c r="G60" s="269">
        <f t="shared" si="7"/>
        <v>511825400</v>
      </c>
      <c r="H60" s="269">
        <f t="shared" si="7"/>
        <v>511825400</v>
      </c>
    </row>
    <row r="61" spans="1:8" ht="20.100000000000001" customHeight="1" x14ac:dyDescent="0.25">
      <c r="A61" s="22" t="s">
        <v>121</v>
      </c>
      <c r="B61" s="194" t="s">
        <v>238</v>
      </c>
      <c r="C61" s="271"/>
      <c r="D61" s="271"/>
      <c r="E61" s="271"/>
      <c r="F61" s="271"/>
      <c r="G61" s="271"/>
      <c r="H61" s="271"/>
    </row>
    <row r="62" spans="1:8" ht="20.100000000000001" customHeight="1" x14ac:dyDescent="0.25">
      <c r="A62" s="22"/>
      <c r="B62" s="194" t="s">
        <v>359</v>
      </c>
      <c r="C62" s="271">
        <v>51522907</v>
      </c>
      <c r="D62" s="271">
        <v>55813230</v>
      </c>
      <c r="E62" s="271">
        <v>54149937</v>
      </c>
      <c r="F62" s="271"/>
      <c r="G62" s="271"/>
      <c r="H62" s="271"/>
    </row>
    <row r="63" spans="1:8" ht="20.100000000000001" customHeight="1" x14ac:dyDescent="0.25">
      <c r="A63" s="22"/>
      <c r="B63" s="194" t="s">
        <v>396</v>
      </c>
      <c r="C63" s="271"/>
      <c r="D63" s="271"/>
      <c r="E63" s="271"/>
      <c r="F63" s="271"/>
      <c r="G63" s="271"/>
      <c r="H63" s="271"/>
    </row>
    <row r="64" spans="1:8" ht="20.100000000000001" customHeight="1" x14ac:dyDescent="0.25">
      <c r="A64" s="22"/>
      <c r="B64" s="194" t="s">
        <v>638</v>
      </c>
      <c r="C64" s="271">
        <v>180000000</v>
      </c>
      <c r="D64" s="271">
        <v>340000000</v>
      </c>
      <c r="E64" s="271">
        <v>340000000</v>
      </c>
      <c r="F64" s="271"/>
      <c r="G64" s="271"/>
      <c r="H64" s="271"/>
    </row>
    <row r="65" spans="1:8" ht="20.100000000000001" customHeight="1" x14ac:dyDescent="0.25">
      <c r="A65" s="22"/>
      <c r="B65" s="194" t="s">
        <v>374</v>
      </c>
      <c r="C65" s="271"/>
      <c r="D65" s="271"/>
      <c r="E65" s="271"/>
      <c r="F65" s="271"/>
      <c r="G65" s="271"/>
      <c r="H65" s="271"/>
    </row>
    <row r="66" spans="1:8" ht="20.100000000000001" customHeight="1" x14ac:dyDescent="0.25">
      <c r="A66" s="595" t="s">
        <v>84</v>
      </c>
      <c r="B66" s="596"/>
      <c r="C66" s="269">
        <f t="shared" ref="C66:H66" si="8">C60+C61+C62+C63+C64+C65</f>
        <v>1073043273</v>
      </c>
      <c r="D66" s="269">
        <f t="shared" si="8"/>
        <v>1952797325</v>
      </c>
      <c r="E66" s="269">
        <f t="shared" si="8"/>
        <v>1970300076</v>
      </c>
      <c r="F66" s="269">
        <f t="shared" si="8"/>
        <v>900957106</v>
      </c>
      <c r="G66" s="269">
        <f t="shared" si="8"/>
        <v>511825400</v>
      </c>
      <c r="H66" s="269">
        <f t="shared" si="8"/>
        <v>511825400</v>
      </c>
    </row>
    <row r="67" spans="1:8" ht="20.100000000000001" customHeight="1" x14ac:dyDescent="0.25">
      <c r="A67" s="22" t="s">
        <v>90</v>
      </c>
      <c r="B67" s="57" t="s">
        <v>97</v>
      </c>
      <c r="C67" s="56"/>
      <c r="D67" s="56"/>
      <c r="E67" s="56"/>
      <c r="F67" s="56"/>
      <c r="G67" s="56"/>
      <c r="H67" s="56"/>
    </row>
    <row r="68" spans="1:8" ht="20.100000000000001" customHeight="1" x14ac:dyDescent="0.25">
      <c r="A68" s="22" t="s">
        <v>37</v>
      </c>
      <c r="B68" s="53" t="s">
        <v>260</v>
      </c>
      <c r="C68" s="128"/>
      <c r="D68" s="128"/>
      <c r="E68" s="128"/>
      <c r="F68" s="128"/>
      <c r="G68" s="128"/>
      <c r="H68" s="128"/>
    </row>
    <row r="69" spans="1:8" ht="20.100000000000001" customHeight="1" x14ac:dyDescent="0.25">
      <c r="A69" s="22"/>
      <c r="B69" s="103" t="s">
        <v>828</v>
      </c>
      <c r="C69" s="127"/>
      <c r="D69" s="127">
        <v>12255000</v>
      </c>
      <c r="E69" s="127">
        <v>12255000</v>
      </c>
      <c r="F69" s="127"/>
      <c r="G69" s="127"/>
      <c r="H69" s="127"/>
    </row>
    <row r="70" spans="1:8" ht="20.100000000000001" customHeight="1" x14ac:dyDescent="0.25">
      <c r="A70" s="22"/>
      <c r="B70" s="103" t="s">
        <v>829</v>
      </c>
      <c r="C70" s="127"/>
      <c r="D70" s="127"/>
      <c r="E70" s="127">
        <v>1462088</v>
      </c>
      <c r="F70" s="127"/>
      <c r="G70" s="127"/>
      <c r="H70" s="127"/>
    </row>
    <row r="71" spans="1:8" ht="20.100000000000001" customHeight="1" x14ac:dyDescent="0.25">
      <c r="A71" s="22"/>
      <c r="B71" s="194" t="s">
        <v>229</v>
      </c>
      <c r="C71" s="271">
        <f t="shared" ref="C71:H71" si="9">SUM(C69:C70)</f>
        <v>0</v>
      </c>
      <c r="D71" s="271">
        <f t="shared" si="9"/>
        <v>12255000</v>
      </c>
      <c r="E71" s="271">
        <f t="shared" si="9"/>
        <v>13717088</v>
      </c>
      <c r="F71" s="271">
        <f t="shared" si="9"/>
        <v>0</v>
      </c>
      <c r="G71" s="271">
        <f t="shared" si="9"/>
        <v>0</v>
      </c>
      <c r="H71" s="271">
        <f t="shared" si="9"/>
        <v>0</v>
      </c>
    </row>
    <row r="72" spans="1:8" ht="20.100000000000001" customHeight="1" x14ac:dyDescent="0.25">
      <c r="A72" s="22" t="s">
        <v>287</v>
      </c>
      <c r="B72" s="194" t="s">
        <v>231</v>
      </c>
      <c r="C72" s="271">
        <v>750000</v>
      </c>
      <c r="D72" s="271">
        <v>2100000</v>
      </c>
      <c r="E72" s="271">
        <v>2100000</v>
      </c>
      <c r="F72" s="271">
        <v>750000</v>
      </c>
      <c r="G72" s="271">
        <v>750000</v>
      </c>
      <c r="H72" s="271">
        <v>750000</v>
      </c>
    </row>
    <row r="73" spans="1:8" ht="20.100000000000001" customHeight="1" x14ac:dyDescent="0.25">
      <c r="A73" s="22" t="s">
        <v>830</v>
      </c>
      <c r="B73" s="194" t="s">
        <v>359</v>
      </c>
      <c r="C73" s="271"/>
      <c r="D73" s="271"/>
      <c r="E73" s="271">
        <v>5918207</v>
      </c>
      <c r="F73" s="271"/>
      <c r="G73" s="271"/>
      <c r="H73" s="271"/>
    </row>
    <row r="74" spans="1:8" ht="20.100000000000001" customHeight="1" x14ac:dyDescent="0.25">
      <c r="A74" s="595" t="s">
        <v>119</v>
      </c>
      <c r="B74" s="596"/>
      <c r="C74" s="269">
        <f t="shared" ref="C74:H74" si="10">C71+C72+C73</f>
        <v>750000</v>
      </c>
      <c r="D74" s="269">
        <f t="shared" si="10"/>
        <v>14355000</v>
      </c>
      <c r="E74" s="269">
        <f t="shared" si="10"/>
        <v>21735295</v>
      </c>
      <c r="F74" s="269">
        <f t="shared" si="10"/>
        <v>750000</v>
      </c>
      <c r="G74" s="269">
        <f t="shared" si="10"/>
        <v>750000</v>
      </c>
      <c r="H74" s="269">
        <f t="shared" si="10"/>
        <v>750000</v>
      </c>
    </row>
    <row r="75" spans="1:8" ht="20.100000000000001" customHeight="1" x14ac:dyDescent="0.25">
      <c r="A75" s="22" t="s">
        <v>91</v>
      </c>
      <c r="B75" s="57" t="s">
        <v>376</v>
      </c>
      <c r="C75" s="56"/>
      <c r="D75" s="56"/>
      <c r="E75" s="56"/>
      <c r="F75" s="56"/>
      <c r="G75" s="56"/>
      <c r="H75" s="56"/>
    </row>
    <row r="76" spans="1:8" ht="20.100000000000001" customHeight="1" x14ac:dyDescent="0.25">
      <c r="A76" s="22" t="s">
        <v>37</v>
      </c>
      <c r="B76" s="194" t="s">
        <v>231</v>
      </c>
      <c r="C76" s="271">
        <v>49301727</v>
      </c>
      <c r="D76" s="271">
        <v>48681727</v>
      </c>
      <c r="E76" s="271">
        <v>48681727</v>
      </c>
      <c r="F76" s="271">
        <v>48682000</v>
      </c>
      <c r="G76" s="271">
        <v>48682000</v>
      </c>
      <c r="H76" s="271">
        <v>48682000</v>
      </c>
    </row>
    <row r="77" spans="1:8" ht="20.100000000000001" customHeight="1" x14ac:dyDescent="0.25">
      <c r="A77" s="22" t="s">
        <v>287</v>
      </c>
      <c r="B77" s="194" t="s">
        <v>359</v>
      </c>
      <c r="C77" s="271"/>
      <c r="D77" s="271"/>
      <c r="E77" s="271">
        <v>2212562</v>
      </c>
      <c r="F77" s="271"/>
      <c r="G77" s="271"/>
      <c r="H77" s="271"/>
    </row>
    <row r="78" spans="1:8" ht="20.100000000000001" customHeight="1" x14ac:dyDescent="0.25">
      <c r="A78" s="595" t="s">
        <v>386</v>
      </c>
      <c r="B78" s="596"/>
      <c r="C78" s="269">
        <f t="shared" ref="C78:H78" si="11">C76+C77</f>
        <v>49301727</v>
      </c>
      <c r="D78" s="269">
        <f t="shared" si="11"/>
        <v>48681727</v>
      </c>
      <c r="E78" s="269">
        <f t="shared" si="11"/>
        <v>50894289</v>
      </c>
      <c r="F78" s="269">
        <f t="shared" si="11"/>
        <v>48682000</v>
      </c>
      <c r="G78" s="269">
        <f t="shared" si="11"/>
        <v>48682000</v>
      </c>
      <c r="H78" s="269">
        <f t="shared" si="11"/>
        <v>48682000</v>
      </c>
    </row>
    <row r="79" spans="1:8" ht="20.100000000000001" customHeight="1" x14ac:dyDescent="0.25">
      <c r="A79" s="22" t="s">
        <v>377</v>
      </c>
      <c r="B79" s="57" t="s">
        <v>378</v>
      </c>
      <c r="C79" s="56"/>
      <c r="D79" s="56"/>
      <c r="E79" s="56"/>
      <c r="F79" s="56"/>
      <c r="G79" s="56"/>
      <c r="H79" s="56"/>
    </row>
    <row r="80" spans="1:8" ht="20.100000000000001" customHeight="1" x14ac:dyDescent="0.25">
      <c r="A80" s="22" t="s">
        <v>37</v>
      </c>
      <c r="B80" s="53" t="s">
        <v>260</v>
      </c>
      <c r="C80" s="128"/>
      <c r="D80" s="128"/>
      <c r="E80" s="128"/>
      <c r="F80" s="128"/>
      <c r="G80" s="128"/>
      <c r="H80" s="128"/>
    </row>
    <row r="81" spans="1:8" ht="20.100000000000001" customHeight="1" x14ac:dyDescent="0.25">
      <c r="A81" s="22"/>
      <c r="B81" s="103" t="s">
        <v>929</v>
      </c>
      <c r="C81" s="128"/>
      <c r="D81" s="128"/>
      <c r="E81" s="272">
        <v>3047000</v>
      </c>
      <c r="F81" s="128"/>
      <c r="G81" s="128"/>
      <c r="H81" s="128"/>
    </row>
    <row r="82" spans="1:8" ht="20.100000000000001" customHeight="1" x14ac:dyDescent="0.25">
      <c r="A82" s="22"/>
      <c r="B82" s="103" t="s">
        <v>835</v>
      </c>
      <c r="C82" s="272"/>
      <c r="D82" s="272"/>
      <c r="E82" s="272">
        <v>1850000</v>
      </c>
      <c r="F82" s="272"/>
      <c r="G82" s="272"/>
      <c r="H82" s="272"/>
    </row>
    <row r="83" spans="1:8" ht="20.100000000000001" customHeight="1" x14ac:dyDescent="0.25">
      <c r="A83" s="22"/>
      <c r="B83" s="194" t="s">
        <v>836</v>
      </c>
      <c r="C83" s="271">
        <f t="shared" ref="C83:H83" si="12">C82+C81</f>
        <v>0</v>
      </c>
      <c r="D83" s="271">
        <f t="shared" si="12"/>
        <v>0</v>
      </c>
      <c r="E83" s="271">
        <f t="shared" si="12"/>
        <v>4897000</v>
      </c>
      <c r="F83" s="271">
        <f t="shared" si="12"/>
        <v>0</v>
      </c>
      <c r="G83" s="271">
        <f t="shared" si="12"/>
        <v>0</v>
      </c>
      <c r="H83" s="271">
        <f t="shared" si="12"/>
        <v>0</v>
      </c>
    </row>
    <row r="84" spans="1:8" ht="20.100000000000001" customHeight="1" x14ac:dyDescent="0.25">
      <c r="A84" s="22" t="s">
        <v>831</v>
      </c>
      <c r="B84" s="53" t="s">
        <v>832</v>
      </c>
      <c r="C84" s="128"/>
      <c r="D84" s="128"/>
      <c r="E84" s="128"/>
      <c r="F84" s="128"/>
      <c r="G84" s="128"/>
      <c r="H84" s="128"/>
    </row>
    <row r="85" spans="1:8" ht="20.100000000000001" customHeight="1" x14ac:dyDescent="0.25">
      <c r="A85" s="22"/>
      <c r="B85" s="103" t="s">
        <v>833</v>
      </c>
      <c r="C85" s="272">
        <f t="shared" ref="C85:E87" si="13">SUM(C83:C84)</f>
        <v>0</v>
      </c>
      <c r="D85" s="272">
        <v>19963948</v>
      </c>
      <c r="E85" s="272">
        <v>19963948</v>
      </c>
      <c r="F85" s="272"/>
      <c r="G85" s="272"/>
      <c r="H85" s="272"/>
    </row>
    <row r="86" spans="1:8" ht="20.100000000000001" customHeight="1" x14ac:dyDescent="0.25">
      <c r="A86" s="22"/>
      <c r="B86" s="103" t="s">
        <v>834</v>
      </c>
      <c r="C86" s="272">
        <f t="shared" si="13"/>
        <v>0</v>
      </c>
      <c r="D86" s="272"/>
      <c r="E86" s="272">
        <v>750000</v>
      </c>
      <c r="F86" s="272"/>
      <c r="G86" s="272"/>
      <c r="H86" s="272"/>
    </row>
    <row r="87" spans="1:8" ht="20.100000000000001" customHeight="1" x14ac:dyDescent="0.25">
      <c r="A87" s="22"/>
      <c r="B87" s="194" t="s">
        <v>837</v>
      </c>
      <c r="C87" s="271">
        <f t="shared" si="13"/>
        <v>0</v>
      </c>
      <c r="D87" s="271">
        <f t="shared" si="13"/>
        <v>19963948</v>
      </c>
      <c r="E87" s="271">
        <f t="shared" si="13"/>
        <v>20713948</v>
      </c>
      <c r="F87" s="271">
        <f t="shared" ref="F87" si="14">F86</f>
        <v>0</v>
      </c>
      <c r="G87" s="271">
        <f t="shared" ref="G87" si="15">G86</f>
        <v>0</v>
      </c>
      <c r="H87" s="271">
        <f t="shared" ref="H87" si="16">H86</f>
        <v>0</v>
      </c>
    </row>
    <row r="88" spans="1:8" ht="20.100000000000001" customHeight="1" x14ac:dyDescent="0.25">
      <c r="A88" s="22" t="s">
        <v>830</v>
      </c>
      <c r="B88" s="194" t="s">
        <v>231</v>
      </c>
      <c r="C88" s="271">
        <v>5300000</v>
      </c>
      <c r="D88" s="271">
        <v>7300000</v>
      </c>
      <c r="E88" s="271">
        <v>7300000</v>
      </c>
      <c r="F88" s="271">
        <v>5300000</v>
      </c>
      <c r="G88" s="271">
        <v>5300000</v>
      </c>
      <c r="H88" s="271">
        <v>5300000</v>
      </c>
    </row>
    <row r="89" spans="1:8" ht="20.100000000000001" customHeight="1" x14ac:dyDescent="0.25">
      <c r="A89" s="22" t="s">
        <v>838</v>
      </c>
      <c r="B89" s="194" t="s">
        <v>359</v>
      </c>
      <c r="C89" s="271"/>
      <c r="D89" s="271"/>
      <c r="E89" s="271">
        <v>2496860</v>
      </c>
      <c r="F89" s="271"/>
      <c r="G89" s="271"/>
      <c r="H89" s="271"/>
    </row>
    <row r="90" spans="1:8" ht="20.100000000000001" customHeight="1" x14ac:dyDescent="0.25">
      <c r="A90" s="595" t="s">
        <v>387</v>
      </c>
      <c r="B90" s="596"/>
      <c r="C90" s="269">
        <f t="shared" ref="C90:H90" si="17">C83+C87+C88+C89</f>
        <v>5300000</v>
      </c>
      <c r="D90" s="269">
        <f t="shared" si="17"/>
        <v>27263948</v>
      </c>
      <c r="E90" s="269">
        <f t="shared" si="17"/>
        <v>35407808</v>
      </c>
      <c r="F90" s="269">
        <f t="shared" si="17"/>
        <v>5300000</v>
      </c>
      <c r="G90" s="269">
        <f t="shared" si="17"/>
        <v>5300000</v>
      </c>
      <c r="H90" s="269">
        <f t="shared" si="17"/>
        <v>5300000</v>
      </c>
    </row>
    <row r="91" spans="1:8" ht="20.100000000000001" customHeight="1" x14ac:dyDescent="0.25">
      <c r="A91" s="311"/>
      <c r="B91" s="310" t="s">
        <v>85</v>
      </c>
      <c r="C91" s="202">
        <f t="shared" ref="C91:H91" si="18">C66+C74+C78+C90</f>
        <v>1128395000</v>
      </c>
      <c r="D91" s="202">
        <f t="shared" si="18"/>
        <v>2043098000</v>
      </c>
      <c r="E91" s="202">
        <f t="shared" si="18"/>
        <v>2078337468</v>
      </c>
      <c r="F91" s="202">
        <f t="shared" si="18"/>
        <v>955689106</v>
      </c>
      <c r="G91" s="202">
        <f t="shared" si="18"/>
        <v>566557400</v>
      </c>
      <c r="H91" s="202">
        <f t="shared" si="18"/>
        <v>566557400</v>
      </c>
    </row>
    <row r="92" spans="1:8" ht="14.25" x14ac:dyDescent="0.2">
      <c r="A92" s="21"/>
      <c r="B92" s="21"/>
    </row>
    <row r="93" spans="1:8" ht="14.25" x14ac:dyDescent="0.2">
      <c r="A93" s="21"/>
      <c r="B93" s="21"/>
    </row>
    <row r="94" spans="1:8" ht="14.25" x14ac:dyDescent="0.2">
      <c r="A94" s="21"/>
      <c r="B94" s="21"/>
    </row>
    <row r="95" spans="1:8" ht="14.25" x14ac:dyDescent="0.2">
      <c r="A95" s="21"/>
      <c r="B95" s="21"/>
    </row>
    <row r="96" spans="1:8" ht="14.25" x14ac:dyDescent="0.2">
      <c r="A96" s="21"/>
      <c r="B96" s="21"/>
    </row>
    <row r="97" spans="1:4" ht="18" customHeight="1" x14ac:dyDescent="0.2">
      <c r="A97" s="21"/>
      <c r="B97" s="21"/>
    </row>
    <row r="98" spans="1:4" ht="14.25" x14ac:dyDescent="0.2">
      <c r="A98" s="21"/>
      <c r="B98" s="21"/>
    </row>
    <row r="99" spans="1:4" ht="14.25" x14ac:dyDescent="0.2">
      <c r="A99" s="21"/>
      <c r="B99" s="21"/>
    </row>
    <row r="100" spans="1:4" ht="13.5" customHeight="1" x14ac:dyDescent="0.2">
      <c r="A100" s="21"/>
      <c r="B100" s="21"/>
    </row>
    <row r="101" spans="1:4" ht="14.25" x14ac:dyDescent="0.2">
      <c r="A101" s="21"/>
      <c r="B101" s="21"/>
    </row>
    <row r="102" spans="1:4" ht="14.25" x14ac:dyDescent="0.2">
      <c r="A102" s="21"/>
      <c r="B102" s="21"/>
      <c r="D102" s="17" t="s">
        <v>586</v>
      </c>
    </row>
    <row r="103" spans="1:4" ht="14.25" x14ac:dyDescent="0.2">
      <c r="A103" s="21"/>
      <c r="B103" s="21"/>
    </row>
    <row r="104" spans="1:4" ht="14.25" x14ac:dyDescent="0.2">
      <c r="A104" s="21"/>
      <c r="B104" s="21"/>
    </row>
    <row r="105" spans="1:4" ht="14.25" x14ac:dyDescent="0.2">
      <c r="A105" s="21"/>
      <c r="B105" s="21"/>
    </row>
    <row r="106" spans="1:4" ht="14.25" x14ac:dyDescent="0.2">
      <c r="A106" s="21"/>
      <c r="B106" s="21"/>
    </row>
    <row r="107" spans="1:4" ht="14.25" x14ac:dyDescent="0.2">
      <c r="A107" s="21"/>
      <c r="B107" s="21"/>
    </row>
    <row r="108" spans="1:4" ht="14.25" x14ac:dyDescent="0.2">
      <c r="A108" s="21"/>
      <c r="B108" s="21"/>
    </row>
    <row r="109" spans="1:4" ht="14.25" x14ac:dyDescent="0.2">
      <c r="A109" s="21"/>
      <c r="B109" s="21"/>
    </row>
    <row r="110" spans="1:4" ht="14.25" x14ac:dyDescent="0.2">
      <c r="A110" s="21"/>
      <c r="B110" s="21"/>
    </row>
    <row r="111" spans="1:4" ht="14.25" x14ac:dyDescent="0.2">
      <c r="A111" s="21"/>
      <c r="B111" s="21"/>
    </row>
    <row r="112" spans="1:4" ht="18" customHeight="1" x14ac:dyDescent="0.2">
      <c r="A112" s="21"/>
      <c r="B112" s="21"/>
    </row>
    <row r="113" spans="1:2" ht="12.75" customHeight="1" x14ac:dyDescent="0.2">
      <c r="A113" s="21"/>
      <c r="B113" s="21"/>
    </row>
    <row r="114" spans="1:2" ht="14.25" x14ac:dyDescent="0.2">
      <c r="A114" s="21"/>
      <c r="B114" s="21"/>
    </row>
    <row r="115" spans="1:2" ht="14.25" x14ac:dyDescent="0.2">
      <c r="A115" s="21"/>
      <c r="B115" s="21"/>
    </row>
    <row r="116" spans="1:2" ht="15" customHeight="1" x14ac:dyDescent="0.2">
      <c r="A116" s="21"/>
      <c r="B116" s="21"/>
    </row>
    <row r="117" spans="1:2" ht="14.25" x14ac:dyDescent="0.2">
      <c r="A117" s="21"/>
      <c r="B117" s="21"/>
    </row>
    <row r="118" spans="1:2" ht="14.25" x14ac:dyDescent="0.2">
      <c r="A118" s="21"/>
      <c r="B118" s="21"/>
    </row>
    <row r="119" spans="1:2" ht="14.25" x14ac:dyDescent="0.2">
      <c r="A119" s="21"/>
      <c r="B119" s="21"/>
    </row>
    <row r="120" spans="1:2" ht="14.25" x14ac:dyDescent="0.2">
      <c r="A120" s="21"/>
      <c r="B120" s="21"/>
    </row>
    <row r="121" spans="1:2" ht="14.25" x14ac:dyDescent="0.2">
      <c r="A121" s="21"/>
      <c r="B121" s="21"/>
    </row>
    <row r="122" spans="1:2" ht="14.25" x14ac:dyDescent="0.2">
      <c r="A122" s="21"/>
      <c r="B122" s="21"/>
    </row>
    <row r="123" spans="1:2" ht="14.25" x14ac:dyDescent="0.2">
      <c r="A123" s="21"/>
      <c r="B123" s="21"/>
    </row>
    <row r="124" spans="1:2" ht="14.25" x14ac:dyDescent="0.2">
      <c r="A124" s="21"/>
      <c r="B124" s="21"/>
    </row>
    <row r="125" spans="1:2" ht="14.25" x14ac:dyDescent="0.2">
      <c r="A125" s="21"/>
      <c r="B125" s="21"/>
    </row>
    <row r="126" spans="1:2" ht="14.25" x14ac:dyDescent="0.2">
      <c r="A126" s="21"/>
      <c r="B126" s="21"/>
    </row>
    <row r="127" spans="1:2" ht="14.25" x14ac:dyDescent="0.2">
      <c r="A127" s="21"/>
      <c r="B127" s="21"/>
    </row>
    <row r="128" spans="1:2" ht="14.25" x14ac:dyDescent="0.2">
      <c r="A128" s="21"/>
      <c r="B128" s="21"/>
    </row>
    <row r="129" spans="1:2" ht="14.25" x14ac:dyDescent="0.2">
      <c r="A129" s="21"/>
      <c r="B129" s="21"/>
    </row>
    <row r="130" spans="1:2" ht="14.25" x14ac:dyDescent="0.2">
      <c r="A130" s="21"/>
      <c r="B130" s="21"/>
    </row>
    <row r="131" spans="1:2" ht="14.25" x14ac:dyDescent="0.2">
      <c r="A131" s="21"/>
      <c r="B131" s="21"/>
    </row>
    <row r="132" spans="1:2" ht="14.25" x14ac:dyDescent="0.2">
      <c r="A132" s="21"/>
      <c r="B132" s="21"/>
    </row>
    <row r="133" spans="1:2" ht="14.25" x14ac:dyDescent="0.2">
      <c r="A133" s="21"/>
      <c r="B133" s="21"/>
    </row>
    <row r="134" spans="1:2" ht="14.25" x14ac:dyDescent="0.2">
      <c r="A134" s="21"/>
      <c r="B134" s="21"/>
    </row>
    <row r="135" spans="1:2" ht="14.25" x14ac:dyDescent="0.2">
      <c r="A135" s="21"/>
      <c r="B135" s="21"/>
    </row>
    <row r="136" spans="1:2" ht="14.25" x14ac:dyDescent="0.2">
      <c r="A136" s="21"/>
      <c r="B136" s="21"/>
    </row>
    <row r="137" spans="1:2" ht="14.25" x14ac:dyDescent="0.2">
      <c r="A137" s="21"/>
      <c r="B137" s="21"/>
    </row>
    <row r="138" spans="1:2" ht="14.25" x14ac:dyDescent="0.2">
      <c r="A138" s="21"/>
      <c r="B138" s="21"/>
    </row>
    <row r="139" spans="1:2" ht="14.25" x14ac:dyDescent="0.2">
      <c r="A139" s="21"/>
      <c r="B139" s="21"/>
    </row>
    <row r="140" spans="1:2" ht="14.25" x14ac:dyDescent="0.2">
      <c r="A140" s="21"/>
      <c r="B140" s="21"/>
    </row>
    <row r="141" spans="1:2" ht="14.25" x14ac:dyDescent="0.2">
      <c r="A141" s="21"/>
      <c r="B141" s="21"/>
    </row>
    <row r="142" spans="1:2" ht="14.25" x14ac:dyDescent="0.2">
      <c r="A142" s="21"/>
      <c r="B142" s="21"/>
    </row>
    <row r="143" spans="1:2" ht="14.25" x14ac:dyDescent="0.2">
      <c r="A143" s="21"/>
      <c r="B143" s="21"/>
    </row>
    <row r="144" spans="1:2" ht="14.25" x14ac:dyDescent="0.2">
      <c r="A144" s="21"/>
      <c r="B144" s="21"/>
    </row>
    <row r="145" spans="1:2" ht="14.25" x14ac:dyDescent="0.2">
      <c r="A145" s="21"/>
      <c r="B145" s="21"/>
    </row>
    <row r="146" spans="1:2" ht="14.25" x14ac:dyDescent="0.2">
      <c r="A146" s="21"/>
      <c r="B146" s="21"/>
    </row>
    <row r="147" spans="1:2" ht="14.25" x14ac:dyDescent="0.2">
      <c r="A147" s="21"/>
      <c r="B147" s="21"/>
    </row>
    <row r="148" spans="1:2" ht="14.25" x14ac:dyDescent="0.2">
      <c r="A148" s="21"/>
      <c r="B148" s="21"/>
    </row>
    <row r="149" spans="1:2" ht="14.25" x14ac:dyDescent="0.2">
      <c r="A149" s="21"/>
      <c r="B149" s="21"/>
    </row>
    <row r="150" spans="1:2" ht="14.25" x14ac:dyDescent="0.2">
      <c r="A150" s="21"/>
      <c r="B150" s="21"/>
    </row>
    <row r="151" spans="1:2" ht="14.25" x14ac:dyDescent="0.2">
      <c r="A151" s="21"/>
      <c r="B151" s="21"/>
    </row>
    <row r="152" spans="1:2" ht="14.25" x14ac:dyDescent="0.2">
      <c r="A152" s="21"/>
      <c r="B152" s="21"/>
    </row>
    <row r="153" spans="1:2" ht="14.25" x14ac:dyDescent="0.2">
      <c r="A153" s="21"/>
      <c r="B153" s="21"/>
    </row>
    <row r="154" spans="1:2" ht="14.25" x14ac:dyDescent="0.2">
      <c r="A154" s="21"/>
      <c r="B154" s="21"/>
    </row>
    <row r="155" spans="1:2" ht="14.25" x14ac:dyDescent="0.2">
      <c r="A155" s="21"/>
      <c r="B155" s="21"/>
    </row>
    <row r="156" spans="1:2" ht="14.25" x14ac:dyDescent="0.2">
      <c r="A156" s="21"/>
      <c r="B156" s="21"/>
    </row>
    <row r="157" spans="1:2" ht="14.25" x14ac:dyDescent="0.2">
      <c r="A157" s="21"/>
      <c r="B157" s="21"/>
    </row>
    <row r="158" spans="1:2" ht="14.25" x14ac:dyDescent="0.2">
      <c r="A158" s="21"/>
      <c r="B158" s="21"/>
    </row>
    <row r="159" spans="1:2" ht="14.25" x14ac:dyDescent="0.2">
      <c r="A159" s="21"/>
      <c r="B159" s="21"/>
    </row>
    <row r="160" spans="1:2" ht="14.25" x14ac:dyDescent="0.2">
      <c r="A160" s="21"/>
      <c r="B160" s="21"/>
    </row>
    <row r="161" spans="1:8" ht="14.25" x14ac:dyDescent="0.2">
      <c r="A161" s="21"/>
      <c r="B161" s="21"/>
    </row>
    <row r="162" spans="1:8" ht="14.25" x14ac:dyDescent="0.2">
      <c r="A162" s="21"/>
      <c r="B162" s="21"/>
    </row>
    <row r="163" spans="1:8" ht="14.25" x14ac:dyDescent="0.2">
      <c r="A163" s="21"/>
      <c r="B163" s="21"/>
    </row>
    <row r="164" spans="1:8" ht="14.25" x14ac:dyDescent="0.2">
      <c r="A164" s="21"/>
      <c r="B164" s="21"/>
    </row>
    <row r="165" spans="1:8" ht="14.25" x14ac:dyDescent="0.2">
      <c r="A165" s="21"/>
      <c r="B165" s="21"/>
    </row>
    <row r="166" spans="1:8" ht="14.25" x14ac:dyDescent="0.2">
      <c r="A166" s="21"/>
      <c r="B166" s="21"/>
    </row>
    <row r="167" spans="1:8" ht="14.25" x14ac:dyDescent="0.2">
      <c r="A167" s="21"/>
      <c r="B167" s="21"/>
    </row>
    <row r="168" spans="1:8" ht="14.25" x14ac:dyDescent="0.2">
      <c r="A168" s="21"/>
      <c r="B168" s="21"/>
    </row>
    <row r="169" spans="1:8" ht="14.25" x14ac:dyDescent="0.2">
      <c r="A169" s="21"/>
      <c r="B169" s="21"/>
    </row>
    <row r="170" spans="1:8" ht="14.25" x14ac:dyDescent="0.2">
      <c r="A170" s="21"/>
      <c r="B170" s="21"/>
    </row>
    <row r="171" spans="1:8" ht="14.25" x14ac:dyDescent="0.2">
      <c r="A171" s="21"/>
      <c r="B171" s="21"/>
      <c r="H171" s="250"/>
    </row>
    <row r="172" spans="1:8" ht="14.25" x14ac:dyDescent="0.2">
      <c r="A172" s="21"/>
      <c r="B172" s="21"/>
      <c r="H172" s="250"/>
    </row>
    <row r="173" spans="1:8" ht="14.25" x14ac:dyDescent="0.2">
      <c r="A173" s="21"/>
      <c r="B173" s="21"/>
      <c r="H173" s="250"/>
    </row>
    <row r="174" spans="1:8" ht="14.25" x14ac:dyDescent="0.2">
      <c r="A174" s="21"/>
      <c r="B174" s="21"/>
      <c r="H174" s="250"/>
    </row>
    <row r="175" spans="1:8" ht="14.25" x14ac:dyDescent="0.2">
      <c r="A175" s="21"/>
      <c r="B175" s="21"/>
      <c r="H175" s="250"/>
    </row>
    <row r="176" spans="1:8" ht="14.25" x14ac:dyDescent="0.2">
      <c r="A176" s="21"/>
      <c r="B176" s="21"/>
      <c r="H176" s="250"/>
    </row>
    <row r="177" spans="1:8" ht="14.25" x14ac:dyDescent="0.2">
      <c r="A177" s="21"/>
      <c r="B177" s="21"/>
      <c r="H177" s="250"/>
    </row>
    <row r="178" spans="1:8" ht="14.25" x14ac:dyDescent="0.2">
      <c r="A178" s="21"/>
      <c r="B178" s="21"/>
      <c r="H178" s="250"/>
    </row>
    <row r="179" spans="1:8" ht="14.25" x14ac:dyDescent="0.2">
      <c r="A179" s="21"/>
      <c r="B179" s="21"/>
      <c r="H179" s="250"/>
    </row>
    <row r="180" spans="1:8" ht="14.25" x14ac:dyDescent="0.2">
      <c r="A180" s="21"/>
      <c r="B180" s="21"/>
      <c r="H180" s="250"/>
    </row>
    <row r="181" spans="1:8" ht="14.25" x14ac:dyDescent="0.2">
      <c r="A181" s="21"/>
      <c r="B181" s="21"/>
      <c r="H181" s="250"/>
    </row>
    <row r="182" spans="1:8" ht="14.25" x14ac:dyDescent="0.2">
      <c r="A182" s="21"/>
      <c r="B182" s="21"/>
      <c r="H182" s="250"/>
    </row>
    <row r="183" spans="1:8" ht="14.25" x14ac:dyDescent="0.2">
      <c r="A183" s="21"/>
      <c r="B183" s="21"/>
      <c r="H183" s="250"/>
    </row>
    <row r="184" spans="1:8" ht="14.25" x14ac:dyDescent="0.2">
      <c r="A184" s="21"/>
      <c r="B184" s="21"/>
      <c r="H184" s="250"/>
    </row>
    <row r="185" spans="1:8" ht="14.25" x14ac:dyDescent="0.2">
      <c r="A185" s="21"/>
      <c r="B185" s="21"/>
      <c r="H185" s="250"/>
    </row>
    <row r="186" spans="1:8" ht="14.25" x14ac:dyDescent="0.2">
      <c r="A186" s="21"/>
      <c r="B186" s="21"/>
      <c r="H186" s="250"/>
    </row>
    <row r="187" spans="1:8" ht="14.25" x14ac:dyDescent="0.2">
      <c r="A187" s="21"/>
      <c r="B187" s="21"/>
      <c r="H187" s="250"/>
    </row>
    <row r="188" spans="1:8" ht="14.25" x14ac:dyDescent="0.2">
      <c r="A188" s="21"/>
      <c r="B188" s="21"/>
      <c r="H188" s="250"/>
    </row>
    <row r="189" spans="1:8" ht="14.25" x14ac:dyDescent="0.2">
      <c r="A189" s="21"/>
      <c r="B189" s="21"/>
      <c r="H189" s="250"/>
    </row>
    <row r="190" spans="1:8" ht="14.25" x14ac:dyDescent="0.2">
      <c r="A190" s="21"/>
      <c r="B190" s="21"/>
      <c r="H190" s="250"/>
    </row>
    <row r="191" spans="1:8" ht="14.25" x14ac:dyDescent="0.2">
      <c r="A191" s="21"/>
      <c r="B191" s="21"/>
      <c r="H191" s="250"/>
    </row>
    <row r="192" spans="1:8" ht="14.25" x14ac:dyDescent="0.2">
      <c r="A192" s="21"/>
      <c r="B192" s="21"/>
      <c r="H192" s="250"/>
    </row>
    <row r="193" spans="1:8" ht="14.25" x14ac:dyDescent="0.2">
      <c r="A193" s="21"/>
      <c r="B193" s="21"/>
      <c r="H193" s="250"/>
    </row>
    <row r="194" spans="1:8" ht="14.25" x14ac:dyDescent="0.2">
      <c r="A194" s="21"/>
      <c r="B194" s="21"/>
      <c r="H194" s="250"/>
    </row>
    <row r="195" spans="1:8" ht="14.25" x14ac:dyDescent="0.2">
      <c r="A195" s="21"/>
      <c r="B195" s="21"/>
      <c r="H195" s="250"/>
    </row>
    <row r="196" spans="1:8" ht="14.25" x14ac:dyDescent="0.2">
      <c r="A196" s="21"/>
      <c r="B196" s="21"/>
      <c r="H196" s="250"/>
    </row>
    <row r="197" spans="1:8" ht="14.25" x14ac:dyDescent="0.2">
      <c r="A197" s="21"/>
      <c r="B197" s="21"/>
      <c r="H197" s="250"/>
    </row>
    <row r="198" spans="1:8" ht="14.25" x14ac:dyDescent="0.2">
      <c r="A198" s="21"/>
      <c r="B198" s="21"/>
      <c r="H198" s="250"/>
    </row>
    <row r="199" spans="1:8" ht="14.25" x14ac:dyDescent="0.2">
      <c r="A199" s="21"/>
      <c r="B199" s="21"/>
      <c r="H199" s="250"/>
    </row>
    <row r="200" spans="1:8" ht="14.25" x14ac:dyDescent="0.2">
      <c r="A200" s="21"/>
      <c r="B200" s="21"/>
      <c r="H200" s="250"/>
    </row>
    <row r="201" spans="1:8" ht="14.25" x14ac:dyDescent="0.2">
      <c r="A201" s="21"/>
      <c r="B201" s="21"/>
      <c r="H201" s="250"/>
    </row>
    <row r="202" spans="1:8" ht="14.25" x14ac:dyDescent="0.2">
      <c r="A202" s="21"/>
      <c r="B202" s="21"/>
      <c r="H202" s="250"/>
    </row>
    <row r="203" spans="1:8" ht="14.25" x14ac:dyDescent="0.2">
      <c r="A203" s="21"/>
      <c r="B203" s="21"/>
      <c r="H203" s="250"/>
    </row>
    <row r="204" spans="1:8" ht="14.25" x14ac:dyDescent="0.2">
      <c r="A204" s="21"/>
      <c r="B204" s="21"/>
      <c r="H204" s="250"/>
    </row>
    <row r="205" spans="1:8" ht="14.25" x14ac:dyDescent="0.2">
      <c r="A205" s="21"/>
      <c r="B205" s="21"/>
      <c r="H205" s="250"/>
    </row>
    <row r="206" spans="1:8" ht="14.25" x14ac:dyDescent="0.2">
      <c r="A206" s="21"/>
      <c r="B206" s="21"/>
      <c r="H206" s="250"/>
    </row>
    <row r="207" spans="1:8" ht="14.25" x14ac:dyDescent="0.2">
      <c r="A207" s="21"/>
      <c r="B207" s="21"/>
      <c r="H207" s="250"/>
    </row>
    <row r="208" spans="1:8" ht="14.25" x14ac:dyDescent="0.2">
      <c r="A208" s="21"/>
      <c r="B208" s="21"/>
      <c r="H208" s="250"/>
    </row>
    <row r="209" spans="1:8" ht="14.25" x14ac:dyDescent="0.2">
      <c r="A209" s="21"/>
      <c r="B209" s="21"/>
      <c r="H209" s="250"/>
    </row>
    <row r="210" spans="1:8" ht="14.25" x14ac:dyDescent="0.2">
      <c r="A210" s="21"/>
      <c r="B210" s="21"/>
      <c r="H210" s="250"/>
    </row>
    <row r="211" spans="1:8" ht="14.25" x14ac:dyDescent="0.2">
      <c r="A211" s="21"/>
      <c r="B211" s="21"/>
      <c r="H211" s="250"/>
    </row>
    <row r="212" spans="1:8" ht="14.25" x14ac:dyDescent="0.2">
      <c r="A212" s="21"/>
      <c r="B212" s="21"/>
      <c r="H212" s="250"/>
    </row>
    <row r="213" spans="1:8" ht="14.25" x14ac:dyDescent="0.2">
      <c r="A213" s="21"/>
      <c r="B213" s="21"/>
      <c r="H213" s="250"/>
    </row>
    <row r="214" spans="1:8" ht="14.25" x14ac:dyDescent="0.2">
      <c r="A214" s="21"/>
      <c r="B214" s="21"/>
      <c r="H214" s="250"/>
    </row>
    <row r="215" spans="1:8" ht="14.25" x14ac:dyDescent="0.2">
      <c r="A215" s="21"/>
      <c r="B215" s="21"/>
      <c r="H215" s="250"/>
    </row>
    <row r="216" spans="1:8" ht="14.25" x14ac:dyDescent="0.2">
      <c r="A216" s="21"/>
      <c r="B216" s="21"/>
      <c r="H216" s="250"/>
    </row>
    <row r="217" spans="1:8" ht="14.25" x14ac:dyDescent="0.2">
      <c r="A217" s="21"/>
      <c r="B217" s="21"/>
      <c r="H217" s="250"/>
    </row>
    <row r="218" spans="1:8" ht="14.25" x14ac:dyDescent="0.2">
      <c r="A218" s="21"/>
      <c r="B218" s="21"/>
      <c r="H218" s="250"/>
    </row>
    <row r="219" spans="1:8" ht="14.25" x14ac:dyDescent="0.2">
      <c r="A219" s="21"/>
      <c r="B219" s="21"/>
      <c r="H219" s="250"/>
    </row>
    <row r="220" spans="1:8" ht="14.25" x14ac:dyDescent="0.2">
      <c r="A220" s="21"/>
      <c r="B220" s="21"/>
      <c r="H220" s="250"/>
    </row>
    <row r="221" spans="1:8" ht="14.25" x14ac:dyDescent="0.2">
      <c r="A221" s="21"/>
      <c r="B221" s="21"/>
      <c r="H221" s="250"/>
    </row>
    <row r="222" spans="1:8" ht="14.25" x14ac:dyDescent="0.2">
      <c r="A222" s="21"/>
      <c r="B222" s="21"/>
      <c r="H222" s="250"/>
    </row>
    <row r="223" spans="1:8" ht="14.25" x14ac:dyDescent="0.2">
      <c r="A223" s="21"/>
      <c r="B223" s="21"/>
      <c r="H223" s="250"/>
    </row>
    <row r="224" spans="1:8" ht="14.25" x14ac:dyDescent="0.2">
      <c r="A224" s="21"/>
      <c r="B224" s="21"/>
      <c r="H224" s="250"/>
    </row>
    <row r="225" spans="1:8" ht="14.25" x14ac:dyDescent="0.2">
      <c r="A225" s="21"/>
      <c r="B225" s="21"/>
      <c r="H225" s="250"/>
    </row>
    <row r="226" spans="1:8" ht="14.25" x14ac:dyDescent="0.2">
      <c r="A226" s="21"/>
      <c r="B226" s="21"/>
      <c r="H226" s="250"/>
    </row>
    <row r="227" spans="1:8" ht="14.25" x14ac:dyDescent="0.2">
      <c r="A227" s="21"/>
      <c r="B227" s="21"/>
      <c r="H227" s="250"/>
    </row>
    <row r="228" spans="1:8" ht="14.25" x14ac:dyDescent="0.2">
      <c r="A228" s="21"/>
      <c r="B228" s="21"/>
      <c r="H228" s="250"/>
    </row>
    <row r="229" spans="1:8" ht="14.25" x14ac:dyDescent="0.2">
      <c r="A229" s="21"/>
      <c r="B229" s="21"/>
      <c r="H229" s="250"/>
    </row>
    <row r="230" spans="1:8" ht="14.25" x14ac:dyDescent="0.2">
      <c r="A230" s="21"/>
      <c r="B230" s="21"/>
      <c r="H230" s="250"/>
    </row>
    <row r="231" spans="1:8" ht="14.25" x14ac:dyDescent="0.2">
      <c r="A231" s="21"/>
      <c r="B231" s="21"/>
      <c r="H231" s="250"/>
    </row>
    <row r="232" spans="1:8" ht="14.25" x14ac:dyDescent="0.2">
      <c r="A232" s="21"/>
      <c r="B232" s="21"/>
      <c r="H232" s="250"/>
    </row>
    <row r="233" spans="1:8" ht="14.25" x14ac:dyDescent="0.2">
      <c r="A233" s="21"/>
      <c r="B233" s="21"/>
      <c r="H233" s="250"/>
    </row>
    <row r="234" spans="1:8" ht="14.25" x14ac:dyDescent="0.2">
      <c r="A234" s="21"/>
      <c r="B234" s="21"/>
      <c r="H234" s="250"/>
    </row>
    <row r="235" spans="1:8" ht="14.25" x14ac:dyDescent="0.2">
      <c r="A235" s="21"/>
      <c r="B235" s="21"/>
      <c r="H235" s="250"/>
    </row>
    <row r="236" spans="1:8" ht="14.25" x14ac:dyDescent="0.2">
      <c r="A236" s="21"/>
      <c r="B236" s="21"/>
      <c r="H236" s="250"/>
    </row>
    <row r="237" spans="1:8" ht="14.25" x14ac:dyDescent="0.2">
      <c r="A237" s="21"/>
      <c r="B237" s="21"/>
      <c r="H237" s="250"/>
    </row>
    <row r="238" spans="1:8" ht="14.25" x14ac:dyDescent="0.2">
      <c r="A238" s="21"/>
      <c r="B238" s="21"/>
      <c r="H238" s="250"/>
    </row>
    <row r="239" spans="1:8" ht="14.25" x14ac:dyDescent="0.2">
      <c r="A239" s="21"/>
      <c r="B239" s="21"/>
      <c r="H239" s="250"/>
    </row>
    <row r="240" spans="1:8" ht="14.25" x14ac:dyDescent="0.2">
      <c r="A240" s="21"/>
      <c r="B240" s="21"/>
      <c r="H240" s="250"/>
    </row>
    <row r="241" spans="1:8" ht="14.25" x14ac:dyDescent="0.2">
      <c r="A241" s="21"/>
      <c r="B241" s="21"/>
      <c r="H241" s="250"/>
    </row>
    <row r="242" spans="1:8" ht="14.25" x14ac:dyDescent="0.2">
      <c r="A242" s="21"/>
      <c r="B242" s="21"/>
      <c r="H242" s="250"/>
    </row>
    <row r="243" spans="1:8" ht="14.25" x14ac:dyDescent="0.2">
      <c r="A243" s="21"/>
      <c r="B243" s="21"/>
      <c r="H243" s="250"/>
    </row>
    <row r="244" spans="1:8" ht="14.25" x14ac:dyDescent="0.2">
      <c r="A244" s="21"/>
      <c r="B244" s="21"/>
      <c r="H244" s="250"/>
    </row>
    <row r="245" spans="1:8" ht="14.25" x14ac:dyDescent="0.2">
      <c r="A245" s="21"/>
      <c r="B245" s="21"/>
      <c r="H245" s="250"/>
    </row>
    <row r="246" spans="1:8" x14ac:dyDescent="0.2">
      <c r="H246" s="250"/>
    </row>
    <row r="247" spans="1:8" x14ac:dyDescent="0.2">
      <c r="H247" s="250"/>
    </row>
    <row r="248" spans="1:8" x14ac:dyDescent="0.2">
      <c r="H248" s="250"/>
    </row>
    <row r="249" spans="1:8" x14ac:dyDescent="0.2">
      <c r="H249" s="250"/>
    </row>
    <row r="250" spans="1:8" x14ac:dyDescent="0.2">
      <c r="H250" s="250"/>
    </row>
    <row r="251" spans="1:8" x14ac:dyDescent="0.2">
      <c r="H251" s="250"/>
    </row>
    <row r="252" spans="1:8" x14ac:dyDescent="0.2">
      <c r="H252" s="250"/>
    </row>
    <row r="253" spans="1:8" x14ac:dyDescent="0.2">
      <c r="H253" s="250"/>
    </row>
    <row r="254" spans="1:8" x14ac:dyDescent="0.2">
      <c r="H254" s="250"/>
    </row>
    <row r="255" spans="1:8" x14ac:dyDescent="0.2">
      <c r="H255" s="250"/>
    </row>
    <row r="256" spans="1:8" x14ac:dyDescent="0.2">
      <c r="H256" s="250"/>
    </row>
    <row r="257" spans="8:8" x14ac:dyDescent="0.2">
      <c r="H257" s="250"/>
    </row>
    <row r="258" spans="8:8" x14ac:dyDescent="0.2">
      <c r="H258" s="250"/>
    </row>
    <row r="259" spans="8:8" x14ac:dyDescent="0.2">
      <c r="H259" s="250"/>
    </row>
    <row r="260" spans="8:8" x14ac:dyDescent="0.2">
      <c r="H260" s="250"/>
    </row>
    <row r="261" spans="8:8" x14ac:dyDescent="0.2">
      <c r="H261" s="250"/>
    </row>
    <row r="262" spans="8:8" x14ac:dyDescent="0.2">
      <c r="H262" s="250"/>
    </row>
    <row r="263" spans="8:8" x14ac:dyDescent="0.2">
      <c r="H263" s="250"/>
    </row>
    <row r="264" spans="8:8" x14ac:dyDescent="0.2">
      <c r="H264" s="250"/>
    </row>
    <row r="265" spans="8:8" x14ac:dyDescent="0.2">
      <c r="H265" s="250"/>
    </row>
    <row r="266" spans="8:8" x14ac:dyDescent="0.2">
      <c r="H266" s="250"/>
    </row>
    <row r="267" spans="8:8" x14ac:dyDescent="0.2">
      <c r="H267" s="250"/>
    </row>
    <row r="268" spans="8:8" x14ac:dyDescent="0.2">
      <c r="H268" s="250"/>
    </row>
    <row r="269" spans="8:8" x14ac:dyDescent="0.2">
      <c r="H269" s="250"/>
    </row>
    <row r="270" spans="8:8" x14ac:dyDescent="0.2">
      <c r="H270" s="250"/>
    </row>
    <row r="271" spans="8:8" x14ac:dyDescent="0.2">
      <c r="H271" s="250"/>
    </row>
    <row r="272" spans="8:8" x14ac:dyDescent="0.2">
      <c r="H272" s="250"/>
    </row>
    <row r="273" spans="8:8" x14ac:dyDescent="0.2">
      <c r="H273" s="250"/>
    </row>
    <row r="274" spans="8:8" x14ac:dyDescent="0.2">
      <c r="H274" s="250"/>
    </row>
    <row r="275" spans="8:8" x14ac:dyDescent="0.2">
      <c r="H275" s="250"/>
    </row>
    <row r="276" spans="8:8" x14ac:dyDescent="0.2">
      <c r="H276" s="250"/>
    </row>
    <row r="277" spans="8:8" x14ac:dyDescent="0.2">
      <c r="H277" s="250"/>
    </row>
    <row r="278" spans="8:8" x14ac:dyDescent="0.2">
      <c r="H278" s="250"/>
    </row>
    <row r="279" spans="8:8" x14ac:dyDescent="0.2">
      <c r="H279" s="250"/>
    </row>
    <row r="280" spans="8:8" x14ac:dyDescent="0.2">
      <c r="H280" s="250"/>
    </row>
    <row r="281" spans="8:8" x14ac:dyDescent="0.2">
      <c r="H281" s="250"/>
    </row>
    <row r="282" spans="8:8" x14ac:dyDescent="0.2">
      <c r="H282" s="250"/>
    </row>
    <row r="283" spans="8:8" x14ac:dyDescent="0.2">
      <c r="H283" s="250"/>
    </row>
    <row r="284" spans="8:8" x14ac:dyDescent="0.2">
      <c r="H284" s="250"/>
    </row>
    <row r="285" spans="8:8" x14ac:dyDescent="0.2">
      <c r="H285" s="250"/>
    </row>
    <row r="286" spans="8:8" x14ac:dyDescent="0.2">
      <c r="H286" s="250"/>
    </row>
    <row r="287" spans="8:8" x14ac:dyDescent="0.2">
      <c r="H287" s="250"/>
    </row>
    <row r="288" spans="8:8" x14ac:dyDescent="0.2">
      <c r="H288" s="250"/>
    </row>
    <row r="289" spans="8:8" x14ac:dyDescent="0.2">
      <c r="H289" s="250"/>
    </row>
    <row r="290" spans="8:8" x14ac:dyDescent="0.2">
      <c r="H290" s="250"/>
    </row>
    <row r="291" spans="8:8" x14ac:dyDescent="0.2">
      <c r="H291" s="250"/>
    </row>
    <row r="292" spans="8:8" x14ac:dyDescent="0.2">
      <c r="H292" s="250"/>
    </row>
    <row r="293" spans="8:8" x14ac:dyDescent="0.2">
      <c r="H293" s="250"/>
    </row>
    <row r="294" spans="8:8" x14ac:dyDescent="0.2">
      <c r="H294" s="250"/>
    </row>
    <row r="295" spans="8:8" x14ac:dyDescent="0.2">
      <c r="H295" s="250"/>
    </row>
    <row r="296" spans="8:8" x14ac:dyDescent="0.2">
      <c r="H296" s="250"/>
    </row>
    <row r="297" spans="8:8" x14ac:dyDescent="0.2">
      <c r="H297" s="250"/>
    </row>
    <row r="298" spans="8:8" x14ac:dyDescent="0.2">
      <c r="H298" s="250"/>
    </row>
    <row r="299" spans="8:8" x14ac:dyDescent="0.2">
      <c r="H299" s="250"/>
    </row>
    <row r="300" spans="8:8" x14ac:dyDescent="0.2">
      <c r="H300" s="250"/>
    </row>
    <row r="301" spans="8:8" x14ac:dyDescent="0.2">
      <c r="H301" s="250"/>
    </row>
    <row r="302" spans="8:8" x14ac:dyDescent="0.2">
      <c r="H302" s="250"/>
    </row>
    <row r="303" spans="8:8" x14ac:dyDescent="0.2">
      <c r="H303" s="250"/>
    </row>
    <row r="304" spans="8:8" x14ac:dyDescent="0.2">
      <c r="H304" s="250"/>
    </row>
    <row r="305" spans="8:8" x14ac:dyDescent="0.2">
      <c r="H305" s="250"/>
    </row>
    <row r="306" spans="8:8" x14ac:dyDescent="0.2">
      <c r="H306" s="250"/>
    </row>
    <row r="307" spans="8:8" x14ac:dyDescent="0.2">
      <c r="H307" s="250"/>
    </row>
    <row r="308" spans="8:8" x14ac:dyDescent="0.2">
      <c r="H308" s="250"/>
    </row>
    <row r="309" spans="8:8" x14ac:dyDescent="0.2">
      <c r="H309" s="250"/>
    </row>
    <row r="310" spans="8:8" x14ac:dyDescent="0.2">
      <c r="H310" s="250"/>
    </row>
    <row r="311" spans="8:8" x14ac:dyDescent="0.2">
      <c r="H311" s="250"/>
    </row>
    <row r="312" spans="8:8" x14ac:dyDescent="0.2">
      <c r="H312" s="250"/>
    </row>
    <row r="313" spans="8:8" x14ac:dyDescent="0.2">
      <c r="H313" s="250"/>
    </row>
    <row r="314" spans="8:8" x14ac:dyDescent="0.2">
      <c r="H314" s="250"/>
    </row>
    <row r="315" spans="8:8" x14ac:dyDescent="0.2">
      <c r="H315" s="250"/>
    </row>
    <row r="316" spans="8:8" x14ac:dyDescent="0.2">
      <c r="H316" s="250"/>
    </row>
    <row r="317" spans="8:8" x14ac:dyDescent="0.2">
      <c r="H317" s="250"/>
    </row>
    <row r="318" spans="8:8" x14ac:dyDescent="0.2">
      <c r="H318" s="250"/>
    </row>
    <row r="319" spans="8:8" x14ac:dyDescent="0.2">
      <c r="H319" s="250"/>
    </row>
    <row r="320" spans="8:8" x14ac:dyDescent="0.2">
      <c r="H320" s="250"/>
    </row>
    <row r="321" spans="8:8" x14ac:dyDescent="0.2">
      <c r="H321" s="250"/>
    </row>
    <row r="322" spans="8:8" x14ac:dyDescent="0.2">
      <c r="H322" s="250"/>
    </row>
    <row r="323" spans="8:8" x14ac:dyDescent="0.2">
      <c r="H323" s="250"/>
    </row>
    <row r="324" spans="8:8" x14ac:dyDescent="0.2">
      <c r="H324" s="250"/>
    </row>
    <row r="325" spans="8:8" x14ac:dyDescent="0.2">
      <c r="H325" s="250"/>
    </row>
    <row r="326" spans="8:8" x14ac:dyDescent="0.2">
      <c r="H326" s="250"/>
    </row>
    <row r="327" spans="8:8" x14ac:dyDescent="0.2">
      <c r="H327" s="250"/>
    </row>
    <row r="328" spans="8:8" x14ac:dyDescent="0.2">
      <c r="H328" s="250"/>
    </row>
    <row r="329" spans="8:8" x14ac:dyDescent="0.2">
      <c r="H329" s="250"/>
    </row>
    <row r="330" spans="8:8" x14ac:dyDescent="0.2">
      <c r="H330" s="250"/>
    </row>
    <row r="331" spans="8:8" x14ac:dyDescent="0.2">
      <c r="H331" s="250"/>
    </row>
    <row r="332" spans="8:8" x14ac:dyDescent="0.2">
      <c r="H332" s="250"/>
    </row>
    <row r="333" spans="8:8" x14ac:dyDescent="0.2">
      <c r="H333" s="250"/>
    </row>
    <row r="334" spans="8:8" x14ac:dyDescent="0.2">
      <c r="H334" s="250"/>
    </row>
    <row r="335" spans="8:8" x14ac:dyDescent="0.2">
      <c r="H335" s="250"/>
    </row>
    <row r="336" spans="8:8" x14ac:dyDescent="0.2">
      <c r="H336" s="250"/>
    </row>
    <row r="337" spans="8:8" x14ac:dyDescent="0.2">
      <c r="H337" s="250"/>
    </row>
    <row r="338" spans="8:8" x14ac:dyDescent="0.2">
      <c r="H338" s="250"/>
    </row>
    <row r="339" spans="8:8" x14ac:dyDescent="0.2">
      <c r="H339" s="250"/>
    </row>
    <row r="340" spans="8:8" x14ac:dyDescent="0.2">
      <c r="H340" s="250"/>
    </row>
    <row r="341" spans="8:8" x14ac:dyDescent="0.2">
      <c r="H341" s="250"/>
    </row>
    <row r="342" spans="8:8" x14ac:dyDescent="0.2">
      <c r="H342" s="250"/>
    </row>
    <row r="343" spans="8:8" x14ac:dyDescent="0.2">
      <c r="H343" s="250"/>
    </row>
    <row r="344" spans="8:8" x14ac:dyDescent="0.2">
      <c r="H344" s="250"/>
    </row>
    <row r="345" spans="8:8" x14ac:dyDescent="0.2">
      <c r="H345" s="250"/>
    </row>
    <row r="346" spans="8:8" x14ac:dyDescent="0.2">
      <c r="H346" s="250"/>
    </row>
    <row r="347" spans="8:8" x14ac:dyDescent="0.2">
      <c r="H347" s="250"/>
    </row>
    <row r="348" spans="8:8" x14ac:dyDescent="0.2">
      <c r="H348" s="250"/>
    </row>
    <row r="349" spans="8:8" x14ac:dyDescent="0.2">
      <c r="H349" s="250"/>
    </row>
    <row r="350" spans="8:8" x14ac:dyDescent="0.2">
      <c r="H350" s="250"/>
    </row>
    <row r="351" spans="8:8" x14ac:dyDescent="0.2">
      <c r="H351" s="250"/>
    </row>
    <row r="352" spans="8:8" x14ac:dyDescent="0.2">
      <c r="H352" s="250"/>
    </row>
    <row r="353" spans="8:8" x14ac:dyDescent="0.2">
      <c r="H353" s="250"/>
    </row>
    <row r="354" spans="8:8" x14ac:dyDescent="0.2">
      <c r="H354" s="250"/>
    </row>
    <row r="355" spans="8:8" x14ac:dyDescent="0.2">
      <c r="H355" s="250"/>
    </row>
    <row r="356" spans="8:8" x14ac:dyDescent="0.2">
      <c r="H356" s="250"/>
    </row>
    <row r="357" spans="8:8" x14ac:dyDescent="0.2">
      <c r="H357" s="250"/>
    </row>
    <row r="358" spans="8:8" x14ac:dyDescent="0.2">
      <c r="H358" s="250"/>
    </row>
    <row r="359" spans="8:8" x14ac:dyDescent="0.2">
      <c r="H359" s="250"/>
    </row>
    <row r="360" spans="8:8" x14ac:dyDescent="0.2">
      <c r="H360" s="250"/>
    </row>
    <row r="361" spans="8:8" x14ac:dyDescent="0.2">
      <c r="H361" s="250"/>
    </row>
    <row r="362" spans="8:8" x14ac:dyDescent="0.2">
      <c r="H362" s="250"/>
    </row>
    <row r="363" spans="8:8" x14ac:dyDescent="0.2">
      <c r="H363" s="250"/>
    </row>
    <row r="364" spans="8:8" x14ac:dyDescent="0.2">
      <c r="H364" s="250"/>
    </row>
    <row r="365" spans="8:8" x14ac:dyDescent="0.2">
      <c r="H365" s="250"/>
    </row>
    <row r="366" spans="8:8" x14ac:dyDescent="0.2">
      <c r="H366" s="250"/>
    </row>
    <row r="367" spans="8:8" x14ac:dyDescent="0.2">
      <c r="H367" s="250"/>
    </row>
    <row r="368" spans="8:8" x14ac:dyDescent="0.2">
      <c r="H368" s="250"/>
    </row>
    <row r="369" spans="8:8" x14ac:dyDescent="0.2">
      <c r="H369" s="250"/>
    </row>
    <row r="370" spans="8:8" x14ac:dyDescent="0.2">
      <c r="H370" s="250"/>
    </row>
    <row r="371" spans="8:8" x14ac:dyDescent="0.2">
      <c r="H371" s="250"/>
    </row>
    <row r="372" spans="8:8" x14ac:dyDescent="0.2">
      <c r="H372" s="250"/>
    </row>
    <row r="373" spans="8:8" x14ac:dyDescent="0.2">
      <c r="H373" s="250"/>
    </row>
    <row r="374" spans="8:8" x14ac:dyDescent="0.2">
      <c r="H374" s="250"/>
    </row>
    <row r="375" spans="8:8" x14ac:dyDescent="0.2">
      <c r="H375" s="250"/>
    </row>
    <row r="376" spans="8:8" x14ac:dyDescent="0.2">
      <c r="H376" s="250"/>
    </row>
    <row r="377" spans="8:8" x14ac:dyDescent="0.2">
      <c r="H377" s="250"/>
    </row>
    <row r="378" spans="8:8" x14ac:dyDescent="0.2">
      <c r="H378" s="250"/>
    </row>
    <row r="379" spans="8:8" x14ac:dyDescent="0.2">
      <c r="H379" s="250"/>
    </row>
    <row r="380" spans="8:8" x14ac:dyDescent="0.2">
      <c r="H380" s="250"/>
    </row>
    <row r="381" spans="8:8" x14ac:dyDescent="0.2">
      <c r="H381" s="250"/>
    </row>
    <row r="382" spans="8:8" x14ac:dyDescent="0.2">
      <c r="H382" s="250"/>
    </row>
    <row r="383" spans="8:8" x14ac:dyDescent="0.2">
      <c r="H383" s="250"/>
    </row>
    <row r="384" spans="8:8" x14ac:dyDescent="0.2">
      <c r="H384" s="250"/>
    </row>
    <row r="385" spans="8:8" x14ac:dyDescent="0.2">
      <c r="H385" s="250"/>
    </row>
    <row r="386" spans="8:8" x14ac:dyDescent="0.2">
      <c r="H386" s="250"/>
    </row>
    <row r="387" spans="8:8" x14ac:dyDescent="0.2">
      <c r="H387" s="250"/>
    </row>
    <row r="388" spans="8:8" x14ac:dyDescent="0.2">
      <c r="H388" s="250"/>
    </row>
    <row r="389" spans="8:8" x14ac:dyDescent="0.2">
      <c r="H389" s="250"/>
    </row>
    <row r="390" spans="8:8" x14ac:dyDescent="0.2">
      <c r="H390" s="250"/>
    </row>
    <row r="391" spans="8:8" x14ac:dyDescent="0.2">
      <c r="H391" s="250"/>
    </row>
    <row r="392" spans="8:8" x14ac:dyDescent="0.2">
      <c r="H392" s="250"/>
    </row>
    <row r="393" spans="8:8" x14ac:dyDescent="0.2">
      <c r="H393" s="250"/>
    </row>
    <row r="394" spans="8:8" x14ac:dyDescent="0.2">
      <c r="H394" s="250"/>
    </row>
    <row r="395" spans="8:8" x14ac:dyDescent="0.2">
      <c r="H395" s="250"/>
    </row>
    <row r="396" spans="8:8" x14ac:dyDescent="0.2">
      <c r="H396" s="250"/>
    </row>
    <row r="397" spans="8:8" x14ac:dyDescent="0.2">
      <c r="H397" s="250"/>
    </row>
    <row r="398" spans="8:8" x14ac:dyDescent="0.2">
      <c r="H398" s="250"/>
    </row>
    <row r="399" spans="8:8" x14ac:dyDescent="0.2">
      <c r="H399" s="250"/>
    </row>
    <row r="400" spans="8:8" x14ac:dyDescent="0.2">
      <c r="H400" s="250"/>
    </row>
    <row r="401" spans="8:8" x14ac:dyDescent="0.2">
      <c r="H401" s="250"/>
    </row>
    <row r="402" spans="8:8" x14ac:dyDescent="0.2">
      <c r="H402" s="250"/>
    </row>
    <row r="403" spans="8:8" x14ac:dyDescent="0.2">
      <c r="H403" s="250"/>
    </row>
    <row r="404" spans="8:8" x14ac:dyDescent="0.2">
      <c r="H404" s="250"/>
    </row>
    <row r="405" spans="8:8" x14ac:dyDescent="0.2">
      <c r="H405" s="250"/>
    </row>
    <row r="406" spans="8:8" x14ac:dyDescent="0.2">
      <c r="H406" s="250"/>
    </row>
    <row r="407" spans="8:8" x14ac:dyDescent="0.2">
      <c r="H407" s="250"/>
    </row>
    <row r="408" spans="8:8" x14ac:dyDescent="0.2">
      <c r="H408" s="250"/>
    </row>
    <row r="409" spans="8:8" x14ac:dyDescent="0.2">
      <c r="H409" s="250"/>
    </row>
    <row r="410" spans="8:8" x14ac:dyDescent="0.2">
      <c r="H410" s="250"/>
    </row>
    <row r="411" spans="8:8" x14ac:dyDescent="0.2">
      <c r="H411" s="250"/>
    </row>
    <row r="412" spans="8:8" x14ac:dyDescent="0.2">
      <c r="H412" s="250"/>
    </row>
    <row r="413" spans="8:8" x14ac:dyDescent="0.2">
      <c r="H413" s="250"/>
    </row>
    <row r="414" spans="8:8" x14ac:dyDescent="0.2">
      <c r="H414" s="250"/>
    </row>
    <row r="415" spans="8:8" x14ac:dyDescent="0.2">
      <c r="H415" s="250"/>
    </row>
    <row r="416" spans="8:8" x14ac:dyDescent="0.2">
      <c r="H416" s="250"/>
    </row>
    <row r="417" spans="8:8" x14ac:dyDescent="0.2">
      <c r="H417" s="250"/>
    </row>
    <row r="418" spans="8:8" x14ac:dyDescent="0.2">
      <c r="H418" s="250"/>
    </row>
    <row r="419" spans="8:8" x14ac:dyDescent="0.2">
      <c r="H419" s="250"/>
    </row>
    <row r="420" spans="8:8" x14ac:dyDescent="0.2">
      <c r="H420" s="250"/>
    </row>
    <row r="421" spans="8:8" x14ac:dyDescent="0.2">
      <c r="H421" s="250"/>
    </row>
    <row r="422" spans="8:8" x14ac:dyDescent="0.2">
      <c r="H422" s="250"/>
    </row>
    <row r="423" spans="8:8" x14ac:dyDescent="0.2">
      <c r="H423" s="250"/>
    </row>
    <row r="424" spans="8:8" x14ac:dyDescent="0.2">
      <c r="H424" s="250"/>
    </row>
    <row r="425" spans="8:8" x14ac:dyDescent="0.2">
      <c r="H425" s="250"/>
    </row>
    <row r="426" spans="8:8" x14ac:dyDescent="0.2">
      <c r="H426" s="250"/>
    </row>
    <row r="427" spans="8:8" x14ac:dyDescent="0.2">
      <c r="H427" s="250"/>
    </row>
    <row r="428" spans="8:8" x14ac:dyDescent="0.2">
      <c r="H428" s="250"/>
    </row>
    <row r="429" spans="8:8" x14ac:dyDescent="0.2">
      <c r="H429" s="250"/>
    </row>
    <row r="430" spans="8:8" x14ac:dyDescent="0.2">
      <c r="H430" s="250"/>
    </row>
    <row r="431" spans="8:8" x14ac:dyDescent="0.2">
      <c r="H431" s="250"/>
    </row>
    <row r="432" spans="8:8" x14ac:dyDescent="0.2">
      <c r="H432" s="250"/>
    </row>
    <row r="433" spans="8:8" x14ac:dyDescent="0.2">
      <c r="H433" s="250"/>
    </row>
    <row r="434" spans="8:8" x14ac:dyDescent="0.2">
      <c r="H434" s="250"/>
    </row>
    <row r="435" spans="8:8" x14ac:dyDescent="0.2">
      <c r="H435" s="250"/>
    </row>
    <row r="436" spans="8:8" x14ac:dyDescent="0.2">
      <c r="H436" s="250"/>
    </row>
    <row r="437" spans="8:8" x14ac:dyDescent="0.2">
      <c r="H437" s="250"/>
    </row>
    <row r="438" spans="8:8" x14ac:dyDescent="0.2">
      <c r="H438" s="250"/>
    </row>
    <row r="439" spans="8:8" x14ac:dyDescent="0.2">
      <c r="H439" s="250"/>
    </row>
    <row r="440" spans="8:8" x14ac:dyDescent="0.2">
      <c r="H440" s="250"/>
    </row>
    <row r="441" spans="8:8" x14ac:dyDescent="0.2">
      <c r="H441" s="250"/>
    </row>
    <row r="442" spans="8:8" x14ac:dyDescent="0.2">
      <c r="H442" s="250"/>
    </row>
    <row r="443" spans="8:8" x14ac:dyDescent="0.2">
      <c r="H443" s="250"/>
    </row>
    <row r="444" spans="8:8" x14ac:dyDescent="0.2">
      <c r="H444" s="250"/>
    </row>
    <row r="445" spans="8:8" x14ac:dyDescent="0.2">
      <c r="H445" s="250"/>
    </row>
    <row r="446" spans="8:8" x14ac:dyDescent="0.2">
      <c r="H446" s="250"/>
    </row>
    <row r="447" spans="8:8" x14ac:dyDescent="0.2">
      <c r="H447" s="250"/>
    </row>
    <row r="448" spans="8:8" x14ac:dyDescent="0.2">
      <c r="H448" s="250"/>
    </row>
    <row r="449" spans="8:8" x14ac:dyDescent="0.2">
      <c r="H449" s="250"/>
    </row>
    <row r="450" spans="8:8" x14ac:dyDescent="0.2">
      <c r="H450" s="250"/>
    </row>
    <row r="451" spans="8:8" x14ac:dyDescent="0.2">
      <c r="H451" s="250"/>
    </row>
    <row r="452" spans="8:8" x14ac:dyDescent="0.2">
      <c r="H452" s="250"/>
    </row>
    <row r="453" spans="8:8" x14ac:dyDescent="0.2">
      <c r="H453" s="250"/>
    </row>
    <row r="454" spans="8:8" x14ac:dyDescent="0.2">
      <c r="H454" s="250"/>
    </row>
    <row r="455" spans="8:8" x14ac:dyDescent="0.2">
      <c r="H455" s="250"/>
    </row>
    <row r="456" spans="8:8" x14ac:dyDescent="0.2">
      <c r="H456" s="250"/>
    </row>
    <row r="457" spans="8:8" x14ac:dyDescent="0.2">
      <c r="H457" s="250"/>
    </row>
    <row r="458" spans="8:8" x14ac:dyDescent="0.2">
      <c r="H458" s="250"/>
    </row>
    <row r="459" spans="8:8" x14ac:dyDescent="0.2">
      <c r="H459" s="250"/>
    </row>
    <row r="460" spans="8:8" x14ac:dyDescent="0.2">
      <c r="H460" s="250"/>
    </row>
    <row r="461" spans="8:8" x14ac:dyDescent="0.2">
      <c r="H461" s="250"/>
    </row>
    <row r="462" spans="8:8" x14ac:dyDescent="0.2">
      <c r="H462" s="250"/>
    </row>
    <row r="463" spans="8:8" x14ac:dyDescent="0.2">
      <c r="H463" s="250"/>
    </row>
    <row r="464" spans="8:8" x14ac:dyDescent="0.2">
      <c r="H464" s="250"/>
    </row>
    <row r="465" spans="8:8" x14ac:dyDescent="0.2">
      <c r="H465" s="250"/>
    </row>
    <row r="466" spans="8:8" x14ac:dyDescent="0.2">
      <c r="H466" s="250"/>
    </row>
    <row r="467" spans="8:8" x14ac:dyDescent="0.2">
      <c r="H467" s="250"/>
    </row>
    <row r="468" spans="8:8" x14ac:dyDescent="0.2">
      <c r="H468" s="250"/>
    </row>
    <row r="469" spans="8:8" x14ac:dyDescent="0.2">
      <c r="H469" s="250"/>
    </row>
    <row r="470" spans="8:8" x14ac:dyDescent="0.2">
      <c r="H470" s="250"/>
    </row>
    <row r="471" spans="8:8" x14ac:dyDescent="0.2">
      <c r="H471" s="250"/>
    </row>
    <row r="472" spans="8:8" x14ac:dyDescent="0.2">
      <c r="H472" s="250"/>
    </row>
    <row r="473" spans="8:8" x14ac:dyDescent="0.2">
      <c r="H473" s="250"/>
    </row>
    <row r="474" spans="8:8" x14ac:dyDescent="0.2">
      <c r="H474" s="250"/>
    </row>
    <row r="475" spans="8:8" x14ac:dyDescent="0.2">
      <c r="H475" s="250"/>
    </row>
    <row r="476" spans="8:8" x14ac:dyDescent="0.2">
      <c r="H476" s="250"/>
    </row>
    <row r="477" spans="8:8" x14ac:dyDescent="0.2">
      <c r="H477" s="250"/>
    </row>
    <row r="478" spans="8:8" x14ac:dyDescent="0.2">
      <c r="H478" s="250"/>
    </row>
    <row r="479" spans="8:8" x14ac:dyDescent="0.2">
      <c r="H479" s="250"/>
    </row>
    <row r="480" spans="8:8" x14ac:dyDescent="0.2">
      <c r="H480" s="250"/>
    </row>
    <row r="481" spans="8:8" x14ac:dyDescent="0.2">
      <c r="H481" s="250"/>
    </row>
    <row r="482" spans="8:8" x14ac:dyDescent="0.2">
      <c r="H482" s="250"/>
    </row>
    <row r="483" spans="8:8" x14ac:dyDescent="0.2">
      <c r="H483" s="250"/>
    </row>
    <row r="484" spans="8:8" x14ac:dyDescent="0.2">
      <c r="H484" s="250"/>
    </row>
    <row r="485" spans="8:8" x14ac:dyDescent="0.2">
      <c r="H485" s="250"/>
    </row>
    <row r="486" spans="8:8" x14ac:dyDescent="0.2">
      <c r="H486" s="250"/>
    </row>
    <row r="487" spans="8:8" x14ac:dyDescent="0.2">
      <c r="H487" s="250"/>
    </row>
    <row r="488" spans="8:8" x14ac:dyDescent="0.2">
      <c r="H488" s="250"/>
    </row>
    <row r="489" spans="8:8" x14ac:dyDescent="0.2">
      <c r="H489" s="250"/>
    </row>
    <row r="490" spans="8:8" x14ac:dyDescent="0.2">
      <c r="H490" s="250"/>
    </row>
    <row r="491" spans="8:8" x14ac:dyDescent="0.2">
      <c r="H491" s="250"/>
    </row>
    <row r="492" spans="8:8" x14ac:dyDescent="0.2">
      <c r="H492" s="250"/>
    </row>
    <row r="493" spans="8:8" x14ac:dyDescent="0.2">
      <c r="H493" s="250"/>
    </row>
    <row r="494" spans="8:8" x14ac:dyDescent="0.2">
      <c r="H494" s="250"/>
    </row>
    <row r="495" spans="8:8" x14ac:dyDescent="0.2">
      <c r="H495" s="250"/>
    </row>
    <row r="496" spans="8:8" x14ac:dyDescent="0.2">
      <c r="H496" s="250"/>
    </row>
    <row r="497" spans="8:8" x14ac:dyDescent="0.2">
      <c r="H497" s="250"/>
    </row>
    <row r="498" spans="8:8" x14ac:dyDescent="0.2">
      <c r="H498" s="250"/>
    </row>
    <row r="499" spans="8:8" x14ac:dyDescent="0.2">
      <c r="H499" s="250"/>
    </row>
    <row r="500" spans="8:8" x14ac:dyDescent="0.2">
      <c r="H500" s="250"/>
    </row>
    <row r="501" spans="8:8" x14ac:dyDescent="0.2">
      <c r="H501" s="250"/>
    </row>
    <row r="502" spans="8:8" x14ac:dyDescent="0.2">
      <c r="H502" s="250"/>
    </row>
    <row r="503" spans="8:8" x14ac:dyDescent="0.2">
      <c r="H503" s="250"/>
    </row>
    <row r="504" spans="8:8" x14ac:dyDescent="0.2">
      <c r="H504" s="250"/>
    </row>
    <row r="505" spans="8:8" x14ac:dyDescent="0.2">
      <c r="H505" s="250"/>
    </row>
    <row r="506" spans="8:8" x14ac:dyDescent="0.2">
      <c r="H506" s="250"/>
    </row>
    <row r="507" spans="8:8" x14ac:dyDescent="0.2">
      <c r="H507" s="250"/>
    </row>
    <row r="508" spans="8:8" x14ac:dyDescent="0.2">
      <c r="H508" s="250"/>
    </row>
    <row r="509" spans="8:8" x14ac:dyDescent="0.2">
      <c r="H509" s="250"/>
    </row>
    <row r="510" spans="8:8" x14ac:dyDescent="0.2">
      <c r="H510" s="250"/>
    </row>
    <row r="511" spans="8:8" x14ac:dyDescent="0.2">
      <c r="H511" s="250"/>
    </row>
    <row r="512" spans="8:8" x14ac:dyDescent="0.2">
      <c r="H512" s="250"/>
    </row>
    <row r="513" spans="8:8" x14ac:dyDescent="0.2">
      <c r="H513" s="250"/>
    </row>
    <row r="514" spans="8:8" x14ac:dyDescent="0.2">
      <c r="H514" s="250"/>
    </row>
    <row r="515" spans="8:8" x14ac:dyDescent="0.2">
      <c r="H515" s="250"/>
    </row>
    <row r="516" spans="8:8" x14ac:dyDescent="0.2">
      <c r="H516" s="250"/>
    </row>
    <row r="517" spans="8:8" x14ac:dyDescent="0.2">
      <c r="H517" s="250"/>
    </row>
    <row r="518" spans="8:8" x14ac:dyDescent="0.2">
      <c r="H518" s="250"/>
    </row>
    <row r="519" spans="8:8" x14ac:dyDescent="0.2">
      <c r="H519" s="250"/>
    </row>
    <row r="520" spans="8:8" x14ac:dyDescent="0.2">
      <c r="H520" s="250"/>
    </row>
    <row r="521" spans="8:8" x14ac:dyDescent="0.2">
      <c r="H521" s="250"/>
    </row>
    <row r="522" spans="8:8" x14ac:dyDescent="0.2">
      <c r="H522" s="250"/>
    </row>
    <row r="523" spans="8:8" x14ac:dyDescent="0.2">
      <c r="H523" s="250"/>
    </row>
    <row r="524" spans="8:8" x14ac:dyDescent="0.2">
      <c r="H524" s="250"/>
    </row>
    <row r="525" spans="8:8" x14ac:dyDescent="0.2">
      <c r="H525" s="250"/>
    </row>
    <row r="526" spans="8:8" x14ac:dyDescent="0.2">
      <c r="H526" s="250"/>
    </row>
    <row r="527" spans="8:8" x14ac:dyDescent="0.2">
      <c r="H527" s="250"/>
    </row>
    <row r="528" spans="8:8" x14ac:dyDescent="0.2">
      <c r="H528" s="250"/>
    </row>
    <row r="529" spans="8:8" x14ac:dyDescent="0.2">
      <c r="H529" s="250"/>
    </row>
    <row r="530" spans="8:8" x14ac:dyDescent="0.2">
      <c r="H530" s="250"/>
    </row>
    <row r="531" spans="8:8" x14ac:dyDescent="0.2">
      <c r="H531" s="250"/>
    </row>
    <row r="532" spans="8:8" x14ac:dyDescent="0.2">
      <c r="H532" s="250"/>
    </row>
    <row r="533" spans="8:8" x14ac:dyDescent="0.2">
      <c r="H533" s="250"/>
    </row>
    <row r="534" spans="8:8" x14ac:dyDescent="0.2">
      <c r="H534" s="250"/>
    </row>
    <row r="535" spans="8:8" x14ac:dyDescent="0.2">
      <c r="H535" s="250"/>
    </row>
    <row r="536" spans="8:8" x14ac:dyDescent="0.2">
      <c r="H536" s="250"/>
    </row>
    <row r="537" spans="8:8" x14ac:dyDescent="0.2">
      <c r="H537" s="250"/>
    </row>
    <row r="538" spans="8:8" x14ac:dyDescent="0.2">
      <c r="H538" s="250"/>
    </row>
    <row r="539" spans="8:8" x14ac:dyDescent="0.2">
      <c r="H539" s="250"/>
    </row>
    <row r="540" spans="8:8" x14ac:dyDescent="0.2">
      <c r="H540" s="250"/>
    </row>
    <row r="541" spans="8:8" x14ac:dyDescent="0.2">
      <c r="H541" s="250"/>
    </row>
    <row r="542" spans="8:8" x14ac:dyDescent="0.2">
      <c r="H542" s="250"/>
    </row>
    <row r="543" spans="8:8" x14ac:dyDescent="0.2">
      <c r="H543" s="250"/>
    </row>
    <row r="544" spans="8:8" x14ac:dyDescent="0.2">
      <c r="H544" s="250"/>
    </row>
    <row r="545" spans="8:8" x14ac:dyDescent="0.2">
      <c r="H545" s="250"/>
    </row>
    <row r="546" spans="8:8" x14ac:dyDescent="0.2">
      <c r="H546" s="250"/>
    </row>
    <row r="547" spans="8:8" x14ac:dyDescent="0.2">
      <c r="H547" s="250"/>
    </row>
    <row r="548" spans="8:8" x14ac:dyDescent="0.2">
      <c r="H548" s="250"/>
    </row>
    <row r="549" spans="8:8" x14ac:dyDescent="0.2">
      <c r="H549" s="250"/>
    </row>
    <row r="550" spans="8:8" x14ac:dyDescent="0.2">
      <c r="H550" s="250"/>
    </row>
    <row r="551" spans="8:8" x14ac:dyDescent="0.2">
      <c r="H551" s="250"/>
    </row>
    <row r="552" spans="8:8" x14ac:dyDescent="0.2">
      <c r="H552" s="250"/>
    </row>
    <row r="553" spans="8:8" x14ac:dyDescent="0.2">
      <c r="H553" s="250"/>
    </row>
    <row r="554" spans="8:8" x14ac:dyDescent="0.2">
      <c r="H554" s="250"/>
    </row>
    <row r="555" spans="8:8" x14ac:dyDescent="0.2">
      <c r="H555" s="250"/>
    </row>
    <row r="556" spans="8:8" x14ac:dyDescent="0.2">
      <c r="H556" s="250"/>
    </row>
    <row r="557" spans="8:8" x14ac:dyDescent="0.2">
      <c r="H557" s="250"/>
    </row>
    <row r="558" spans="8:8" x14ac:dyDescent="0.2">
      <c r="H558" s="250"/>
    </row>
    <row r="559" spans="8:8" x14ac:dyDescent="0.2">
      <c r="H559" s="250"/>
    </row>
    <row r="560" spans="8:8" x14ac:dyDescent="0.2">
      <c r="H560" s="250"/>
    </row>
    <row r="561" spans="8:8" x14ac:dyDescent="0.2">
      <c r="H561" s="250"/>
    </row>
    <row r="562" spans="8:8" x14ac:dyDescent="0.2">
      <c r="H562" s="250"/>
    </row>
    <row r="563" spans="8:8" x14ac:dyDescent="0.2">
      <c r="H563" s="250"/>
    </row>
    <row r="564" spans="8:8" x14ac:dyDescent="0.2">
      <c r="H564" s="250"/>
    </row>
    <row r="565" spans="8:8" x14ac:dyDescent="0.2">
      <c r="H565" s="250"/>
    </row>
    <row r="566" spans="8:8" x14ac:dyDescent="0.2">
      <c r="H566" s="250"/>
    </row>
    <row r="567" spans="8:8" x14ac:dyDescent="0.2">
      <c r="H567" s="250"/>
    </row>
    <row r="568" spans="8:8" x14ac:dyDescent="0.2">
      <c r="H568" s="250"/>
    </row>
    <row r="569" spans="8:8" x14ac:dyDescent="0.2">
      <c r="H569" s="250"/>
    </row>
    <row r="570" spans="8:8" x14ac:dyDescent="0.2">
      <c r="H570" s="250"/>
    </row>
    <row r="571" spans="8:8" x14ac:dyDescent="0.2">
      <c r="H571" s="250"/>
    </row>
    <row r="572" spans="8:8" x14ac:dyDescent="0.2">
      <c r="H572" s="250"/>
    </row>
    <row r="573" spans="8:8" x14ac:dyDescent="0.2">
      <c r="H573" s="250"/>
    </row>
    <row r="574" spans="8:8" x14ac:dyDescent="0.2">
      <c r="H574" s="250"/>
    </row>
    <row r="575" spans="8:8" x14ac:dyDescent="0.2">
      <c r="H575" s="250"/>
    </row>
    <row r="576" spans="8:8" x14ac:dyDescent="0.2">
      <c r="H576" s="250"/>
    </row>
    <row r="577" spans="8:8" x14ac:dyDescent="0.2">
      <c r="H577" s="250"/>
    </row>
    <row r="578" spans="8:8" x14ac:dyDescent="0.2">
      <c r="H578" s="250"/>
    </row>
    <row r="579" spans="8:8" x14ac:dyDescent="0.2">
      <c r="H579" s="250"/>
    </row>
    <row r="580" spans="8:8" x14ac:dyDescent="0.2">
      <c r="H580" s="250"/>
    </row>
    <row r="581" spans="8:8" x14ac:dyDescent="0.2">
      <c r="H581" s="250"/>
    </row>
    <row r="582" spans="8:8" x14ac:dyDescent="0.2">
      <c r="H582" s="250"/>
    </row>
    <row r="583" spans="8:8" x14ac:dyDescent="0.2">
      <c r="H583" s="250"/>
    </row>
    <row r="584" spans="8:8" x14ac:dyDescent="0.2">
      <c r="H584" s="250"/>
    </row>
    <row r="585" spans="8:8" x14ac:dyDescent="0.2">
      <c r="H585" s="250"/>
    </row>
    <row r="586" spans="8:8" x14ac:dyDescent="0.2">
      <c r="H586" s="250"/>
    </row>
    <row r="587" spans="8:8" x14ac:dyDescent="0.2">
      <c r="H587" s="250"/>
    </row>
    <row r="588" spans="8:8" x14ac:dyDescent="0.2">
      <c r="H588" s="250"/>
    </row>
    <row r="589" spans="8:8" x14ac:dyDescent="0.2">
      <c r="H589" s="250"/>
    </row>
    <row r="590" spans="8:8" x14ac:dyDescent="0.2">
      <c r="H590" s="250"/>
    </row>
    <row r="591" spans="8:8" x14ac:dyDescent="0.2">
      <c r="H591" s="250"/>
    </row>
    <row r="592" spans="8:8" x14ac:dyDescent="0.2">
      <c r="H592" s="250"/>
    </row>
    <row r="593" spans="8:8" x14ac:dyDescent="0.2">
      <c r="H593" s="250"/>
    </row>
    <row r="594" spans="8:8" x14ac:dyDescent="0.2">
      <c r="H594" s="250"/>
    </row>
    <row r="595" spans="8:8" x14ac:dyDescent="0.2">
      <c r="H595" s="250"/>
    </row>
    <row r="596" spans="8:8" x14ac:dyDescent="0.2">
      <c r="H596" s="250"/>
    </row>
    <row r="597" spans="8:8" x14ac:dyDescent="0.2">
      <c r="H597" s="250"/>
    </row>
    <row r="598" spans="8:8" x14ac:dyDescent="0.2">
      <c r="H598" s="250"/>
    </row>
    <row r="599" spans="8:8" x14ac:dyDescent="0.2">
      <c r="H599" s="250"/>
    </row>
    <row r="600" spans="8:8" x14ac:dyDescent="0.2">
      <c r="H600" s="250"/>
    </row>
    <row r="601" spans="8:8" x14ac:dyDescent="0.2">
      <c r="H601" s="250"/>
    </row>
    <row r="602" spans="8:8" x14ac:dyDescent="0.2">
      <c r="H602" s="250"/>
    </row>
    <row r="603" spans="8:8" x14ac:dyDescent="0.2">
      <c r="H603" s="250"/>
    </row>
    <row r="604" spans="8:8" x14ac:dyDescent="0.2">
      <c r="H604" s="250"/>
    </row>
    <row r="605" spans="8:8" x14ac:dyDescent="0.2">
      <c r="H605" s="250"/>
    </row>
    <row r="606" spans="8:8" x14ac:dyDescent="0.2">
      <c r="H606" s="250"/>
    </row>
    <row r="607" spans="8:8" x14ac:dyDescent="0.2">
      <c r="H607" s="250"/>
    </row>
    <row r="608" spans="8:8" x14ac:dyDescent="0.2">
      <c r="H608" s="250"/>
    </row>
    <row r="609" spans="8:8" x14ac:dyDescent="0.2">
      <c r="H609" s="250"/>
    </row>
    <row r="610" spans="8:8" x14ac:dyDescent="0.2">
      <c r="H610" s="250"/>
    </row>
    <row r="611" spans="8:8" x14ac:dyDescent="0.2">
      <c r="H611" s="250"/>
    </row>
    <row r="612" spans="8:8" x14ac:dyDescent="0.2">
      <c r="H612" s="250"/>
    </row>
    <row r="613" spans="8:8" x14ac:dyDescent="0.2">
      <c r="H613" s="250"/>
    </row>
    <row r="614" spans="8:8" x14ac:dyDescent="0.2">
      <c r="H614" s="250"/>
    </row>
    <row r="615" spans="8:8" x14ac:dyDescent="0.2">
      <c r="H615" s="250"/>
    </row>
    <row r="616" spans="8:8" x14ac:dyDescent="0.2">
      <c r="H616" s="250"/>
    </row>
    <row r="617" spans="8:8" x14ac:dyDescent="0.2">
      <c r="H617" s="250"/>
    </row>
    <row r="618" spans="8:8" x14ac:dyDescent="0.2">
      <c r="H618" s="250"/>
    </row>
    <row r="619" spans="8:8" x14ac:dyDescent="0.2">
      <c r="H619" s="250"/>
    </row>
    <row r="620" spans="8:8" x14ac:dyDescent="0.2">
      <c r="H620" s="250"/>
    </row>
    <row r="621" spans="8:8" x14ac:dyDescent="0.2">
      <c r="H621" s="250"/>
    </row>
    <row r="622" spans="8:8" x14ac:dyDescent="0.2">
      <c r="H622" s="250"/>
    </row>
    <row r="623" spans="8:8" x14ac:dyDescent="0.2">
      <c r="H623" s="250"/>
    </row>
    <row r="624" spans="8:8" x14ac:dyDescent="0.2">
      <c r="H624" s="250"/>
    </row>
    <row r="625" spans="8:8" x14ac:dyDescent="0.2">
      <c r="H625" s="250"/>
    </row>
    <row r="626" spans="8:8" x14ac:dyDescent="0.2">
      <c r="H626" s="250"/>
    </row>
    <row r="627" spans="8:8" x14ac:dyDescent="0.2">
      <c r="H627" s="250"/>
    </row>
    <row r="628" spans="8:8" x14ac:dyDescent="0.2">
      <c r="H628" s="250"/>
    </row>
    <row r="629" spans="8:8" x14ac:dyDescent="0.2">
      <c r="H629" s="250"/>
    </row>
    <row r="630" spans="8:8" x14ac:dyDescent="0.2">
      <c r="H630" s="250"/>
    </row>
    <row r="631" spans="8:8" x14ac:dyDescent="0.2">
      <c r="H631" s="250"/>
    </row>
    <row r="632" spans="8:8" x14ac:dyDescent="0.2">
      <c r="H632" s="250"/>
    </row>
    <row r="633" spans="8:8" x14ac:dyDescent="0.2">
      <c r="H633" s="250"/>
    </row>
    <row r="634" spans="8:8" x14ac:dyDescent="0.2">
      <c r="H634" s="250"/>
    </row>
    <row r="635" spans="8:8" x14ac:dyDescent="0.2">
      <c r="H635" s="250"/>
    </row>
    <row r="636" spans="8:8" x14ac:dyDescent="0.2">
      <c r="H636" s="250"/>
    </row>
    <row r="637" spans="8:8" x14ac:dyDescent="0.2">
      <c r="H637" s="250"/>
    </row>
    <row r="638" spans="8:8" x14ac:dyDescent="0.2">
      <c r="H638" s="250"/>
    </row>
    <row r="639" spans="8:8" x14ac:dyDescent="0.2">
      <c r="H639" s="250"/>
    </row>
    <row r="640" spans="8:8" x14ac:dyDescent="0.2">
      <c r="H640" s="250"/>
    </row>
    <row r="641" spans="8:8" x14ac:dyDescent="0.2">
      <c r="H641" s="250"/>
    </row>
    <row r="642" spans="8:8" x14ac:dyDescent="0.2">
      <c r="H642" s="250"/>
    </row>
    <row r="643" spans="8:8" x14ac:dyDescent="0.2">
      <c r="H643" s="250"/>
    </row>
    <row r="644" spans="8:8" x14ac:dyDescent="0.2">
      <c r="H644" s="250"/>
    </row>
    <row r="645" spans="8:8" x14ac:dyDescent="0.2">
      <c r="H645" s="250"/>
    </row>
    <row r="646" spans="8:8" x14ac:dyDescent="0.2">
      <c r="H646" s="250"/>
    </row>
    <row r="647" spans="8:8" x14ac:dyDescent="0.2">
      <c r="H647" s="250"/>
    </row>
    <row r="648" spans="8:8" x14ac:dyDescent="0.2">
      <c r="H648" s="250"/>
    </row>
    <row r="649" spans="8:8" x14ac:dyDescent="0.2">
      <c r="H649" s="250"/>
    </row>
    <row r="650" spans="8:8" x14ac:dyDescent="0.2">
      <c r="H650" s="250"/>
    </row>
    <row r="651" spans="8:8" x14ac:dyDescent="0.2">
      <c r="H651" s="250"/>
    </row>
    <row r="652" spans="8:8" x14ac:dyDescent="0.2">
      <c r="H652" s="250"/>
    </row>
    <row r="653" spans="8:8" x14ac:dyDescent="0.2">
      <c r="H653" s="250"/>
    </row>
    <row r="654" spans="8:8" x14ac:dyDescent="0.2">
      <c r="H654" s="250"/>
    </row>
    <row r="655" spans="8:8" x14ac:dyDescent="0.2">
      <c r="H655" s="250"/>
    </row>
    <row r="656" spans="8:8" x14ac:dyDescent="0.2">
      <c r="H656" s="250"/>
    </row>
    <row r="657" spans="8:8" x14ac:dyDescent="0.2">
      <c r="H657" s="250"/>
    </row>
    <row r="658" spans="8:8" x14ac:dyDescent="0.2">
      <c r="H658" s="250"/>
    </row>
    <row r="659" spans="8:8" x14ac:dyDescent="0.2">
      <c r="H659" s="250"/>
    </row>
    <row r="660" spans="8:8" x14ac:dyDescent="0.2">
      <c r="H660" s="250"/>
    </row>
    <row r="661" spans="8:8" x14ac:dyDescent="0.2">
      <c r="H661" s="250"/>
    </row>
    <row r="662" spans="8:8" x14ac:dyDescent="0.2">
      <c r="H662" s="250"/>
    </row>
    <row r="663" spans="8:8" x14ac:dyDescent="0.2">
      <c r="H663" s="250"/>
    </row>
    <row r="664" spans="8:8" x14ac:dyDescent="0.2">
      <c r="H664" s="250"/>
    </row>
    <row r="665" spans="8:8" x14ac:dyDescent="0.2">
      <c r="H665" s="250"/>
    </row>
    <row r="666" spans="8:8" x14ac:dyDescent="0.2">
      <c r="H666" s="250"/>
    </row>
    <row r="667" spans="8:8" x14ac:dyDescent="0.2">
      <c r="H667" s="250"/>
    </row>
    <row r="668" spans="8:8" x14ac:dyDescent="0.2">
      <c r="H668" s="250"/>
    </row>
    <row r="669" spans="8:8" x14ac:dyDescent="0.2">
      <c r="H669" s="250"/>
    </row>
    <row r="670" spans="8:8" x14ac:dyDescent="0.2">
      <c r="H670" s="250"/>
    </row>
    <row r="671" spans="8:8" x14ac:dyDescent="0.2">
      <c r="H671" s="250"/>
    </row>
    <row r="672" spans="8:8" x14ac:dyDescent="0.2">
      <c r="H672" s="250"/>
    </row>
    <row r="673" spans="8:8" x14ac:dyDescent="0.2">
      <c r="H673" s="250"/>
    </row>
    <row r="674" spans="8:8" x14ac:dyDescent="0.2">
      <c r="H674" s="250"/>
    </row>
    <row r="675" spans="8:8" x14ac:dyDescent="0.2">
      <c r="H675" s="250"/>
    </row>
    <row r="676" spans="8:8" x14ac:dyDescent="0.2">
      <c r="H676" s="250"/>
    </row>
    <row r="677" spans="8:8" x14ac:dyDescent="0.2">
      <c r="H677" s="250"/>
    </row>
    <row r="678" spans="8:8" x14ac:dyDescent="0.2">
      <c r="H678" s="250"/>
    </row>
    <row r="679" spans="8:8" x14ac:dyDescent="0.2">
      <c r="H679" s="250"/>
    </row>
    <row r="680" spans="8:8" x14ac:dyDescent="0.2">
      <c r="H680" s="250"/>
    </row>
    <row r="681" spans="8:8" x14ac:dyDescent="0.2">
      <c r="H681" s="250"/>
    </row>
    <row r="682" spans="8:8" x14ac:dyDescent="0.2">
      <c r="H682" s="250"/>
    </row>
    <row r="683" spans="8:8" x14ac:dyDescent="0.2">
      <c r="H683" s="250"/>
    </row>
    <row r="684" spans="8:8" x14ac:dyDescent="0.2">
      <c r="H684" s="250"/>
    </row>
    <row r="685" spans="8:8" x14ac:dyDescent="0.2">
      <c r="H685" s="250"/>
    </row>
    <row r="686" spans="8:8" x14ac:dyDescent="0.2">
      <c r="H686" s="250"/>
    </row>
    <row r="687" spans="8:8" x14ac:dyDescent="0.2">
      <c r="H687" s="250"/>
    </row>
    <row r="688" spans="8:8" x14ac:dyDescent="0.2">
      <c r="H688" s="250"/>
    </row>
    <row r="689" spans="8:8" x14ac:dyDescent="0.2">
      <c r="H689" s="250"/>
    </row>
    <row r="690" spans="8:8" x14ac:dyDescent="0.2">
      <c r="H690" s="250"/>
    </row>
    <row r="691" spans="8:8" x14ac:dyDescent="0.2">
      <c r="H691" s="250"/>
    </row>
    <row r="692" spans="8:8" x14ac:dyDescent="0.2">
      <c r="H692" s="250"/>
    </row>
    <row r="693" spans="8:8" x14ac:dyDescent="0.2">
      <c r="H693" s="250"/>
    </row>
    <row r="694" spans="8:8" x14ac:dyDescent="0.2">
      <c r="H694" s="250"/>
    </row>
    <row r="695" spans="8:8" x14ac:dyDescent="0.2">
      <c r="H695" s="250"/>
    </row>
    <row r="696" spans="8:8" x14ac:dyDescent="0.2">
      <c r="H696" s="250"/>
    </row>
    <row r="697" spans="8:8" x14ac:dyDescent="0.2">
      <c r="H697" s="250"/>
    </row>
    <row r="698" spans="8:8" x14ac:dyDescent="0.2">
      <c r="H698" s="250"/>
    </row>
    <row r="699" spans="8:8" x14ac:dyDescent="0.2">
      <c r="H699" s="250"/>
    </row>
    <row r="700" spans="8:8" x14ac:dyDescent="0.2">
      <c r="H700" s="250"/>
    </row>
    <row r="701" spans="8:8" x14ac:dyDescent="0.2">
      <c r="H701" s="250"/>
    </row>
    <row r="702" spans="8:8" x14ac:dyDescent="0.2">
      <c r="H702" s="250"/>
    </row>
    <row r="703" spans="8:8" x14ac:dyDescent="0.2">
      <c r="H703" s="250"/>
    </row>
    <row r="704" spans="8:8" x14ac:dyDescent="0.2">
      <c r="H704" s="250"/>
    </row>
    <row r="705" spans="8:8" x14ac:dyDescent="0.2">
      <c r="H705" s="250"/>
    </row>
    <row r="706" spans="8:8" x14ac:dyDescent="0.2">
      <c r="H706" s="250"/>
    </row>
    <row r="707" spans="8:8" x14ac:dyDescent="0.2">
      <c r="H707" s="250"/>
    </row>
    <row r="708" spans="8:8" x14ac:dyDescent="0.2">
      <c r="H708" s="250"/>
    </row>
    <row r="709" spans="8:8" x14ac:dyDescent="0.2">
      <c r="H709" s="250"/>
    </row>
    <row r="710" spans="8:8" x14ac:dyDescent="0.2">
      <c r="H710" s="250"/>
    </row>
    <row r="711" spans="8:8" x14ac:dyDescent="0.2">
      <c r="H711" s="250"/>
    </row>
    <row r="712" spans="8:8" x14ac:dyDescent="0.2">
      <c r="H712" s="250"/>
    </row>
    <row r="713" spans="8:8" x14ac:dyDescent="0.2">
      <c r="H713" s="250"/>
    </row>
    <row r="714" spans="8:8" x14ac:dyDescent="0.2">
      <c r="H714" s="250"/>
    </row>
    <row r="715" spans="8:8" x14ac:dyDescent="0.2">
      <c r="H715" s="250"/>
    </row>
    <row r="716" spans="8:8" x14ac:dyDescent="0.2">
      <c r="H716" s="250"/>
    </row>
    <row r="717" spans="8:8" x14ac:dyDescent="0.2">
      <c r="H717" s="250"/>
    </row>
    <row r="718" spans="8:8" x14ac:dyDescent="0.2">
      <c r="H718" s="250"/>
    </row>
    <row r="719" spans="8:8" x14ac:dyDescent="0.2">
      <c r="H719" s="250"/>
    </row>
    <row r="720" spans="8:8" x14ac:dyDescent="0.2">
      <c r="H720" s="250"/>
    </row>
    <row r="721" spans="8:8" x14ac:dyDescent="0.2">
      <c r="H721" s="250"/>
    </row>
  </sheetData>
  <mergeCells count="11">
    <mergeCell ref="A90:B90"/>
    <mergeCell ref="A78:B78"/>
    <mergeCell ref="A74:B74"/>
    <mergeCell ref="A66:B66"/>
    <mergeCell ref="H2:H3"/>
    <mergeCell ref="F2:F3"/>
    <mergeCell ref="A2:A3"/>
    <mergeCell ref="B2:B3"/>
    <mergeCell ref="D2:D3"/>
    <mergeCell ref="C2:C3"/>
    <mergeCell ref="G2:G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7" fitToHeight="0" orientation="portrait" horizontalDpi="4294967294" r:id="rId1"/>
  <headerFooter alignWithMargins="0">
    <oddHeader>&amp;C&amp;"Garamond,Félkövér"&amp;12 8/2018. ( VI.28.  )   számú költségvetési rendelethez
ZALAKAROS VÁROS ÉS KÖLTSÉGVETÉSI SZERVEI  
2018. ÉVI BEVÉTELEI FORRÁSONKÉNT
 &amp;R&amp;A
&amp;P.oldal
forintban</oddHeader>
  </headerFooter>
  <rowBreaks count="1" manualBreakCount="1">
    <brk id="5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90"/>
  <sheetViews>
    <sheetView topLeftCell="T46" zoomScale="70" zoomScaleNormal="70" workbookViewId="0">
      <selection activeCell="AL90" sqref="AL90"/>
    </sheetView>
  </sheetViews>
  <sheetFormatPr defaultRowHeight="12.75" x14ac:dyDescent="0.2"/>
  <cols>
    <col min="1" max="1" width="9.140625" style="337"/>
    <col min="2" max="2" width="9.5703125" style="337" customWidth="1"/>
    <col min="3" max="3" width="53.42578125" style="337" bestFit="1" customWidth="1"/>
    <col min="4" max="4" width="18" style="337" customWidth="1"/>
    <col min="5" max="6" width="17.140625" style="337" customWidth="1"/>
    <col min="7" max="8" width="13.5703125" style="337" customWidth="1"/>
    <col min="9" max="10" width="15.7109375" style="337" customWidth="1"/>
    <col min="11" max="12" width="17.140625" style="337" customWidth="1"/>
    <col min="13" max="14" width="16" style="337" customWidth="1"/>
    <col min="15" max="16" width="15.42578125" style="337" customWidth="1"/>
    <col min="17" max="18" width="12.85546875" style="337" customWidth="1"/>
    <col min="19" max="19" width="12.7109375" style="337" customWidth="1"/>
    <col min="20" max="20" width="6.28515625" style="337" customWidth="1"/>
    <col min="21" max="21" width="11.28515625" style="337" customWidth="1"/>
    <col min="22" max="22" width="52.42578125" style="337" customWidth="1"/>
    <col min="23" max="23" width="15.28515625" style="337" customWidth="1"/>
    <col min="24" max="25" width="12.28515625" style="337" customWidth="1"/>
    <col min="26" max="27" width="13.7109375" style="337" customWidth="1"/>
    <col min="28" max="29" width="13.85546875" style="337" customWidth="1"/>
    <col min="30" max="31" width="12.5703125" style="337" customWidth="1"/>
    <col min="32" max="32" width="12.42578125" style="337" customWidth="1"/>
    <col min="33" max="33" width="15.140625" style="337" customWidth="1"/>
    <col min="34" max="35" width="17" style="337" customWidth="1"/>
    <col min="36" max="36" width="14.140625" style="337" customWidth="1"/>
    <col min="37" max="37" width="18.85546875" style="337" customWidth="1"/>
    <col min="38" max="38" width="18.7109375" style="337" customWidth="1"/>
    <col min="39" max="273" width="9.140625" style="337"/>
    <col min="274" max="274" width="9.5703125" style="337" customWidth="1"/>
    <col min="275" max="275" width="53.42578125" style="337" bestFit="1" customWidth="1"/>
    <col min="276" max="276" width="17.140625" style="337" customWidth="1"/>
    <col min="277" max="277" width="13.5703125" style="337" customWidth="1"/>
    <col min="278" max="278" width="15.7109375" style="337" customWidth="1"/>
    <col min="279" max="279" width="14.7109375" style="337" customWidth="1"/>
    <col min="280" max="280" width="16" style="337" customWidth="1"/>
    <col min="281" max="281" width="15.42578125" style="337" customWidth="1"/>
    <col min="282" max="282" width="12.85546875" style="337" customWidth="1"/>
    <col min="283" max="283" width="12.7109375" style="337" customWidth="1"/>
    <col min="284" max="284" width="6.28515625" style="337" customWidth="1"/>
    <col min="285" max="285" width="11.28515625" style="337" customWidth="1"/>
    <col min="286" max="286" width="52.42578125" style="337" customWidth="1"/>
    <col min="287" max="287" width="12.28515625" style="337" customWidth="1"/>
    <col min="288" max="288" width="13.7109375" style="337" customWidth="1"/>
    <col min="289" max="289" width="11" style="337" customWidth="1"/>
    <col min="290" max="290" width="12.5703125" style="337" customWidth="1"/>
    <col min="291" max="291" width="12.42578125" style="337" customWidth="1"/>
    <col min="292" max="292" width="17" style="337" customWidth="1"/>
    <col min="293" max="293" width="14.140625" style="337" customWidth="1"/>
    <col min="294" max="294" width="18.7109375" style="337" customWidth="1"/>
    <col min="295" max="529" width="9.140625" style="337"/>
    <col min="530" max="530" width="9.5703125" style="337" customWidth="1"/>
    <col min="531" max="531" width="53.42578125" style="337" bestFit="1" customWidth="1"/>
    <col min="532" max="532" width="17.140625" style="337" customWidth="1"/>
    <col min="533" max="533" width="13.5703125" style="337" customWidth="1"/>
    <col min="534" max="534" width="15.7109375" style="337" customWidth="1"/>
    <col min="535" max="535" width="14.7109375" style="337" customWidth="1"/>
    <col min="536" max="536" width="16" style="337" customWidth="1"/>
    <col min="537" max="537" width="15.42578125" style="337" customWidth="1"/>
    <col min="538" max="538" width="12.85546875" style="337" customWidth="1"/>
    <col min="539" max="539" width="12.7109375" style="337" customWidth="1"/>
    <col min="540" max="540" width="6.28515625" style="337" customWidth="1"/>
    <col min="541" max="541" width="11.28515625" style="337" customWidth="1"/>
    <col min="542" max="542" width="52.42578125" style="337" customWidth="1"/>
    <col min="543" max="543" width="12.28515625" style="337" customWidth="1"/>
    <col min="544" max="544" width="13.7109375" style="337" customWidth="1"/>
    <col min="545" max="545" width="11" style="337" customWidth="1"/>
    <col min="546" max="546" width="12.5703125" style="337" customWidth="1"/>
    <col min="547" max="547" width="12.42578125" style="337" customWidth="1"/>
    <col min="548" max="548" width="17" style="337" customWidth="1"/>
    <col min="549" max="549" width="14.140625" style="337" customWidth="1"/>
    <col min="550" max="550" width="18.7109375" style="337" customWidth="1"/>
    <col min="551" max="785" width="9.140625" style="337"/>
    <col min="786" max="786" width="9.5703125" style="337" customWidth="1"/>
    <col min="787" max="787" width="53.42578125" style="337" bestFit="1" customWidth="1"/>
    <col min="788" max="788" width="17.140625" style="337" customWidth="1"/>
    <col min="789" max="789" width="13.5703125" style="337" customWidth="1"/>
    <col min="790" max="790" width="15.7109375" style="337" customWidth="1"/>
    <col min="791" max="791" width="14.7109375" style="337" customWidth="1"/>
    <col min="792" max="792" width="16" style="337" customWidth="1"/>
    <col min="793" max="793" width="15.42578125" style="337" customWidth="1"/>
    <col min="794" max="794" width="12.85546875" style="337" customWidth="1"/>
    <col min="795" max="795" width="12.7109375" style="337" customWidth="1"/>
    <col min="796" max="796" width="6.28515625" style="337" customWidth="1"/>
    <col min="797" max="797" width="11.28515625" style="337" customWidth="1"/>
    <col min="798" max="798" width="52.42578125" style="337" customWidth="1"/>
    <col min="799" max="799" width="12.28515625" style="337" customWidth="1"/>
    <col min="800" max="800" width="13.7109375" style="337" customWidth="1"/>
    <col min="801" max="801" width="11" style="337" customWidth="1"/>
    <col min="802" max="802" width="12.5703125" style="337" customWidth="1"/>
    <col min="803" max="803" width="12.42578125" style="337" customWidth="1"/>
    <col min="804" max="804" width="17" style="337" customWidth="1"/>
    <col min="805" max="805" width="14.140625" style="337" customWidth="1"/>
    <col min="806" max="806" width="18.7109375" style="337" customWidth="1"/>
    <col min="807" max="1041" width="9.140625" style="337"/>
    <col min="1042" max="1042" width="9.5703125" style="337" customWidth="1"/>
    <col min="1043" max="1043" width="53.42578125" style="337" bestFit="1" customWidth="1"/>
    <col min="1044" max="1044" width="17.140625" style="337" customWidth="1"/>
    <col min="1045" max="1045" width="13.5703125" style="337" customWidth="1"/>
    <col min="1046" max="1046" width="15.7109375" style="337" customWidth="1"/>
    <col min="1047" max="1047" width="14.7109375" style="337" customWidth="1"/>
    <col min="1048" max="1048" width="16" style="337" customWidth="1"/>
    <col min="1049" max="1049" width="15.42578125" style="337" customWidth="1"/>
    <col min="1050" max="1050" width="12.85546875" style="337" customWidth="1"/>
    <col min="1051" max="1051" width="12.7109375" style="337" customWidth="1"/>
    <col min="1052" max="1052" width="6.28515625" style="337" customWidth="1"/>
    <col min="1053" max="1053" width="11.28515625" style="337" customWidth="1"/>
    <col min="1054" max="1054" width="52.42578125" style="337" customWidth="1"/>
    <col min="1055" max="1055" width="12.28515625" style="337" customWidth="1"/>
    <col min="1056" max="1056" width="13.7109375" style="337" customWidth="1"/>
    <col min="1057" max="1057" width="11" style="337" customWidth="1"/>
    <col min="1058" max="1058" width="12.5703125" style="337" customWidth="1"/>
    <col min="1059" max="1059" width="12.42578125" style="337" customWidth="1"/>
    <col min="1060" max="1060" width="17" style="337" customWidth="1"/>
    <col min="1061" max="1061" width="14.140625" style="337" customWidth="1"/>
    <col min="1062" max="1062" width="18.7109375" style="337" customWidth="1"/>
    <col min="1063" max="1297" width="9.140625" style="337"/>
    <col min="1298" max="1298" width="9.5703125" style="337" customWidth="1"/>
    <col min="1299" max="1299" width="53.42578125" style="337" bestFit="1" customWidth="1"/>
    <col min="1300" max="1300" width="17.140625" style="337" customWidth="1"/>
    <col min="1301" max="1301" width="13.5703125" style="337" customWidth="1"/>
    <col min="1302" max="1302" width="15.7109375" style="337" customWidth="1"/>
    <col min="1303" max="1303" width="14.7109375" style="337" customWidth="1"/>
    <col min="1304" max="1304" width="16" style="337" customWidth="1"/>
    <col min="1305" max="1305" width="15.42578125" style="337" customWidth="1"/>
    <col min="1306" max="1306" width="12.85546875" style="337" customWidth="1"/>
    <col min="1307" max="1307" width="12.7109375" style="337" customWidth="1"/>
    <col min="1308" max="1308" width="6.28515625" style="337" customWidth="1"/>
    <col min="1309" max="1309" width="11.28515625" style="337" customWidth="1"/>
    <col min="1310" max="1310" width="52.42578125" style="337" customWidth="1"/>
    <col min="1311" max="1311" width="12.28515625" style="337" customWidth="1"/>
    <col min="1312" max="1312" width="13.7109375" style="337" customWidth="1"/>
    <col min="1313" max="1313" width="11" style="337" customWidth="1"/>
    <col min="1314" max="1314" width="12.5703125" style="337" customWidth="1"/>
    <col min="1315" max="1315" width="12.42578125" style="337" customWidth="1"/>
    <col min="1316" max="1316" width="17" style="337" customWidth="1"/>
    <col min="1317" max="1317" width="14.140625" style="337" customWidth="1"/>
    <col min="1318" max="1318" width="18.7109375" style="337" customWidth="1"/>
    <col min="1319" max="1553" width="9.140625" style="337"/>
    <col min="1554" max="1554" width="9.5703125" style="337" customWidth="1"/>
    <col min="1555" max="1555" width="53.42578125" style="337" bestFit="1" customWidth="1"/>
    <col min="1556" max="1556" width="17.140625" style="337" customWidth="1"/>
    <col min="1557" max="1557" width="13.5703125" style="337" customWidth="1"/>
    <col min="1558" max="1558" width="15.7109375" style="337" customWidth="1"/>
    <col min="1559" max="1559" width="14.7109375" style="337" customWidth="1"/>
    <col min="1560" max="1560" width="16" style="337" customWidth="1"/>
    <col min="1561" max="1561" width="15.42578125" style="337" customWidth="1"/>
    <col min="1562" max="1562" width="12.85546875" style="337" customWidth="1"/>
    <col min="1563" max="1563" width="12.7109375" style="337" customWidth="1"/>
    <col min="1564" max="1564" width="6.28515625" style="337" customWidth="1"/>
    <col min="1565" max="1565" width="11.28515625" style="337" customWidth="1"/>
    <col min="1566" max="1566" width="52.42578125" style="337" customWidth="1"/>
    <col min="1567" max="1567" width="12.28515625" style="337" customWidth="1"/>
    <col min="1568" max="1568" width="13.7109375" style="337" customWidth="1"/>
    <col min="1569" max="1569" width="11" style="337" customWidth="1"/>
    <col min="1570" max="1570" width="12.5703125" style="337" customWidth="1"/>
    <col min="1571" max="1571" width="12.42578125" style="337" customWidth="1"/>
    <col min="1572" max="1572" width="17" style="337" customWidth="1"/>
    <col min="1573" max="1573" width="14.140625" style="337" customWidth="1"/>
    <col min="1574" max="1574" width="18.7109375" style="337" customWidth="1"/>
    <col min="1575" max="1809" width="9.140625" style="337"/>
    <col min="1810" max="1810" width="9.5703125" style="337" customWidth="1"/>
    <col min="1811" max="1811" width="53.42578125" style="337" bestFit="1" customWidth="1"/>
    <col min="1812" max="1812" width="17.140625" style="337" customWidth="1"/>
    <col min="1813" max="1813" width="13.5703125" style="337" customWidth="1"/>
    <col min="1814" max="1814" width="15.7109375" style="337" customWidth="1"/>
    <col min="1815" max="1815" width="14.7109375" style="337" customWidth="1"/>
    <col min="1816" max="1816" width="16" style="337" customWidth="1"/>
    <col min="1817" max="1817" width="15.42578125" style="337" customWidth="1"/>
    <col min="1818" max="1818" width="12.85546875" style="337" customWidth="1"/>
    <col min="1819" max="1819" width="12.7109375" style="337" customWidth="1"/>
    <col min="1820" max="1820" width="6.28515625" style="337" customWidth="1"/>
    <col min="1821" max="1821" width="11.28515625" style="337" customWidth="1"/>
    <col min="1822" max="1822" width="52.42578125" style="337" customWidth="1"/>
    <col min="1823" max="1823" width="12.28515625" style="337" customWidth="1"/>
    <col min="1824" max="1824" width="13.7109375" style="337" customWidth="1"/>
    <col min="1825" max="1825" width="11" style="337" customWidth="1"/>
    <col min="1826" max="1826" width="12.5703125" style="337" customWidth="1"/>
    <col min="1827" max="1827" width="12.42578125" style="337" customWidth="1"/>
    <col min="1828" max="1828" width="17" style="337" customWidth="1"/>
    <col min="1829" max="1829" width="14.140625" style="337" customWidth="1"/>
    <col min="1830" max="1830" width="18.7109375" style="337" customWidth="1"/>
    <col min="1831" max="2065" width="9.140625" style="337"/>
    <col min="2066" max="2066" width="9.5703125" style="337" customWidth="1"/>
    <col min="2067" max="2067" width="53.42578125" style="337" bestFit="1" customWidth="1"/>
    <col min="2068" max="2068" width="17.140625" style="337" customWidth="1"/>
    <col min="2069" max="2069" width="13.5703125" style="337" customWidth="1"/>
    <col min="2070" max="2070" width="15.7109375" style="337" customWidth="1"/>
    <col min="2071" max="2071" width="14.7109375" style="337" customWidth="1"/>
    <col min="2072" max="2072" width="16" style="337" customWidth="1"/>
    <col min="2073" max="2073" width="15.42578125" style="337" customWidth="1"/>
    <col min="2074" max="2074" width="12.85546875" style="337" customWidth="1"/>
    <col min="2075" max="2075" width="12.7109375" style="337" customWidth="1"/>
    <col min="2076" max="2076" width="6.28515625" style="337" customWidth="1"/>
    <col min="2077" max="2077" width="11.28515625" style="337" customWidth="1"/>
    <col min="2078" max="2078" width="52.42578125" style="337" customWidth="1"/>
    <col min="2079" max="2079" width="12.28515625" style="337" customWidth="1"/>
    <col min="2080" max="2080" width="13.7109375" style="337" customWidth="1"/>
    <col min="2081" max="2081" width="11" style="337" customWidth="1"/>
    <col min="2082" max="2082" width="12.5703125" style="337" customWidth="1"/>
    <col min="2083" max="2083" width="12.42578125" style="337" customWidth="1"/>
    <col min="2084" max="2084" width="17" style="337" customWidth="1"/>
    <col min="2085" max="2085" width="14.140625" style="337" customWidth="1"/>
    <col min="2086" max="2086" width="18.7109375" style="337" customWidth="1"/>
    <col min="2087" max="2321" width="9.140625" style="337"/>
    <col min="2322" max="2322" width="9.5703125" style="337" customWidth="1"/>
    <col min="2323" max="2323" width="53.42578125" style="337" bestFit="1" customWidth="1"/>
    <col min="2324" max="2324" width="17.140625" style="337" customWidth="1"/>
    <col min="2325" max="2325" width="13.5703125" style="337" customWidth="1"/>
    <col min="2326" max="2326" width="15.7109375" style="337" customWidth="1"/>
    <col min="2327" max="2327" width="14.7109375" style="337" customWidth="1"/>
    <col min="2328" max="2328" width="16" style="337" customWidth="1"/>
    <col min="2329" max="2329" width="15.42578125" style="337" customWidth="1"/>
    <col min="2330" max="2330" width="12.85546875" style="337" customWidth="1"/>
    <col min="2331" max="2331" width="12.7109375" style="337" customWidth="1"/>
    <col min="2332" max="2332" width="6.28515625" style="337" customWidth="1"/>
    <col min="2333" max="2333" width="11.28515625" style="337" customWidth="1"/>
    <col min="2334" max="2334" width="52.42578125" style="337" customWidth="1"/>
    <col min="2335" max="2335" width="12.28515625" style="337" customWidth="1"/>
    <col min="2336" max="2336" width="13.7109375" style="337" customWidth="1"/>
    <col min="2337" max="2337" width="11" style="337" customWidth="1"/>
    <col min="2338" max="2338" width="12.5703125" style="337" customWidth="1"/>
    <col min="2339" max="2339" width="12.42578125" style="337" customWidth="1"/>
    <col min="2340" max="2340" width="17" style="337" customWidth="1"/>
    <col min="2341" max="2341" width="14.140625" style="337" customWidth="1"/>
    <col min="2342" max="2342" width="18.7109375" style="337" customWidth="1"/>
    <col min="2343" max="2577" width="9.140625" style="337"/>
    <col min="2578" max="2578" width="9.5703125" style="337" customWidth="1"/>
    <col min="2579" max="2579" width="53.42578125" style="337" bestFit="1" customWidth="1"/>
    <col min="2580" max="2580" width="17.140625" style="337" customWidth="1"/>
    <col min="2581" max="2581" width="13.5703125" style="337" customWidth="1"/>
    <col min="2582" max="2582" width="15.7109375" style="337" customWidth="1"/>
    <col min="2583" max="2583" width="14.7109375" style="337" customWidth="1"/>
    <col min="2584" max="2584" width="16" style="337" customWidth="1"/>
    <col min="2585" max="2585" width="15.42578125" style="337" customWidth="1"/>
    <col min="2586" max="2586" width="12.85546875" style="337" customWidth="1"/>
    <col min="2587" max="2587" width="12.7109375" style="337" customWidth="1"/>
    <col min="2588" max="2588" width="6.28515625" style="337" customWidth="1"/>
    <col min="2589" max="2589" width="11.28515625" style="337" customWidth="1"/>
    <col min="2590" max="2590" width="52.42578125" style="337" customWidth="1"/>
    <col min="2591" max="2591" width="12.28515625" style="337" customWidth="1"/>
    <col min="2592" max="2592" width="13.7109375" style="337" customWidth="1"/>
    <col min="2593" max="2593" width="11" style="337" customWidth="1"/>
    <col min="2594" max="2594" width="12.5703125" style="337" customWidth="1"/>
    <col min="2595" max="2595" width="12.42578125" style="337" customWidth="1"/>
    <col min="2596" max="2596" width="17" style="337" customWidth="1"/>
    <col min="2597" max="2597" width="14.140625" style="337" customWidth="1"/>
    <col min="2598" max="2598" width="18.7109375" style="337" customWidth="1"/>
    <col min="2599" max="2833" width="9.140625" style="337"/>
    <col min="2834" max="2834" width="9.5703125" style="337" customWidth="1"/>
    <col min="2835" max="2835" width="53.42578125" style="337" bestFit="1" customWidth="1"/>
    <col min="2836" max="2836" width="17.140625" style="337" customWidth="1"/>
    <col min="2837" max="2837" width="13.5703125" style="337" customWidth="1"/>
    <col min="2838" max="2838" width="15.7109375" style="337" customWidth="1"/>
    <col min="2839" max="2839" width="14.7109375" style="337" customWidth="1"/>
    <col min="2840" max="2840" width="16" style="337" customWidth="1"/>
    <col min="2841" max="2841" width="15.42578125" style="337" customWidth="1"/>
    <col min="2842" max="2842" width="12.85546875" style="337" customWidth="1"/>
    <col min="2843" max="2843" width="12.7109375" style="337" customWidth="1"/>
    <col min="2844" max="2844" width="6.28515625" style="337" customWidth="1"/>
    <col min="2845" max="2845" width="11.28515625" style="337" customWidth="1"/>
    <col min="2846" max="2846" width="52.42578125" style="337" customWidth="1"/>
    <col min="2847" max="2847" width="12.28515625" style="337" customWidth="1"/>
    <col min="2848" max="2848" width="13.7109375" style="337" customWidth="1"/>
    <col min="2849" max="2849" width="11" style="337" customWidth="1"/>
    <col min="2850" max="2850" width="12.5703125" style="337" customWidth="1"/>
    <col min="2851" max="2851" width="12.42578125" style="337" customWidth="1"/>
    <col min="2852" max="2852" width="17" style="337" customWidth="1"/>
    <col min="2853" max="2853" width="14.140625" style="337" customWidth="1"/>
    <col min="2854" max="2854" width="18.7109375" style="337" customWidth="1"/>
    <col min="2855" max="3089" width="9.140625" style="337"/>
    <col min="3090" max="3090" width="9.5703125" style="337" customWidth="1"/>
    <col min="3091" max="3091" width="53.42578125" style="337" bestFit="1" customWidth="1"/>
    <col min="3092" max="3092" width="17.140625" style="337" customWidth="1"/>
    <col min="3093" max="3093" width="13.5703125" style="337" customWidth="1"/>
    <col min="3094" max="3094" width="15.7109375" style="337" customWidth="1"/>
    <col min="3095" max="3095" width="14.7109375" style="337" customWidth="1"/>
    <col min="3096" max="3096" width="16" style="337" customWidth="1"/>
    <col min="3097" max="3097" width="15.42578125" style="337" customWidth="1"/>
    <col min="3098" max="3098" width="12.85546875" style="337" customWidth="1"/>
    <col min="3099" max="3099" width="12.7109375" style="337" customWidth="1"/>
    <col min="3100" max="3100" width="6.28515625" style="337" customWidth="1"/>
    <col min="3101" max="3101" width="11.28515625" style="337" customWidth="1"/>
    <col min="3102" max="3102" width="52.42578125" style="337" customWidth="1"/>
    <col min="3103" max="3103" width="12.28515625" style="337" customWidth="1"/>
    <col min="3104" max="3104" width="13.7109375" style="337" customWidth="1"/>
    <col min="3105" max="3105" width="11" style="337" customWidth="1"/>
    <col min="3106" max="3106" width="12.5703125" style="337" customWidth="1"/>
    <col min="3107" max="3107" width="12.42578125" style="337" customWidth="1"/>
    <col min="3108" max="3108" width="17" style="337" customWidth="1"/>
    <col min="3109" max="3109" width="14.140625" style="337" customWidth="1"/>
    <col min="3110" max="3110" width="18.7109375" style="337" customWidth="1"/>
    <col min="3111" max="3345" width="9.140625" style="337"/>
    <col min="3346" max="3346" width="9.5703125" style="337" customWidth="1"/>
    <col min="3347" max="3347" width="53.42578125" style="337" bestFit="1" customWidth="1"/>
    <col min="3348" max="3348" width="17.140625" style="337" customWidth="1"/>
    <col min="3349" max="3349" width="13.5703125" style="337" customWidth="1"/>
    <col min="3350" max="3350" width="15.7109375" style="337" customWidth="1"/>
    <col min="3351" max="3351" width="14.7109375" style="337" customWidth="1"/>
    <col min="3352" max="3352" width="16" style="337" customWidth="1"/>
    <col min="3353" max="3353" width="15.42578125" style="337" customWidth="1"/>
    <col min="3354" max="3354" width="12.85546875" style="337" customWidth="1"/>
    <col min="3355" max="3355" width="12.7109375" style="337" customWidth="1"/>
    <col min="3356" max="3356" width="6.28515625" style="337" customWidth="1"/>
    <col min="3357" max="3357" width="11.28515625" style="337" customWidth="1"/>
    <col min="3358" max="3358" width="52.42578125" style="337" customWidth="1"/>
    <col min="3359" max="3359" width="12.28515625" style="337" customWidth="1"/>
    <col min="3360" max="3360" width="13.7109375" style="337" customWidth="1"/>
    <col min="3361" max="3361" width="11" style="337" customWidth="1"/>
    <col min="3362" max="3362" width="12.5703125" style="337" customWidth="1"/>
    <col min="3363" max="3363" width="12.42578125" style="337" customWidth="1"/>
    <col min="3364" max="3364" width="17" style="337" customWidth="1"/>
    <col min="3365" max="3365" width="14.140625" style="337" customWidth="1"/>
    <col min="3366" max="3366" width="18.7109375" style="337" customWidth="1"/>
    <col min="3367" max="3601" width="9.140625" style="337"/>
    <col min="3602" max="3602" width="9.5703125" style="337" customWidth="1"/>
    <col min="3603" max="3603" width="53.42578125" style="337" bestFit="1" customWidth="1"/>
    <col min="3604" max="3604" width="17.140625" style="337" customWidth="1"/>
    <col min="3605" max="3605" width="13.5703125" style="337" customWidth="1"/>
    <col min="3606" max="3606" width="15.7109375" style="337" customWidth="1"/>
    <col min="3607" max="3607" width="14.7109375" style="337" customWidth="1"/>
    <col min="3608" max="3608" width="16" style="337" customWidth="1"/>
    <col min="3609" max="3609" width="15.42578125" style="337" customWidth="1"/>
    <col min="3610" max="3610" width="12.85546875" style="337" customWidth="1"/>
    <col min="3611" max="3611" width="12.7109375" style="337" customWidth="1"/>
    <col min="3612" max="3612" width="6.28515625" style="337" customWidth="1"/>
    <col min="3613" max="3613" width="11.28515625" style="337" customWidth="1"/>
    <col min="3614" max="3614" width="52.42578125" style="337" customWidth="1"/>
    <col min="3615" max="3615" width="12.28515625" style="337" customWidth="1"/>
    <col min="3616" max="3616" width="13.7109375" style="337" customWidth="1"/>
    <col min="3617" max="3617" width="11" style="337" customWidth="1"/>
    <col min="3618" max="3618" width="12.5703125" style="337" customWidth="1"/>
    <col min="3619" max="3619" width="12.42578125" style="337" customWidth="1"/>
    <col min="3620" max="3620" width="17" style="337" customWidth="1"/>
    <col min="3621" max="3621" width="14.140625" style="337" customWidth="1"/>
    <col min="3622" max="3622" width="18.7109375" style="337" customWidth="1"/>
    <col min="3623" max="3857" width="9.140625" style="337"/>
    <col min="3858" max="3858" width="9.5703125" style="337" customWidth="1"/>
    <col min="3859" max="3859" width="53.42578125" style="337" bestFit="1" customWidth="1"/>
    <col min="3860" max="3860" width="17.140625" style="337" customWidth="1"/>
    <col min="3861" max="3861" width="13.5703125" style="337" customWidth="1"/>
    <col min="3862" max="3862" width="15.7109375" style="337" customWidth="1"/>
    <col min="3863" max="3863" width="14.7109375" style="337" customWidth="1"/>
    <col min="3864" max="3864" width="16" style="337" customWidth="1"/>
    <col min="3865" max="3865" width="15.42578125" style="337" customWidth="1"/>
    <col min="3866" max="3866" width="12.85546875" style="337" customWidth="1"/>
    <col min="3867" max="3867" width="12.7109375" style="337" customWidth="1"/>
    <col min="3868" max="3868" width="6.28515625" style="337" customWidth="1"/>
    <col min="3869" max="3869" width="11.28515625" style="337" customWidth="1"/>
    <col min="3870" max="3870" width="52.42578125" style="337" customWidth="1"/>
    <col min="3871" max="3871" width="12.28515625" style="337" customWidth="1"/>
    <col min="3872" max="3872" width="13.7109375" style="337" customWidth="1"/>
    <col min="3873" max="3873" width="11" style="337" customWidth="1"/>
    <col min="3874" max="3874" width="12.5703125" style="337" customWidth="1"/>
    <col min="3875" max="3875" width="12.42578125" style="337" customWidth="1"/>
    <col min="3876" max="3876" width="17" style="337" customWidth="1"/>
    <col min="3877" max="3877" width="14.140625" style="337" customWidth="1"/>
    <col min="3878" max="3878" width="18.7109375" style="337" customWidth="1"/>
    <col min="3879" max="4113" width="9.140625" style="337"/>
    <col min="4114" max="4114" width="9.5703125" style="337" customWidth="1"/>
    <col min="4115" max="4115" width="53.42578125" style="337" bestFit="1" customWidth="1"/>
    <col min="4116" max="4116" width="17.140625" style="337" customWidth="1"/>
    <col min="4117" max="4117" width="13.5703125" style="337" customWidth="1"/>
    <col min="4118" max="4118" width="15.7109375" style="337" customWidth="1"/>
    <col min="4119" max="4119" width="14.7109375" style="337" customWidth="1"/>
    <col min="4120" max="4120" width="16" style="337" customWidth="1"/>
    <col min="4121" max="4121" width="15.42578125" style="337" customWidth="1"/>
    <col min="4122" max="4122" width="12.85546875" style="337" customWidth="1"/>
    <col min="4123" max="4123" width="12.7109375" style="337" customWidth="1"/>
    <col min="4124" max="4124" width="6.28515625" style="337" customWidth="1"/>
    <col min="4125" max="4125" width="11.28515625" style="337" customWidth="1"/>
    <col min="4126" max="4126" width="52.42578125" style="337" customWidth="1"/>
    <col min="4127" max="4127" width="12.28515625" style="337" customWidth="1"/>
    <col min="4128" max="4128" width="13.7109375" style="337" customWidth="1"/>
    <col min="4129" max="4129" width="11" style="337" customWidth="1"/>
    <col min="4130" max="4130" width="12.5703125" style="337" customWidth="1"/>
    <col min="4131" max="4131" width="12.42578125" style="337" customWidth="1"/>
    <col min="4132" max="4132" width="17" style="337" customWidth="1"/>
    <col min="4133" max="4133" width="14.140625" style="337" customWidth="1"/>
    <col min="4134" max="4134" width="18.7109375" style="337" customWidth="1"/>
    <col min="4135" max="4369" width="9.140625" style="337"/>
    <col min="4370" max="4370" width="9.5703125" style="337" customWidth="1"/>
    <col min="4371" max="4371" width="53.42578125" style="337" bestFit="1" customWidth="1"/>
    <col min="4372" max="4372" width="17.140625" style="337" customWidth="1"/>
    <col min="4373" max="4373" width="13.5703125" style="337" customWidth="1"/>
    <col min="4374" max="4374" width="15.7109375" style="337" customWidth="1"/>
    <col min="4375" max="4375" width="14.7109375" style="337" customWidth="1"/>
    <col min="4376" max="4376" width="16" style="337" customWidth="1"/>
    <col min="4377" max="4377" width="15.42578125" style="337" customWidth="1"/>
    <col min="4378" max="4378" width="12.85546875" style="337" customWidth="1"/>
    <col min="4379" max="4379" width="12.7109375" style="337" customWidth="1"/>
    <col min="4380" max="4380" width="6.28515625" style="337" customWidth="1"/>
    <col min="4381" max="4381" width="11.28515625" style="337" customWidth="1"/>
    <col min="4382" max="4382" width="52.42578125" style="337" customWidth="1"/>
    <col min="4383" max="4383" width="12.28515625" style="337" customWidth="1"/>
    <col min="4384" max="4384" width="13.7109375" style="337" customWidth="1"/>
    <col min="4385" max="4385" width="11" style="337" customWidth="1"/>
    <col min="4386" max="4386" width="12.5703125" style="337" customWidth="1"/>
    <col min="4387" max="4387" width="12.42578125" style="337" customWidth="1"/>
    <col min="4388" max="4388" width="17" style="337" customWidth="1"/>
    <col min="4389" max="4389" width="14.140625" style="337" customWidth="1"/>
    <col min="4390" max="4390" width="18.7109375" style="337" customWidth="1"/>
    <col min="4391" max="4625" width="9.140625" style="337"/>
    <col min="4626" max="4626" width="9.5703125" style="337" customWidth="1"/>
    <col min="4627" max="4627" width="53.42578125" style="337" bestFit="1" customWidth="1"/>
    <col min="4628" max="4628" width="17.140625" style="337" customWidth="1"/>
    <col min="4629" max="4629" width="13.5703125" style="337" customWidth="1"/>
    <col min="4630" max="4630" width="15.7109375" style="337" customWidth="1"/>
    <col min="4631" max="4631" width="14.7109375" style="337" customWidth="1"/>
    <col min="4632" max="4632" width="16" style="337" customWidth="1"/>
    <col min="4633" max="4633" width="15.42578125" style="337" customWidth="1"/>
    <col min="4634" max="4634" width="12.85546875" style="337" customWidth="1"/>
    <col min="4635" max="4635" width="12.7109375" style="337" customWidth="1"/>
    <col min="4636" max="4636" width="6.28515625" style="337" customWidth="1"/>
    <col min="4637" max="4637" width="11.28515625" style="337" customWidth="1"/>
    <col min="4638" max="4638" width="52.42578125" style="337" customWidth="1"/>
    <col min="4639" max="4639" width="12.28515625" style="337" customWidth="1"/>
    <col min="4640" max="4640" width="13.7109375" style="337" customWidth="1"/>
    <col min="4641" max="4641" width="11" style="337" customWidth="1"/>
    <col min="4642" max="4642" width="12.5703125" style="337" customWidth="1"/>
    <col min="4643" max="4643" width="12.42578125" style="337" customWidth="1"/>
    <col min="4644" max="4644" width="17" style="337" customWidth="1"/>
    <col min="4645" max="4645" width="14.140625" style="337" customWidth="1"/>
    <col min="4646" max="4646" width="18.7109375" style="337" customWidth="1"/>
    <col min="4647" max="4881" width="9.140625" style="337"/>
    <col min="4882" max="4882" width="9.5703125" style="337" customWidth="1"/>
    <col min="4883" max="4883" width="53.42578125" style="337" bestFit="1" customWidth="1"/>
    <col min="4884" max="4884" width="17.140625" style="337" customWidth="1"/>
    <col min="4885" max="4885" width="13.5703125" style="337" customWidth="1"/>
    <col min="4886" max="4886" width="15.7109375" style="337" customWidth="1"/>
    <col min="4887" max="4887" width="14.7109375" style="337" customWidth="1"/>
    <col min="4888" max="4888" width="16" style="337" customWidth="1"/>
    <col min="4889" max="4889" width="15.42578125" style="337" customWidth="1"/>
    <col min="4890" max="4890" width="12.85546875" style="337" customWidth="1"/>
    <col min="4891" max="4891" width="12.7109375" style="337" customWidth="1"/>
    <col min="4892" max="4892" width="6.28515625" style="337" customWidth="1"/>
    <col min="4893" max="4893" width="11.28515625" style="337" customWidth="1"/>
    <col min="4894" max="4894" width="52.42578125" style="337" customWidth="1"/>
    <col min="4895" max="4895" width="12.28515625" style="337" customWidth="1"/>
    <col min="4896" max="4896" width="13.7109375" style="337" customWidth="1"/>
    <col min="4897" max="4897" width="11" style="337" customWidth="1"/>
    <col min="4898" max="4898" width="12.5703125" style="337" customWidth="1"/>
    <col min="4899" max="4899" width="12.42578125" style="337" customWidth="1"/>
    <col min="4900" max="4900" width="17" style="337" customWidth="1"/>
    <col min="4901" max="4901" width="14.140625" style="337" customWidth="1"/>
    <col min="4902" max="4902" width="18.7109375" style="337" customWidth="1"/>
    <col min="4903" max="5137" width="9.140625" style="337"/>
    <col min="5138" max="5138" width="9.5703125" style="337" customWidth="1"/>
    <col min="5139" max="5139" width="53.42578125" style="337" bestFit="1" customWidth="1"/>
    <col min="5140" max="5140" width="17.140625" style="337" customWidth="1"/>
    <col min="5141" max="5141" width="13.5703125" style="337" customWidth="1"/>
    <col min="5142" max="5142" width="15.7109375" style="337" customWidth="1"/>
    <col min="5143" max="5143" width="14.7109375" style="337" customWidth="1"/>
    <col min="5144" max="5144" width="16" style="337" customWidth="1"/>
    <col min="5145" max="5145" width="15.42578125" style="337" customWidth="1"/>
    <col min="5146" max="5146" width="12.85546875" style="337" customWidth="1"/>
    <col min="5147" max="5147" width="12.7109375" style="337" customWidth="1"/>
    <col min="5148" max="5148" width="6.28515625" style="337" customWidth="1"/>
    <col min="5149" max="5149" width="11.28515625" style="337" customWidth="1"/>
    <col min="5150" max="5150" width="52.42578125" style="337" customWidth="1"/>
    <col min="5151" max="5151" width="12.28515625" style="337" customWidth="1"/>
    <col min="5152" max="5152" width="13.7109375" style="337" customWidth="1"/>
    <col min="5153" max="5153" width="11" style="337" customWidth="1"/>
    <col min="5154" max="5154" width="12.5703125" style="337" customWidth="1"/>
    <col min="5155" max="5155" width="12.42578125" style="337" customWidth="1"/>
    <col min="5156" max="5156" width="17" style="337" customWidth="1"/>
    <col min="5157" max="5157" width="14.140625" style="337" customWidth="1"/>
    <col min="5158" max="5158" width="18.7109375" style="337" customWidth="1"/>
    <col min="5159" max="5393" width="9.140625" style="337"/>
    <col min="5394" max="5394" width="9.5703125" style="337" customWidth="1"/>
    <col min="5395" max="5395" width="53.42578125" style="337" bestFit="1" customWidth="1"/>
    <col min="5396" max="5396" width="17.140625" style="337" customWidth="1"/>
    <col min="5397" max="5397" width="13.5703125" style="337" customWidth="1"/>
    <col min="5398" max="5398" width="15.7109375" style="337" customWidth="1"/>
    <col min="5399" max="5399" width="14.7109375" style="337" customWidth="1"/>
    <col min="5400" max="5400" width="16" style="337" customWidth="1"/>
    <col min="5401" max="5401" width="15.42578125" style="337" customWidth="1"/>
    <col min="5402" max="5402" width="12.85546875" style="337" customWidth="1"/>
    <col min="5403" max="5403" width="12.7109375" style="337" customWidth="1"/>
    <col min="5404" max="5404" width="6.28515625" style="337" customWidth="1"/>
    <col min="5405" max="5405" width="11.28515625" style="337" customWidth="1"/>
    <col min="5406" max="5406" width="52.42578125" style="337" customWidth="1"/>
    <col min="5407" max="5407" width="12.28515625" style="337" customWidth="1"/>
    <col min="5408" max="5408" width="13.7109375" style="337" customWidth="1"/>
    <col min="5409" max="5409" width="11" style="337" customWidth="1"/>
    <col min="5410" max="5410" width="12.5703125" style="337" customWidth="1"/>
    <col min="5411" max="5411" width="12.42578125" style="337" customWidth="1"/>
    <col min="5412" max="5412" width="17" style="337" customWidth="1"/>
    <col min="5413" max="5413" width="14.140625" style="337" customWidth="1"/>
    <col min="5414" max="5414" width="18.7109375" style="337" customWidth="1"/>
    <col min="5415" max="5649" width="9.140625" style="337"/>
    <col min="5650" max="5650" width="9.5703125" style="337" customWidth="1"/>
    <col min="5651" max="5651" width="53.42578125" style="337" bestFit="1" customWidth="1"/>
    <col min="5652" max="5652" width="17.140625" style="337" customWidth="1"/>
    <col min="5653" max="5653" width="13.5703125" style="337" customWidth="1"/>
    <col min="5654" max="5654" width="15.7109375" style="337" customWidth="1"/>
    <col min="5655" max="5655" width="14.7109375" style="337" customWidth="1"/>
    <col min="5656" max="5656" width="16" style="337" customWidth="1"/>
    <col min="5657" max="5657" width="15.42578125" style="337" customWidth="1"/>
    <col min="5658" max="5658" width="12.85546875" style="337" customWidth="1"/>
    <col min="5659" max="5659" width="12.7109375" style="337" customWidth="1"/>
    <col min="5660" max="5660" width="6.28515625" style="337" customWidth="1"/>
    <col min="5661" max="5661" width="11.28515625" style="337" customWidth="1"/>
    <col min="5662" max="5662" width="52.42578125" style="337" customWidth="1"/>
    <col min="5663" max="5663" width="12.28515625" style="337" customWidth="1"/>
    <col min="5664" max="5664" width="13.7109375" style="337" customWidth="1"/>
    <col min="5665" max="5665" width="11" style="337" customWidth="1"/>
    <col min="5666" max="5666" width="12.5703125" style="337" customWidth="1"/>
    <col min="5667" max="5667" width="12.42578125" style="337" customWidth="1"/>
    <col min="5668" max="5668" width="17" style="337" customWidth="1"/>
    <col min="5669" max="5669" width="14.140625" style="337" customWidth="1"/>
    <col min="5670" max="5670" width="18.7109375" style="337" customWidth="1"/>
    <col min="5671" max="5905" width="9.140625" style="337"/>
    <col min="5906" max="5906" width="9.5703125" style="337" customWidth="1"/>
    <col min="5907" max="5907" width="53.42578125" style="337" bestFit="1" customWidth="1"/>
    <col min="5908" max="5908" width="17.140625" style="337" customWidth="1"/>
    <col min="5909" max="5909" width="13.5703125" style="337" customWidth="1"/>
    <col min="5910" max="5910" width="15.7109375" style="337" customWidth="1"/>
    <col min="5911" max="5911" width="14.7109375" style="337" customWidth="1"/>
    <col min="5912" max="5912" width="16" style="337" customWidth="1"/>
    <col min="5913" max="5913" width="15.42578125" style="337" customWidth="1"/>
    <col min="5914" max="5914" width="12.85546875" style="337" customWidth="1"/>
    <col min="5915" max="5915" width="12.7109375" style="337" customWidth="1"/>
    <col min="5916" max="5916" width="6.28515625" style="337" customWidth="1"/>
    <col min="5917" max="5917" width="11.28515625" style="337" customWidth="1"/>
    <col min="5918" max="5918" width="52.42578125" style="337" customWidth="1"/>
    <col min="5919" max="5919" width="12.28515625" style="337" customWidth="1"/>
    <col min="5920" max="5920" width="13.7109375" style="337" customWidth="1"/>
    <col min="5921" max="5921" width="11" style="337" customWidth="1"/>
    <col min="5922" max="5922" width="12.5703125" style="337" customWidth="1"/>
    <col min="5923" max="5923" width="12.42578125" style="337" customWidth="1"/>
    <col min="5924" max="5924" width="17" style="337" customWidth="1"/>
    <col min="5925" max="5925" width="14.140625" style="337" customWidth="1"/>
    <col min="5926" max="5926" width="18.7109375" style="337" customWidth="1"/>
    <col min="5927" max="6161" width="9.140625" style="337"/>
    <col min="6162" max="6162" width="9.5703125" style="337" customWidth="1"/>
    <col min="6163" max="6163" width="53.42578125" style="337" bestFit="1" customWidth="1"/>
    <col min="6164" max="6164" width="17.140625" style="337" customWidth="1"/>
    <col min="6165" max="6165" width="13.5703125" style="337" customWidth="1"/>
    <col min="6166" max="6166" width="15.7109375" style="337" customWidth="1"/>
    <col min="6167" max="6167" width="14.7109375" style="337" customWidth="1"/>
    <col min="6168" max="6168" width="16" style="337" customWidth="1"/>
    <col min="6169" max="6169" width="15.42578125" style="337" customWidth="1"/>
    <col min="6170" max="6170" width="12.85546875" style="337" customWidth="1"/>
    <col min="6171" max="6171" width="12.7109375" style="337" customWidth="1"/>
    <col min="6172" max="6172" width="6.28515625" style="337" customWidth="1"/>
    <col min="6173" max="6173" width="11.28515625" style="337" customWidth="1"/>
    <col min="6174" max="6174" width="52.42578125" style="337" customWidth="1"/>
    <col min="6175" max="6175" width="12.28515625" style="337" customWidth="1"/>
    <col min="6176" max="6176" width="13.7109375" style="337" customWidth="1"/>
    <col min="6177" max="6177" width="11" style="337" customWidth="1"/>
    <col min="6178" max="6178" width="12.5703125" style="337" customWidth="1"/>
    <col min="6179" max="6179" width="12.42578125" style="337" customWidth="1"/>
    <col min="6180" max="6180" width="17" style="337" customWidth="1"/>
    <col min="6181" max="6181" width="14.140625" style="337" customWidth="1"/>
    <col min="6182" max="6182" width="18.7109375" style="337" customWidth="1"/>
    <col min="6183" max="6417" width="9.140625" style="337"/>
    <col min="6418" max="6418" width="9.5703125" style="337" customWidth="1"/>
    <col min="6419" max="6419" width="53.42578125" style="337" bestFit="1" customWidth="1"/>
    <col min="6420" max="6420" width="17.140625" style="337" customWidth="1"/>
    <col min="6421" max="6421" width="13.5703125" style="337" customWidth="1"/>
    <col min="6422" max="6422" width="15.7109375" style="337" customWidth="1"/>
    <col min="6423" max="6423" width="14.7109375" style="337" customWidth="1"/>
    <col min="6424" max="6424" width="16" style="337" customWidth="1"/>
    <col min="6425" max="6425" width="15.42578125" style="337" customWidth="1"/>
    <col min="6426" max="6426" width="12.85546875" style="337" customWidth="1"/>
    <col min="6427" max="6427" width="12.7109375" style="337" customWidth="1"/>
    <col min="6428" max="6428" width="6.28515625" style="337" customWidth="1"/>
    <col min="6429" max="6429" width="11.28515625" style="337" customWidth="1"/>
    <col min="6430" max="6430" width="52.42578125" style="337" customWidth="1"/>
    <col min="6431" max="6431" width="12.28515625" style="337" customWidth="1"/>
    <col min="6432" max="6432" width="13.7109375" style="337" customWidth="1"/>
    <col min="6433" max="6433" width="11" style="337" customWidth="1"/>
    <col min="6434" max="6434" width="12.5703125" style="337" customWidth="1"/>
    <col min="6435" max="6435" width="12.42578125" style="337" customWidth="1"/>
    <col min="6436" max="6436" width="17" style="337" customWidth="1"/>
    <col min="6437" max="6437" width="14.140625" style="337" customWidth="1"/>
    <col min="6438" max="6438" width="18.7109375" style="337" customWidth="1"/>
    <col min="6439" max="6673" width="9.140625" style="337"/>
    <col min="6674" max="6674" width="9.5703125" style="337" customWidth="1"/>
    <col min="6675" max="6675" width="53.42578125" style="337" bestFit="1" customWidth="1"/>
    <col min="6676" max="6676" width="17.140625" style="337" customWidth="1"/>
    <col min="6677" max="6677" width="13.5703125" style="337" customWidth="1"/>
    <col min="6678" max="6678" width="15.7109375" style="337" customWidth="1"/>
    <col min="6679" max="6679" width="14.7109375" style="337" customWidth="1"/>
    <col min="6680" max="6680" width="16" style="337" customWidth="1"/>
    <col min="6681" max="6681" width="15.42578125" style="337" customWidth="1"/>
    <col min="6682" max="6682" width="12.85546875" style="337" customWidth="1"/>
    <col min="6683" max="6683" width="12.7109375" style="337" customWidth="1"/>
    <col min="6684" max="6684" width="6.28515625" style="337" customWidth="1"/>
    <col min="6685" max="6685" width="11.28515625" style="337" customWidth="1"/>
    <col min="6686" max="6686" width="52.42578125" style="337" customWidth="1"/>
    <col min="6687" max="6687" width="12.28515625" style="337" customWidth="1"/>
    <col min="6688" max="6688" width="13.7109375" style="337" customWidth="1"/>
    <col min="6689" max="6689" width="11" style="337" customWidth="1"/>
    <col min="6690" max="6690" width="12.5703125" style="337" customWidth="1"/>
    <col min="6691" max="6691" width="12.42578125" style="337" customWidth="1"/>
    <col min="6692" max="6692" width="17" style="337" customWidth="1"/>
    <col min="6693" max="6693" width="14.140625" style="337" customWidth="1"/>
    <col min="6694" max="6694" width="18.7109375" style="337" customWidth="1"/>
    <col min="6695" max="6929" width="9.140625" style="337"/>
    <col min="6930" max="6930" width="9.5703125" style="337" customWidth="1"/>
    <col min="6931" max="6931" width="53.42578125" style="337" bestFit="1" customWidth="1"/>
    <col min="6932" max="6932" width="17.140625" style="337" customWidth="1"/>
    <col min="6933" max="6933" width="13.5703125" style="337" customWidth="1"/>
    <col min="6934" max="6934" width="15.7109375" style="337" customWidth="1"/>
    <col min="6935" max="6935" width="14.7109375" style="337" customWidth="1"/>
    <col min="6936" max="6936" width="16" style="337" customWidth="1"/>
    <col min="6937" max="6937" width="15.42578125" style="337" customWidth="1"/>
    <col min="6938" max="6938" width="12.85546875" style="337" customWidth="1"/>
    <col min="6939" max="6939" width="12.7109375" style="337" customWidth="1"/>
    <col min="6940" max="6940" width="6.28515625" style="337" customWidth="1"/>
    <col min="6941" max="6941" width="11.28515625" style="337" customWidth="1"/>
    <col min="6942" max="6942" width="52.42578125" style="337" customWidth="1"/>
    <col min="6943" max="6943" width="12.28515625" style="337" customWidth="1"/>
    <col min="6944" max="6944" width="13.7109375" style="337" customWidth="1"/>
    <col min="6945" max="6945" width="11" style="337" customWidth="1"/>
    <col min="6946" max="6946" width="12.5703125" style="337" customWidth="1"/>
    <col min="6947" max="6947" width="12.42578125" style="337" customWidth="1"/>
    <col min="6948" max="6948" width="17" style="337" customWidth="1"/>
    <col min="6949" max="6949" width="14.140625" style="337" customWidth="1"/>
    <col min="6950" max="6950" width="18.7109375" style="337" customWidth="1"/>
    <col min="6951" max="7185" width="9.140625" style="337"/>
    <col min="7186" max="7186" width="9.5703125" style="337" customWidth="1"/>
    <col min="7187" max="7187" width="53.42578125" style="337" bestFit="1" customWidth="1"/>
    <col min="7188" max="7188" width="17.140625" style="337" customWidth="1"/>
    <col min="7189" max="7189" width="13.5703125" style="337" customWidth="1"/>
    <col min="7190" max="7190" width="15.7109375" style="337" customWidth="1"/>
    <col min="7191" max="7191" width="14.7109375" style="337" customWidth="1"/>
    <col min="7192" max="7192" width="16" style="337" customWidth="1"/>
    <col min="7193" max="7193" width="15.42578125" style="337" customWidth="1"/>
    <col min="7194" max="7194" width="12.85546875" style="337" customWidth="1"/>
    <col min="7195" max="7195" width="12.7109375" style="337" customWidth="1"/>
    <col min="7196" max="7196" width="6.28515625" style="337" customWidth="1"/>
    <col min="7197" max="7197" width="11.28515625" style="337" customWidth="1"/>
    <col min="7198" max="7198" width="52.42578125" style="337" customWidth="1"/>
    <col min="7199" max="7199" width="12.28515625" style="337" customWidth="1"/>
    <col min="7200" max="7200" width="13.7109375" style="337" customWidth="1"/>
    <col min="7201" max="7201" width="11" style="337" customWidth="1"/>
    <col min="7202" max="7202" width="12.5703125" style="337" customWidth="1"/>
    <col min="7203" max="7203" width="12.42578125" style="337" customWidth="1"/>
    <col min="7204" max="7204" width="17" style="337" customWidth="1"/>
    <col min="7205" max="7205" width="14.140625" style="337" customWidth="1"/>
    <col min="7206" max="7206" width="18.7109375" style="337" customWidth="1"/>
    <col min="7207" max="7441" width="9.140625" style="337"/>
    <col min="7442" max="7442" width="9.5703125" style="337" customWidth="1"/>
    <col min="7443" max="7443" width="53.42578125" style="337" bestFit="1" customWidth="1"/>
    <col min="7444" max="7444" width="17.140625" style="337" customWidth="1"/>
    <col min="7445" max="7445" width="13.5703125" style="337" customWidth="1"/>
    <col min="7446" max="7446" width="15.7109375" style="337" customWidth="1"/>
    <col min="7447" max="7447" width="14.7109375" style="337" customWidth="1"/>
    <col min="7448" max="7448" width="16" style="337" customWidth="1"/>
    <col min="7449" max="7449" width="15.42578125" style="337" customWidth="1"/>
    <col min="7450" max="7450" width="12.85546875" style="337" customWidth="1"/>
    <col min="7451" max="7451" width="12.7109375" style="337" customWidth="1"/>
    <col min="7452" max="7452" width="6.28515625" style="337" customWidth="1"/>
    <col min="7453" max="7453" width="11.28515625" style="337" customWidth="1"/>
    <col min="7454" max="7454" width="52.42578125" style="337" customWidth="1"/>
    <col min="7455" max="7455" width="12.28515625" style="337" customWidth="1"/>
    <col min="7456" max="7456" width="13.7109375" style="337" customWidth="1"/>
    <col min="7457" max="7457" width="11" style="337" customWidth="1"/>
    <col min="7458" max="7458" width="12.5703125" style="337" customWidth="1"/>
    <col min="7459" max="7459" width="12.42578125" style="337" customWidth="1"/>
    <col min="7460" max="7460" width="17" style="337" customWidth="1"/>
    <col min="7461" max="7461" width="14.140625" style="337" customWidth="1"/>
    <col min="7462" max="7462" width="18.7109375" style="337" customWidth="1"/>
    <col min="7463" max="7697" width="9.140625" style="337"/>
    <col min="7698" max="7698" width="9.5703125" style="337" customWidth="1"/>
    <col min="7699" max="7699" width="53.42578125" style="337" bestFit="1" customWidth="1"/>
    <col min="7700" max="7700" width="17.140625" style="337" customWidth="1"/>
    <col min="7701" max="7701" width="13.5703125" style="337" customWidth="1"/>
    <col min="7702" max="7702" width="15.7109375" style="337" customWidth="1"/>
    <col min="7703" max="7703" width="14.7109375" style="337" customWidth="1"/>
    <col min="7704" max="7704" width="16" style="337" customWidth="1"/>
    <col min="7705" max="7705" width="15.42578125" style="337" customWidth="1"/>
    <col min="7706" max="7706" width="12.85546875" style="337" customWidth="1"/>
    <col min="7707" max="7707" width="12.7109375" style="337" customWidth="1"/>
    <col min="7708" max="7708" width="6.28515625" style="337" customWidth="1"/>
    <col min="7709" max="7709" width="11.28515625" style="337" customWidth="1"/>
    <col min="7710" max="7710" width="52.42578125" style="337" customWidth="1"/>
    <col min="7711" max="7711" width="12.28515625" style="337" customWidth="1"/>
    <col min="7712" max="7712" width="13.7109375" style="337" customWidth="1"/>
    <col min="7713" max="7713" width="11" style="337" customWidth="1"/>
    <col min="7714" max="7714" width="12.5703125" style="337" customWidth="1"/>
    <col min="7715" max="7715" width="12.42578125" style="337" customWidth="1"/>
    <col min="7716" max="7716" width="17" style="337" customWidth="1"/>
    <col min="7717" max="7717" width="14.140625" style="337" customWidth="1"/>
    <col min="7718" max="7718" width="18.7109375" style="337" customWidth="1"/>
    <col min="7719" max="7953" width="9.140625" style="337"/>
    <col min="7954" max="7954" width="9.5703125" style="337" customWidth="1"/>
    <col min="7955" max="7955" width="53.42578125" style="337" bestFit="1" customWidth="1"/>
    <col min="7956" max="7956" width="17.140625" style="337" customWidth="1"/>
    <col min="7957" max="7957" width="13.5703125" style="337" customWidth="1"/>
    <col min="7958" max="7958" width="15.7109375" style="337" customWidth="1"/>
    <col min="7959" max="7959" width="14.7109375" style="337" customWidth="1"/>
    <col min="7960" max="7960" width="16" style="337" customWidth="1"/>
    <col min="7961" max="7961" width="15.42578125" style="337" customWidth="1"/>
    <col min="7962" max="7962" width="12.85546875" style="337" customWidth="1"/>
    <col min="7963" max="7963" width="12.7109375" style="337" customWidth="1"/>
    <col min="7964" max="7964" width="6.28515625" style="337" customWidth="1"/>
    <col min="7965" max="7965" width="11.28515625" style="337" customWidth="1"/>
    <col min="7966" max="7966" width="52.42578125" style="337" customWidth="1"/>
    <col min="7967" max="7967" width="12.28515625" style="337" customWidth="1"/>
    <col min="7968" max="7968" width="13.7109375" style="337" customWidth="1"/>
    <col min="7969" max="7969" width="11" style="337" customWidth="1"/>
    <col min="7970" max="7970" width="12.5703125" style="337" customWidth="1"/>
    <col min="7971" max="7971" width="12.42578125" style="337" customWidth="1"/>
    <col min="7972" max="7972" width="17" style="337" customWidth="1"/>
    <col min="7973" max="7973" width="14.140625" style="337" customWidth="1"/>
    <col min="7974" max="7974" width="18.7109375" style="337" customWidth="1"/>
    <col min="7975" max="8209" width="9.140625" style="337"/>
    <col min="8210" max="8210" width="9.5703125" style="337" customWidth="1"/>
    <col min="8211" max="8211" width="53.42578125" style="337" bestFit="1" customWidth="1"/>
    <col min="8212" max="8212" width="17.140625" style="337" customWidth="1"/>
    <col min="8213" max="8213" width="13.5703125" style="337" customWidth="1"/>
    <col min="8214" max="8214" width="15.7109375" style="337" customWidth="1"/>
    <col min="8215" max="8215" width="14.7109375" style="337" customWidth="1"/>
    <col min="8216" max="8216" width="16" style="337" customWidth="1"/>
    <col min="8217" max="8217" width="15.42578125" style="337" customWidth="1"/>
    <col min="8218" max="8218" width="12.85546875" style="337" customWidth="1"/>
    <col min="8219" max="8219" width="12.7109375" style="337" customWidth="1"/>
    <col min="8220" max="8220" width="6.28515625" style="337" customWidth="1"/>
    <col min="8221" max="8221" width="11.28515625" style="337" customWidth="1"/>
    <col min="8222" max="8222" width="52.42578125" style="337" customWidth="1"/>
    <col min="8223" max="8223" width="12.28515625" style="337" customWidth="1"/>
    <col min="8224" max="8224" width="13.7109375" style="337" customWidth="1"/>
    <col min="8225" max="8225" width="11" style="337" customWidth="1"/>
    <col min="8226" max="8226" width="12.5703125" style="337" customWidth="1"/>
    <col min="8227" max="8227" width="12.42578125" style="337" customWidth="1"/>
    <col min="8228" max="8228" width="17" style="337" customWidth="1"/>
    <col min="8229" max="8229" width="14.140625" style="337" customWidth="1"/>
    <col min="8230" max="8230" width="18.7109375" style="337" customWidth="1"/>
    <col min="8231" max="8465" width="9.140625" style="337"/>
    <col min="8466" max="8466" width="9.5703125" style="337" customWidth="1"/>
    <col min="8467" max="8467" width="53.42578125" style="337" bestFit="1" customWidth="1"/>
    <col min="8468" max="8468" width="17.140625" style="337" customWidth="1"/>
    <col min="8469" max="8469" width="13.5703125" style="337" customWidth="1"/>
    <col min="8470" max="8470" width="15.7109375" style="337" customWidth="1"/>
    <col min="8471" max="8471" width="14.7109375" style="337" customWidth="1"/>
    <col min="8472" max="8472" width="16" style="337" customWidth="1"/>
    <col min="8473" max="8473" width="15.42578125" style="337" customWidth="1"/>
    <col min="8474" max="8474" width="12.85546875" style="337" customWidth="1"/>
    <col min="8475" max="8475" width="12.7109375" style="337" customWidth="1"/>
    <col min="8476" max="8476" width="6.28515625" style="337" customWidth="1"/>
    <col min="8477" max="8477" width="11.28515625" style="337" customWidth="1"/>
    <col min="8478" max="8478" width="52.42578125" style="337" customWidth="1"/>
    <col min="8479" max="8479" width="12.28515625" style="337" customWidth="1"/>
    <col min="8480" max="8480" width="13.7109375" style="337" customWidth="1"/>
    <col min="8481" max="8481" width="11" style="337" customWidth="1"/>
    <col min="8482" max="8482" width="12.5703125" style="337" customWidth="1"/>
    <col min="8483" max="8483" width="12.42578125" style="337" customWidth="1"/>
    <col min="8484" max="8484" width="17" style="337" customWidth="1"/>
    <col min="8485" max="8485" width="14.140625" style="337" customWidth="1"/>
    <col min="8486" max="8486" width="18.7109375" style="337" customWidth="1"/>
    <col min="8487" max="8721" width="9.140625" style="337"/>
    <col min="8722" max="8722" width="9.5703125" style="337" customWidth="1"/>
    <col min="8723" max="8723" width="53.42578125" style="337" bestFit="1" customWidth="1"/>
    <col min="8724" max="8724" width="17.140625" style="337" customWidth="1"/>
    <col min="8725" max="8725" width="13.5703125" style="337" customWidth="1"/>
    <col min="8726" max="8726" width="15.7109375" style="337" customWidth="1"/>
    <col min="8727" max="8727" width="14.7109375" style="337" customWidth="1"/>
    <col min="8728" max="8728" width="16" style="337" customWidth="1"/>
    <col min="8729" max="8729" width="15.42578125" style="337" customWidth="1"/>
    <col min="8730" max="8730" width="12.85546875" style="337" customWidth="1"/>
    <col min="8731" max="8731" width="12.7109375" style="337" customWidth="1"/>
    <col min="8732" max="8732" width="6.28515625" style="337" customWidth="1"/>
    <col min="8733" max="8733" width="11.28515625" style="337" customWidth="1"/>
    <col min="8734" max="8734" width="52.42578125" style="337" customWidth="1"/>
    <col min="8735" max="8735" width="12.28515625" style="337" customWidth="1"/>
    <col min="8736" max="8736" width="13.7109375" style="337" customWidth="1"/>
    <col min="8737" max="8737" width="11" style="337" customWidth="1"/>
    <col min="8738" max="8738" width="12.5703125" style="337" customWidth="1"/>
    <col min="8739" max="8739" width="12.42578125" style="337" customWidth="1"/>
    <col min="8740" max="8740" width="17" style="337" customWidth="1"/>
    <col min="8741" max="8741" width="14.140625" style="337" customWidth="1"/>
    <col min="8742" max="8742" width="18.7109375" style="337" customWidth="1"/>
    <col min="8743" max="8977" width="9.140625" style="337"/>
    <col min="8978" max="8978" width="9.5703125" style="337" customWidth="1"/>
    <col min="8979" max="8979" width="53.42578125" style="337" bestFit="1" customWidth="1"/>
    <col min="8980" max="8980" width="17.140625" style="337" customWidth="1"/>
    <col min="8981" max="8981" width="13.5703125" style="337" customWidth="1"/>
    <col min="8982" max="8982" width="15.7109375" style="337" customWidth="1"/>
    <col min="8983" max="8983" width="14.7109375" style="337" customWidth="1"/>
    <col min="8984" max="8984" width="16" style="337" customWidth="1"/>
    <col min="8985" max="8985" width="15.42578125" style="337" customWidth="1"/>
    <col min="8986" max="8986" width="12.85546875" style="337" customWidth="1"/>
    <col min="8987" max="8987" width="12.7109375" style="337" customWidth="1"/>
    <col min="8988" max="8988" width="6.28515625" style="337" customWidth="1"/>
    <col min="8989" max="8989" width="11.28515625" style="337" customWidth="1"/>
    <col min="8990" max="8990" width="52.42578125" style="337" customWidth="1"/>
    <col min="8991" max="8991" width="12.28515625" style="337" customWidth="1"/>
    <col min="8992" max="8992" width="13.7109375" style="337" customWidth="1"/>
    <col min="8993" max="8993" width="11" style="337" customWidth="1"/>
    <col min="8994" max="8994" width="12.5703125" style="337" customWidth="1"/>
    <col min="8995" max="8995" width="12.42578125" style="337" customWidth="1"/>
    <col min="8996" max="8996" width="17" style="337" customWidth="1"/>
    <col min="8997" max="8997" width="14.140625" style="337" customWidth="1"/>
    <col min="8998" max="8998" width="18.7109375" style="337" customWidth="1"/>
    <col min="8999" max="9233" width="9.140625" style="337"/>
    <col min="9234" max="9234" width="9.5703125" style="337" customWidth="1"/>
    <col min="9235" max="9235" width="53.42578125" style="337" bestFit="1" customWidth="1"/>
    <col min="9236" max="9236" width="17.140625" style="337" customWidth="1"/>
    <col min="9237" max="9237" width="13.5703125" style="337" customWidth="1"/>
    <col min="9238" max="9238" width="15.7109375" style="337" customWidth="1"/>
    <col min="9239" max="9239" width="14.7109375" style="337" customWidth="1"/>
    <col min="9240" max="9240" width="16" style="337" customWidth="1"/>
    <col min="9241" max="9241" width="15.42578125" style="337" customWidth="1"/>
    <col min="9242" max="9242" width="12.85546875" style="337" customWidth="1"/>
    <col min="9243" max="9243" width="12.7109375" style="337" customWidth="1"/>
    <col min="9244" max="9244" width="6.28515625" style="337" customWidth="1"/>
    <col min="9245" max="9245" width="11.28515625" style="337" customWidth="1"/>
    <col min="9246" max="9246" width="52.42578125" style="337" customWidth="1"/>
    <col min="9247" max="9247" width="12.28515625" style="337" customWidth="1"/>
    <col min="9248" max="9248" width="13.7109375" style="337" customWidth="1"/>
    <col min="9249" max="9249" width="11" style="337" customWidth="1"/>
    <col min="9250" max="9250" width="12.5703125" style="337" customWidth="1"/>
    <col min="9251" max="9251" width="12.42578125" style="337" customWidth="1"/>
    <col min="9252" max="9252" width="17" style="337" customWidth="1"/>
    <col min="9253" max="9253" width="14.140625" style="337" customWidth="1"/>
    <col min="9254" max="9254" width="18.7109375" style="337" customWidth="1"/>
    <col min="9255" max="9489" width="9.140625" style="337"/>
    <col min="9490" max="9490" width="9.5703125" style="337" customWidth="1"/>
    <col min="9491" max="9491" width="53.42578125" style="337" bestFit="1" customWidth="1"/>
    <col min="9492" max="9492" width="17.140625" style="337" customWidth="1"/>
    <col min="9493" max="9493" width="13.5703125" style="337" customWidth="1"/>
    <col min="9494" max="9494" width="15.7109375" style="337" customWidth="1"/>
    <col min="9495" max="9495" width="14.7109375" style="337" customWidth="1"/>
    <col min="9496" max="9496" width="16" style="337" customWidth="1"/>
    <col min="9497" max="9497" width="15.42578125" style="337" customWidth="1"/>
    <col min="9498" max="9498" width="12.85546875" style="337" customWidth="1"/>
    <col min="9499" max="9499" width="12.7109375" style="337" customWidth="1"/>
    <col min="9500" max="9500" width="6.28515625" style="337" customWidth="1"/>
    <col min="9501" max="9501" width="11.28515625" style="337" customWidth="1"/>
    <col min="9502" max="9502" width="52.42578125" style="337" customWidth="1"/>
    <col min="9503" max="9503" width="12.28515625" style="337" customWidth="1"/>
    <col min="9504" max="9504" width="13.7109375" style="337" customWidth="1"/>
    <col min="9505" max="9505" width="11" style="337" customWidth="1"/>
    <col min="9506" max="9506" width="12.5703125" style="337" customWidth="1"/>
    <col min="9507" max="9507" width="12.42578125" style="337" customWidth="1"/>
    <col min="9508" max="9508" width="17" style="337" customWidth="1"/>
    <col min="9509" max="9509" width="14.140625" style="337" customWidth="1"/>
    <col min="9510" max="9510" width="18.7109375" style="337" customWidth="1"/>
    <col min="9511" max="9745" width="9.140625" style="337"/>
    <col min="9746" max="9746" width="9.5703125" style="337" customWidth="1"/>
    <col min="9747" max="9747" width="53.42578125" style="337" bestFit="1" customWidth="1"/>
    <col min="9748" max="9748" width="17.140625" style="337" customWidth="1"/>
    <col min="9749" max="9749" width="13.5703125" style="337" customWidth="1"/>
    <col min="9750" max="9750" width="15.7109375" style="337" customWidth="1"/>
    <col min="9751" max="9751" width="14.7109375" style="337" customWidth="1"/>
    <col min="9752" max="9752" width="16" style="337" customWidth="1"/>
    <col min="9753" max="9753" width="15.42578125" style="337" customWidth="1"/>
    <col min="9754" max="9754" width="12.85546875" style="337" customWidth="1"/>
    <col min="9755" max="9755" width="12.7109375" style="337" customWidth="1"/>
    <col min="9756" max="9756" width="6.28515625" style="337" customWidth="1"/>
    <col min="9757" max="9757" width="11.28515625" style="337" customWidth="1"/>
    <col min="9758" max="9758" width="52.42578125" style="337" customWidth="1"/>
    <col min="9759" max="9759" width="12.28515625" style="337" customWidth="1"/>
    <col min="9760" max="9760" width="13.7109375" style="337" customWidth="1"/>
    <col min="9761" max="9761" width="11" style="337" customWidth="1"/>
    <col min="9762" max="9762" width="12.5703125" style="337" customWidth="1"/>
    <col min="9763" max="9763" width="12.42578125" style="337" customWidth="1"/>
    <col min="9764" max="9764" width="17" style="337" customWidth="1"/>
    <col min="9765" max="9765" width="14.140625" style="337" customWidth="1"/>
    <col min="9766" max="9766" width="18.7109375" style="337" customWidth="1"/>
    <col min="9767" max="10001" width="9.140625" style="337"/>
    <col min="10002" max="10002" width="9.5703125" style="337" customWidth="1"/>
    <col min="10003" max="10003" width="53.42578125" style="337" bestFit="1" customWidth="1"/>
    <col min="10004" max="10004" width="17.140625" style="337" customWidth="1"/>
    <col min="10005" max="10005" width="13.5703125" style="337" customWidth="1"/>
    <col min="10006" max="10006" width="15.7109375" style="337" customWidth="1"/>
    <col min="10007" max="10007" width="14.7109375" style="337" customWidth="1"/>
    <col min="10008" max="10008" width="16" style="337" customWidth="1"/>
    <col min="10009" max="10009" width="15.42578125" style="337" customWidth="1"/>
    <col min="10010" max="10010" width="12.85546875" style="337" customWidth="1"/>
    <col min="10011" max="10011" width="12.7109375" style="337" customWidth="1"/>
    <col min="10012" max="10012" width="6.28515625" style="337" customWidth="1"/>
    <col min="10013" max="10013" width="11.28515625" style="337" customWidth="1"/>
    <col min="10014" max="10014" width="52.42578125" style="337" customWidth="1"/>
    <col min="10015" max="10015" width="12.28515625" style="337" customWidth="1"/>
    <col min="10016" max="10016" width="13.7109375" style="337" customWidth="1"/>
    <col min="10017" max="10017" width="11" style="337" customWidth="1"/>
    <col min="10018" max="10018" width="12.5703125" style="337" customWidth="1"/>
    <col min="10019" max="10019" width="12.42578125" style="337" customWidth="1"/>
    <col min="10020" max="10020" width="17" style="337" customWidth="1"/>
    <col min="10021" max="10021" width="14.140625" style="337" customWidth="1"/>
    <col min="10022" max="10022" width="18.7109375" style="337" customWidth="1"/>
    <col min="10023" max="10257" width="9.140625" style="337"/>
    <col min="10258" max="10258" width="9.5703125" style="337" customWidth="1"/>
    <col min="10259" max="10259" width="53.42578125" style="337" bestFit="1" customWidth="1"/>
    <col min="10260" max="10260" width="17.140625" style="337" customWidth="1"/>
    <col min="10261" max="10261" width="13.5703125" style="337" customWidth="1"/>
    <col min="10262" max="10262" width="15.7109375" style="337" customWidth="1"/>
    <col min="10263" max="10263" width="14.7109375" style="337" customWidth="1"/>
    <col min="10264" max="10264" width="16" style="337" customWidth="1"/>
    <col min="10265" max="10265" width="15.42578125" style="337" customWidth="1"/>
    <col min="10266" max="10266" width="12.85546875" style="337" customWidth="1"/>
    <col min="10267" max="10267" width="12.7109375" style="337" customWidth="1"/>
    <col min="10268" max="10268" width="6.28515625" style="337" customWidth="1"/>
    <col min="10269" max="10269" width="11.28515625" style="337" customWidth="1"/>
    <col min="10270" max="10270" width="52.42578125" style="337" customWidth="1"/>
    <col min="10271" max="10271" width="12.28515625" style="337" customWidth="1"/>
    <col min="10272" max="10272" width="13.7109375" style="337" customWidth="1"/>
    <col min="10273" max="10273" width="11" style="337" customWidth="1"/>
    <col min="10274" max="10274" width="12.5703125" style="337" customWidth="1"/>
    <col min="10275" max="10275" width="12.42578125" style="337" customWidth="1"/>
    <col min="10276" max="10276" width="17" style="337" customWidth="1"/>
    <col min="10277" max="10277" width="14.140625" style="337" customWidth="1"/>
    <col min="10278" max="10278" width="18.7109375" style="337" customWidth="1"/>
    <col min="10279" max="10513" width="9.140625" style="337"/>
    <col min="10514" max="10514" width="9.5703125" style="337" customWidth="1"/>
    <col min="10515" max="10515" width="53.42578125" style="337" bestFit="1" customWidth="1"/>
    <col min="10516" max="10516" width="17.140625" style="337" customWidth="1"/>
    <col min="10517" max="10517" width="13.5703125" style="337" customWidth="1"/>
    <col min="10518" max="10518" width="15.7109375" style="337" customWidth="1"/>
    <col min="10519" max="10519" width="14.7109375" style="337" customWidth="1"/>
    <col min="10520" max="10520" width="16" style="337" customWidth="1"/>
    <col min="10521" max="10521" width="15.42578125" style="337" customWidth="1"/>
    <col min="10522" max="10522" width="12.85546875" style="337" customWidth="1"/>
    <col min="10523" max="10523" width="12.7109375" style="337" customWidth="1"/>
    <col min="10524" max="10524" width="6.28515625" style="337" customWidth="1"/>
    <col min="10525" max="10525" width="11.28515625" style="337" customWidth="1"/>
    <col min="10526" max="10526" width="52.42578125" style="337" customWidth="1"/>
    <col min="10527" max="10527" width="12.28515625" style="337" customWidth="1"/>
    <col min="10528" max="10528" width="13.7109375" style="337" customWidth="1"/>
    <col min="10529" max="10529" width="11" style="337" customWidth="1"/>
    <col min="10530" max="10530" width="12.5703125" style="337" customWidth="1"/>
    <col min="10531" max="10531" width="12.42578125" style="337" customWidth="1"/>
    <col min="10532" max="10532" width="17" style="337" customWidth="1"/>
    <col min="10533" max="10533" width="14.140625" style="337" customWidth="1"/>
    <col min="10534" max="10534" width="18.7109375" style="337" customWidth="1"/>
    <col min="10535" max="10769" width="9.140625" style="337"/>
    <col min="10770" max="10770" width="9.5703125" style="337" customWidth="1"/>
    <col min="10771" max="10771" width="53.42578125" style="337" bestFit="1" customWidth="1"/>
    <col min="10772" max="10772" width="17.140625" style="337" customWidth="1"/>
    <col min="10773" max="10773" width="13.5703125" style="337" customWidth="1"/>
    <col min="10774" max="10774" width="15.7109375" style="337" customWidth="1"/>
    <col min="10775" max="10775" width="14.7109375" style="337" customWidth="1"/>
    <col min="10776" max="10776" width="16" style="337" customWidth="1"/>
    <col min="10777" max="10777" width="15.42578125" style="337" customWidth="1"/>
    <col min="10778" max="10778" width="12.85546875" style="337" customWidth="1"/>
    <col min="10779" max="10779" width="12.7109375" style="337" customWidth="1"/>
    <col min="10780" max="10780" width="6.28515625" style="337" customWidth="1"/>
    <col min="10781" max="10781" width="11.28515625" style="337" customWidth="1"/>
    <col min="10782" max="10782" width="52.42578125" style="337" customWidth="1"/>
    <col min="10783" max="10783" width="12.28515625" style="337" customWidth="1"/>
    <col min="10784" max="10784" width="13.7109375" style="337" customWidth="1"/>
    <col min="10785" max="10785" width="11" style="337" customWidth="1"/>
    <col min="10786" max="10786" width="12.5703125" style="337" customWidth="1"/>
    <col min="10787" max="10787" width="12.42578125" style="337" customWidth="1"/>
    <col min="10788" max="10788" width="17" style="337" customWidth="1"/>
    <col min="10789" max="10789" width="14.140625" style="337" customWidth="1"/>
    <col min="10790" max="10790" width="18.7109375" style="337" customWidth="1"/>
    <col min="10791" max="11025" width="9.140625" style="337"/>
    <col min="11026" max="11026" width="9.5703125" style="337" customWidth="1"/>
    <col min="11027" max="11027" width="53.42578125" style="337" bestFit="1" customWidth="1"/>
    <col min="11028" max="11028" width="17.140625" style="337" customWidth="1"/>
    <col min="11029" max="11029" width="13.5703125" style="337" customWidth="1"/>
    <col min="11030" max="11030" width="15.7109375" style="337" customWidth="1"/>
    <col min="11031" max="11031" width="14.7109375" style="337" customWidth="1"/>
    <col min="11032" max="11032" width="16" style="337" customWidth="1"/>
    <col min="11033" max="11033" width="15.42578125" style="337" customWidth="1"/>
    <col min="11034" max="11034" width="12.85546875" style="337" customWidth="1"/>
    <col min="11035" max="11035" width="12.7109375" style="337" customWidth="1"/>
    <col min="11036" max="11036" width="6.28515625" style="337" customWidth="1"/>
    <col min="11037" max="11037" width="11.28515625" style="337" customWidth="1"/>
    <col min="11038" max="11038" width="52.42578125" style="337" customWidth="1"/>
    <col min="11039" max="11039" width="12.28515625" style="337" customWidth="1"/>
    <col min="11040" max="11040" width="13.7109375" style="337" customWidth="1"/>
    <col min="11041" max="11041" width="11" style="337" customWidth="1"/>
    <col min="11042" max="11042" width="12.5703125" style="337" customWidth="1"/>
    <col min="11043" max="11043" width="12.42578125" style="337" customWidth="1"/>
    <col min="11044" max="11044" width="17" style="337" customWidth="1"/>
    <col min="11045" max="11045" width="14.140625" style="337" customWidth="1"/>
    <col min="11046" max="11046" width="18.7109375" style="337" customWidth="1"/>
    <col min="11047" max="11281" width="9.140625" style="337"/>
    <col min="11282" max="11282" width="9.5703125" style="337" customWidth="1"/>
    <col min="11283" max="11283" width="53.42578125" style="337" bestFit="1" customWidth="1"/>
    <col min="11284" max="11284" width="17.140625" style="337" customWidth="1"/>
    <col min="11285" max="11285" width="13.5703125" style="337" customWidth="1"/>
    <col min="11286" max="11286" width="15.7109375" style="337" customWidth="1"/>
    <col min="11287" max="11287" width="14.7109375" style="337" customWidth="1"/>
    <col min="11288" max="11288" width="16" style="337" customWidth="1"/>
    <col min="11289" max="11289" width="15.42578125" style="337" customWidth="1"/>
    <col min="11290" max="11290" width="12.85546875" style="337" customWidth="1"/>
    <col min="11291" max="11291" width="12.7109375" style="337" customWidth="1"/>
    <col min="11292" max="11292" width="6.28515625" style="337" customWidth="1"/>
    <col min="11293" max="11293" width="11.28515625" style="337" customWidth="1"/>
    <col min="11294" max="11294" width="52.42578125" style="337" customWidth="1"/>
    <col min="11295" max="11295" width="12.28515625" style="337" customWidth="1"/>
    <col min="11296" max="11296" width="13.7109375" style="337" customWidth="1"/>
    <col min="11297" max="11297" width="11" style="337" customWidth="1"/>
    <col min="11298" max="11298" width="12.5703125" style="337" customWidth="1"/>
    <col min="11299" max="11299" width="12.42578125" style="337" customWidth="1"/>
    <col min="11300" max="11300" width="17" style="337" customWidth="1"/>
    <col min="11301" max="11301" width="14.140625" style="337" customWidth="1"/>
    <col min="11302" max="11302" width="18.7109375" style="337" customWidth="1"/>
    <col min="11303" max="11537" width="9.140625" style="337"/>
    <col min="11538" max="11538" width="9.5703125" style="337" customWidth="1"/>
    <col min="11539" max="11539" width="53.42578125" style="337" bestFit="1" customWidth="1"/>
    <col min="11540" max="11540" width="17.140625" style="337" customWidth="1"/>
    <col min="11541" max="11541" width="13.5703125" style="337" customWidth="1"/>
    <col min="11542" max="11542" width="15.7109375" style="337" customWidth="1"/>
    <col min="11543" max="11543" width="14.7109375" style="337" customWidth="1"/>
    <col min="11544" max="11544" width="16" style="337" customWidth="1"/>
    <col min="11545" max="11545" width="15.42578125" style="337" customWidth="1"/>
    <col min="11546" max="11546" width="12.85546875" style="337" customWidth="1"/>
    <col min="11547" max="11547" width="12.7109375" style="337" customWidth="1"/>
    <col min="11548" max="11548" width="6.28515625" style="337" customWidth="1"/>
    <col min="11549" max="11549" width="11.28515625" style="337" customWidth="1"/>
    <col min="11550" max="11550" width="52.42578125" style="337" customWidth="1"/>
    <col min="11551" max="11551" width="12.28515625" style="337" customWidth="1"/>
    <col min="11552" max="11552" width="13.7109375" style="337" customWidth="1"/>
    <col min="11553" max="11553" width="11" style="337" customWidth="1"/>
    <col min="11554" max="11554" width="12.5703125" style="337" customWidth="1"/>
    <col min="11555" max="11555" width="12.42578125" style="337" customWidth="1"/>
    <col min="11556" max="11556" width="17" style="337" customWidth="1"/>
    <col min="11557" max="11557" width="14.140625" style="337" customWidth="1"/>
    <col min="11558" max="11558" width="18.7109375" style="337" customWidth="1"/>
    <col min="11559" max="11793" width="9.140625" style="337"/>
    <col min="11794" max="11794" width="9.5703125" style="337" customWidth="1"/>
    <col min="11795" max="11795" width="53.42578125" style="337" bestFit="1" customWidth="1"/>
    <col min="11796" max="11796" width="17.140625" style="337" customWidth="1"/>
    <col min="11797" max="11797" width="13.5703125" style="337" customWidth="1"/>
    <col min="11798" max="11798" width="15.7109375" style="337" customWidth="1"/>
    <col min="11799" max="11799" width="14.7109375" style="337" customWidth="1"/>
    <col min="11800" max="11800" width="16" style="337" customWidth="1"/>
    <col min="11801" max="11801" width="15.42578125" style="337" customWidth="1"/>
    <col min="11802" max="11802" width="12.85546875" style="337" customWidth="1"/>
    <col min="11803" max="11803" width="12.7109375" style="337" customWidth="1"/>
    <col min="11804" max="11804" width="6.28515625" style="337" customWidth="1"/>
    <col min="11805" max="11805" width="11.28515625" style="337" customWidth="1"/>
    <col min="11806" max="11806" width="52.42578125" style="337" customWidth="1"/>
    <col min="11807" max="11807" width="12.28515625" style="337" customWidth="1"/>
    <col min="11808" max="11808" width="13.7109375" style="337" customWidth="1"/>
    <col min="11809" max="11809" width="11" style="337" customWidth="1"/>
    <col min="11810" max="11810" width="12.5703125" style="337" customWidth="1"/>
    <col min="11811" max="11811" width="12.42578125" style="337" customWidth="1"/>
    <col min="11812" max="11812" width="17" style="337" customWidth="1"/>
    <col min="11813" max="11813" width="14.140625" style="337" customWidth="1"/>
    <col min="11814" max="11814" width="18.7109375" style="337" customWidth="1"/>
    <col min="11815" max="12049" width="9.140625" style="337"/>
    <col min="12050" max="12050" width="9.5703125" style="337" customWidth="1"/>
    <col min="12051" max="12051" width="53.42578125" style="337" bestFit="1" customWidth="1"/>
    <col min="12052" max="12052" width="17.140625" style="337" customWidth="1"/>
    <col min="12053" max="12053" width="13.5703125" style="337" customWidth="1"/>
    <col min="12054" max="12054" width="15.7109375" style="337" customWidth="1"/>
    <col min="12055" max="12055" width="14.7109375" style="337" customWidth="1"/>
    <col min="12056" max="12056" width="16" style="337" customWidth="1"/>
    <col min="12057" max="12057" width="15.42578125" style="337" customWidth="1"/>
    <col min="12058" max="12058" width="12.85546875" style="337" customWidth="1"/>
    <col min="12059" max="12059" width="12.7109375" style="337" customWidth="1"/>
    <col min="12060" max="12060" width="6.28515625" style="337" customWidth="1"/>
    <col min="12061" max="12061" width="11.28515625" style="337" customWidth="1"/>
    <col min="12062" max="12062" width="52.42578125" style="337" customWidth="1"/>
    <col min="12063" max="12063" width="12.28515625" style="337" customWidth="1"/>
    <col min="12064" max="12064" width="13.7109375" style="337" customWidth="1"/>
    <col min="12065" max="12065" width="11" style="337" customWidth="1"/>
    <col min="12066" max="12066" width="12.5703125" style="337" customWidth="1"/>
    <col min="12067" max="12067" width="12.42578125" style="337" customWidth="1"/>
    <col min="12068" max="12068" width="17" style="337" customWidth="1"/>
    <col min="12069" max="12069" width="14.140625" style="337" customWidth="1"/>
    <col min="12070" max="12070" width="18.7109375" style="337" customWidth="1"/>
    <col min="12071" max="12305" width="9.140625" style="337"/>
    <col min="12306" max="12306" width="9.5703125" style="337" customWidth="1"/>
    <col min="12307" max="12307" width="53.42578125" style="337" bestFit="1" customWidth="1"/>
    <col min="12308" max="12308" width="17.140625" style="337" customWidth="1"/>
    <col min="12309" max="12309" width="13.5703125" style="337" customWidth="1"/>
    <col min="12310" max="12310" width="15.7109375" style="337" customWidth="1"/>
    <col min="12311" max="12311" width="14.7109375" style="337" customWidth="1"/>
    <col min="12312" max="12312" width="16" style="337" customWidth="1"/>
    <col min="12313" max="12313" width="15.42578125" style="337" customWidth="1"/>
    <col min="12314" max="12314" width="12.85546875" style="337" customWidth="1"/>
    <col min="12315" max="12315" width="12.7109375" style="337" customWidth="1"/>
    <col min="12316" max="12316" width="6.28515625" style="337" customWidth="1"/>
    <col min="12317" max="12317" width="11.28515625" style="337" customWidth="1"/>
    <col min="12318" max="12318" width="52.42578125" style="337" customWidth="1"/>
    <col min="12319" max="12319" width="12.28515625" style="337" customWidth="1"/>
    <col min="12320" max="12320" width="13.7109375" style="337" customWidth="1"/>
    <col min="12321" max="12321" width="11" style="337" customWidth="1"/>
    <col min="12322" max="12322" width="12.5703125" style="337" customWidth="1"/>
    <col min="12323" max="12323" width="12.42578125" style="337" customWidth="1"/>
    <col min="12324" max="12324" width="17" style="337" customWidth="1"/>
    <col min="12325" max="12325" width="14.140625" style="337" customWidth="1"/>
    <col min="12326" max="12326" width="18.7109375" style="337" customWidth="1"/>
    <col min="12327" max="12561" width="9.140625" style="337"/>
    <col min="12562" max="12562" width="9.5703125" style="337" customWidth="1"/>
    <col min="12563" max="12563" width="53.42578125" style="337" bestFit="1" customWidth="1"/>
    <col min="12564" max="12564" width="17.140625" style="337" customWidth="1"/>
    <col min="12565" max="12565" width="13.5703125" style="337" customWidth="1"/>
    <col min="12566" max="12566" width="15.7109375" style="337" customWidth="1"/>
    <col min="12567" max="12567" width="14.7109375" style="337" customWidth="1"/>
    <col min="12568" max="12568" width="16" style="337" customWidth="1"/>
    <col min="12569" max="12569" width="15.42578125" style="337" customWidth="1"/>
    <col min="12570" max="12570" width="12.85546875" style="337" customWidth="1"/>
    <col min="12571" max="12571" width="12.7109375" style="337" customWidth="1"/>
    <col min="12572" max="12572" width="6.28515625" style="337" customWidth="1"/>
    <col min="12573" max="12573" width="11.28515625" style="337" customWidth="1"/>
    <col min="12574" max="12574" width="52.42578125" style="337" customWidth="1"/>
    <col min="12575" max="12575" width="12.28515625" style="337" customWidth="1"/>
    <col min="12576" max="12576" width="13.7109375" style="337" customWidth="1"/>
    <col min="12577" max="12577" width="11" style="337" customWidth="1"/>
    <col min="12578" max="12578" width="12.5703125" style="337" customWidth="1"/>
    <col min="12579" max="12579" width="12.42578125" style="337" customWidth="1"/>
    <col min="12580" max="12580" width="17" style="337" customWidth="1"/>
    <col min="12581" max="12581" width="14.140625" style="337" customWidth="1"/>
    <col min="12582" max="12582" width="18.7109375" style="337" customWidth="1"/>
    <col min="12583" max="12817" width="9.140625" style="337"/>
    <col min="12818" max="12818" width="9.5703125" style="337" customWidth="1"/>
    <col min="12819" max="12819" width="53.42578125" style="337" bestFit="1" customWidth="1"/>
    <col min="12820" max="12820" width="17.140625" style="337" customWidth="1"/>
    <col min="12821" max="12821" width="13.5703125" style="337" customWidth="1"/>
    <col min="12822" max="12822" width="15.7109375" style="337" customWidth="1"/>
    <col min="12823" max="12823" width="14.7109375" style="337" customWidth="1"/>
    <col min="12824" max="12824" width="16" style="337" customWidth="1"/>
    <col min="12825" max="12825" width="15.42578125" style="337" customWidth="1"/>
    <col min="12826" max="12826" width="12.85546875" style="337" customWidth="1"/>
    <col min="12827" max="12827" width="12.7109375" style="337" customWidth="1"/>
    <col min="12828" max="12828" width="6.28515625" style="337" customWidth="1"/>
    <col min="12829" max="12829" width="11.28515625" style="337" customWidth="1"/>
    <col min="12830" max="12830" width="52.42578125" style="337" customWidth="1"/>
    <col min="12831" max="12831" width="12.28515625" style="337" customWidth="1"/>
    <col min="12832" max="12832" width="13.7109375" style="337" customWidth="1"/>
    <col min="12833" max="12833" width="11" style="337" customWidth="1"/>
    <col min="12834" max="12834" width="12.5703125" style="337" customWidth="1"/>
    <col min="12835" max="12835" width="12.42578125" style="337" customWidth="1"/>
    <col min="12836" max="12836" width="17" style="337" customWidth="1"/>
    <col min="12837" max="12837" width="14.140625" style="337" customWidth="1"/>
    <col min="12838" max="12838" width="18.7109375" style="337" customWidth="1"/>
    <col min="12839" max="13073" width="9.140625" style="337"/>
    <col min="13074" max="13074" width="9.5703125" style="337" customWidth="1"/>
    <col min="13075" max="13075" width="53.42578125" style="337" bestFit="1" customWidth="1"/>
    <col min="13076" max="13076" width="17.140625" style="337" customWidth="1"/>
    <col min="13077" max="13077" width="13.5703125" style="337" customWidth="1"/>
    <col min="13078" max="13078" width="15.7109375" style="337" customWidth="1"/>
    <col min="13079" max="13079" width="14.7109375" style="337" customWidth="1"/>
    <col min="13080" max="13080" width="16" style="337" customWidth="1"/>
    <col min="13081" max="13081" width="15.42578125" style="337" customWidth="1"/>
    <col min="13082" max="13082" width="12.85546875" style="337" customWidth="1"/>
    <col min="13083" max="13083" width="12.7109375" style="337" customWidth="1"/>
    <col min="13084" max="13084" width="6.28515625" style="337" customWidth="1"/>
    <col min="13085" max="13085" width="11.28515625" style="337" customWidth="1"/>
    <col min="13086" max="13086" width="52.42578125" style="337" customWidth="1"/>
    <col min="13087" max="13087" width="12.28515625" style="337" customWidth="1"/>
    <col min="13088" max="13088" width="13.7109375" style="337" customWidth="1"/>
    <col min="13089" max="13089" width="11" style="337" customWidth="1"/>
    <col min="13090" max="13090" width="12.5703125" style="337" customWidth="1"/>
    <col min="13091" max="13091" width="12.42578125" style="337" customWidth="1"/>
    <col min="13092" max="13092" width="17" style="337" customWidth="1"/>
    <col min="13093" max="13093" width="14.140625" style="337" customWidth="1"/>
    <col min="13094" max="13094" width="18.7109375" style="337" customWidth="1"/>
    <col min="13095" max="13329" width="9.140625" style="337"/>
    <col min="13330" max="13330" width="9.5703125" style="337" customWidth="1"/>
    <col min="13331" max="13331" width="53.42578125" style="337" bestFit="1" customWidth="1"/>
    <col min="13332" max="13332" width="17.140625" style="337" customWidth="1"/>
    <col min="13333" max="13333" width="13.5703125" style="337" customWidth="1"/>
    <col min="13334" max="13334" width="15.7109375" style="337" customWidth="1"/>
    <col min="13335" max="13335" width="14.7109375" style="337" customWidth="1"/>
    <col min="13336" max="13336" width="16" style="337" customWidth="1"/>
    <col min="13337" max="13337" width="15.42578125" style="337" customWidth="1"/>
    <col min="13338" max="13338" width="12.85546875" style="337" customWidth="1"/>
    <col min="13339" max="13339" width="12.7109375" style="337" customWidth="1"/>
    <col min="13340" max="13340" width="6.28515625" style="337" customWidth="1"/>
    <col min="13341" max="13341" width="11.28515625" style="337" customWidth="1"/>
    <col min="13342" max="13342" width="52.42578125" style="337" customWidth="1"/>
    <col min="13343" max="13343" width="12.28515625" style="337" customWidth="1"/>
    <col min="13344" max="13344" width="13.7109375" style="337" customWidth="1"/>
    <col min="13345" max="13345" width="11" style="337" customWidth="1"/>
    <col min="13346" max="13346" width="12.5703125" style="337" customWidth="1"/>
    <col min="13347" max="13347" width="12.42578125" style="337" customWidth="1"/>
    <col min="13348" max="13348" width="17" style="337" customWidth="1"/>
    <col min="13349" max="13349" width="14.140625" style="337" customWidth="1"/>
    <col min="13350" max="13350" width="18.7109375" style="337" customWidth="1"/>
    <col min="13351" max="13585" width="9.140625" style="337"/>
    <col min="13586" max="13586" width="9.5703125" style="337" customWidth="1"/>
    <col min="13587" max="13587" width="53.42578125" style="337" bestFit="1" customWidth="1"/>
    <col min="13588" max="13588" width="17.140625" style="337" customWidth="1"/>
    <col min="13589" max="13589" width="13.5703125" style="337" customWidth="1"/>
    <col min="13590" max="13590" width="15.7109375" style="337" customWidth="1"/>
    <col min="13591" max="13591" width="14.7109375" style="337" customWidth="1"/>
    <col min="13592" max="13592" width="16" style="337" customWidth="1"/>
    <col min="13593" max="13593" width="15.42578125" style="337" customWidth="1"/>
    <col min="13594" max="13594" width="12.85546875" style="337" customWidth="1"/>
    <col min="13595" max="13595" width="12.7109375" style="337" customWidth="1"/>
    <col min="13596" max="13596" width="6.28515625" style="337" customWidth="1"/>
    <col min="13597" max="13597" width="11.28515625" style="337" customWidth="1"/>
    <col min="13598" max="13598" width="52.42578125" style="337" customWidth="1"/>
    <col min="13599" max="13599" width="12.28515625" style="337" customWidth="1"/>
    <col min="13600" max="13600" width="13.7109375" style="337" customWidth="1"/>
    <col min="13601" max="13601" width="11" style="337" customWidth="1"/>
    <col min="13602" max="13602" width="12.5703125" style="337" customWidth="1"/>
    <col min="13603" max="13603" width="12.42578125" style="337" customWidth="1"/>
    <col min="13604" max="13604" width="17" style="337" customWidth="1"/>
    <col min="13605" max="13605" width="14.140625" style="337" customWidth="1"/>
    <col min="13606" max="13606" width="18.7109375" style="337" customWidth="1"/>
    <col min="13607" max="13841" width="9.140625" style="337"/>
    <col min="13842" max="13842" width="9.5703125" style="337" customWidth="1"/>
    <col min="13843" max="13843" width="53.42578125" style="337" bestFit="1" customWidth="1"/>
    <col min="13844" max="13844" width="17.140625" style="337" customWidth="1"/>
    <col min="13845" max="13845" width="13.5703125" style="337" customWidth="1"/>
    <col min="13846" max="13846" width="15.7109375" style="337" customWidth="1"/>
    <col min="13847" max="13847" width="14.7109375" style="337" customWidth="1"/>
    <col min="13848" max="13848" width="16" style="337" customWidth="1"/>
    <col min="13849" max="13849" width="15.42578125" style="337" customWidth="1"/>
    <col min="13850" max="13850" width="12.85546875" style="337" customWidth="1"/>
    <col min="13851" max="13851" width="12.7109375" style="337" customWidth="1"/>
    <col min="13852" max="13852" width="6.28515625" style="337" customWidth="1"/>
    <col min="13853" max="13853" width="11.28515625" style="337" customWidth="1"/>
    <col min="13854" max="13854" width="52.42578125" style="337" customWidth="1"/>
    <col min="13855" max="13855" width="12.28515625" style="337" customWidth="1"/>
    <col min="13856" max="13856" width="13.7109375" style="337" customWidth="1"/>
    <col min="13857" max="13857" width="11" style="337" customWidth="1"/>
    <col min="13858" max="13858" width="12.5703125" style="337" customWidth="1"/>
    <col min="13859" max="13859" width="12.42578125" style="337" customWidth="1"/>
    <col min="13860" max="13860" width="17" style="337" customWidth="1"/>
    <col min="13861" max="13861" width="14.140625" style="337" customWidth="1"/>
    <col min="13862" max="13862" width="18.7109375" style="337" customWidth="1"/>
    <col min="13863" max="14097" width="9.140625" style="337"/>
    <col min="14098" max="14098" width="9.5703125" style="337" customWidth="1"/>
    <col min="14099" max="14099" width="53.42578125" style="337" bestFit="1" customWidth="1"/>
    <col min="14100" max="14100" width="17.140625" style="337" customWidth="1"/>
    <col min="14101" max="14101" width="13.5703125" style="337" customWidth="1"/>
    <col min="14102" max="14102" width="15.7109375" style="337" customWidth="1"/>
    <col min="14103" max="14103" width="14.7109375" style="337" customWidth="1"/>
    <col min="14104" max="14104" width="16" style="337" customWidth="1"/>
    <col min="14105" max="14105" width="15.42578125" style="337" customWidth="1"/>
    <col min="14106" max="14106" width="12.85546875" style="337" customWidth="1"/>
    <col min="14107" max="14107" width="12.7109375" style="337" customWidth="1"/>
    <col min="14108" max="14108" width="6.28515625" style="337" customWidth="1"/>
    <col min="14109" max="14109" width="11.28515625" style="337" customWidth="1"/>
    <col min="14110" max="14110" width="52.42578125" style="337" customWidth="1"/>
    <col min="14111" max="14111" width="12.28515625" style="337" customWidth="1"/>
    <col min="14112" max="14112" width="13.7109375" style="337" customWidth="1"/>
    <col min="14113" max="14113" width="11" style="337" customWidth="1"/>
    <col min="14114" max="14114" width="12.5703125" style="337" customWidth="1"/>
    <col min="14115" max="14115" width="12.42578125" style="337" customWidth="1"/>
    <col min="14116" max="14116" width="17" style="337" customWidth="1"/>
    <col min="14117" max="14117" width="14.140625" style="337" customWidth="1"/>
    <col min="14118" max="14118" width="18.7109375" style="337" customWidth="1"/>
    <col min="14119" max="14353" width="9.140625" style="337"/>
    <col min="14354" max="14354" width="9.5703125" style="337" customWidth="1"/>
    <col min="14355" max="14355" width="53.42578125" style="337" bestFit="1" customWidth="1"/>
    <col min="14356" max="14356" width="17.140625" style="337" customWidth="1"/>
    <col min="14357" max="14357" width="13.5703125" style="337" customWidth="1"/>
    <col min="14358" max="14358" width="15.7109375" style="337" customWidth="1"/>
    <col min="14359" max="14359" width="14.7109375" style="337" customWidth="1"/>
    <col min="14360" max="14360" width="16" style="337" customWidth="1"/>
    <col min="14361" max="14361" width="15.42578125" style="337" customWidth="1"/>
    <col min="14362" max="14362" width="12.85546875" style="337" customWidth="1"/>
    <col min="14363" max="14363" width="12.7109375" style="337" customWidth="1"/>
    <col min="14364" max="14364" width="6.28515625" style="337" customWidth="1"/>
    <col min="14365" max="14365" width="11.28515625" style="337" customWidth="1"/>
    <col min="14366" max="14366" width="52.42578125" style="337" customWidth="1"/>
    <col min="14367" max="14367" width="12.28515625" style="337" customWidth="1"/>
    <col min="14368" max="14368" width="13.7109375" style="337" customWidth="1"/>
    <col min="14369" max="14369" width="11" style="337" customWidth="1"/>
    <col min="14370" max="14370" width="12.5703125" style="337" customWidth="1"/>
    <col min="14371" max="14371" width="12.42578125" style="337" customWidth="1"/>
    <col min="14372" max="14372" width="17" style="337" customWidth="1"/>
    <col min="14373" max="14373" width="14.140625" style="337" customWidth="1"/>
    <col min="14374" max="14374" width="18.7109375" style="337" customWidth="1"/>
    <col min="14375" max="14609" width="9.140625" style="337"/>
    <col min="14610" max="14610" width="9.5703125" style="337" customWidth="1"/>
    <col min="14611" max="14611" width="53.42578125" style="337" bestFit="1" customWidth="1"/>
    <col min="14612" max="14612" width="17.140625" style="337" customWidth="1"/>
    <col min="14613" max="14613" width="13.5703125" style="337" customWidth="1"/>
    <col min="14614" max="14614" width="15.7109375" style="337" customWidth="1"/>
    <col min="14615" max="14615" width="14.7109375" style="337" customWidth="1"/>
    <col min="14616" max="14616" width="16" style="337" customWidth="1"/>
    <col min="14617" max="14617" width="15.42578125" style="337" customWidth="1"/>
    <col min="14618" max="14618" width="12.85546875" style="337" customWidth="1"/>
    <col min="14619" max="14619" width="12.7109375" style="337" customWidth="1"/>
    <col min="14620" max="14620" width="6.28515625" style="337" customWidth="1"/>
    <col min="14621" max="14621" width="11.28515625" style="337" customWidth="1"/>
    <col min="14622" max="14622" width="52.42578125" style="337" customWidth="1"/>
    <col min="14623" max="14623" width="12.28515625" style="337" customWidth="1"/>
    <col min="14624" max="14624" width="13.7109375" style="337" customWidth="1"/>
    <col min="14625" max="14625" width="11" style="337" customWidth="1"/>
    <col min="14626" max="14626" width="12.5703125" style="337" customWidth="1"/>
    <col min="14627" max="14627" width="12.42578125" style="337" customWidth="1"/>
    <col min="14628" max="14628" width="17" style="337" customWidth="1"/>
    <col min="14629" max="14629" width="14.140625" style="337" customWidth="1"/>
    <col min="14630" max="14630" width="18.7109375" style="337" customWidth="1"/>
    <col min="14631" max="14865" width="9.140625" style="337"/>
    <col min="14866" max="14866" width="9.5703125" style="337" customWidth="1"/>
    <col min="14867" max="14867" width="53.42578125" style="337" bestFit="1" customWidth="1"/>
    <col min="14868" max="14868" width="17.140625" style="337" customWidth="1"/>
    <col min="14869" max="14869" width="13.5703125" style="337" customWidth="1"/>
    <col min="14870" max="14870" width="15.7109375" style="337" customWidth="1"/>
    <col min="14871" max="14871" width="14.7109375" style="337" customWidth="1"/>
    <col min="14872" max="14872" width="16" style="337" customWidth="1"/>
    <col min="14873" max="14873" width="15.42578125" style="337" customWidth="1"/>
    <col min="14874" max="14874" width="12.85546875" style="337" customWidth="1"/>
    <col min="14875" max="14875" width="12.7109375" style="337" customWidth="1"/>
    <col min="14876" max="14876" width="6.28515625" style="337" customWidth="1"/>
    <col min="14877" max="14877" width="11.28515625" style="337" customWidth="1"/>
    <col min="14878" max="14878" width="52.42578125" style="337" customWidth="1"/>
    <col min="14879" max="14879" width="12.28515625" style="337" customWidth="1"/>
    <col min="14880" max="14880" width="13.7109375" style="337" customWidth="1"/>
    <col min="14881" max="14881" width="11" style="337" customWidth="1"/>
    <col min="14882" max="14882" width="12.5703125" style="337" customWidth="1"/>
    <col min="14883" max="14883" width="12.42578125" style="337" customWidth="1"/>
    <col min="14884" max="14884" width="17" style="337" customWidth="1"/>
    <col min="14885" max="14885" width="14.140625" style="337" customWidth="1"/>
    <col min="14886" max="14886" width="18.7109375" style="337" customWidth="1"/>
    <col min="14887" max="15121" width="9.140625" style="337"/>
    <col min="15122" max="15122" width="9.5703125" style="337" customWidth="1"/>
    <col min="15123" max="15123" width="53.42578125" style="337" bestFit="1" customWidth="1"/>
    <col min="15124" max="15124" width="17.140625" style="337" customWidth="1"/>
    <col min="15125" max="15125" width="13.5703125" style="337" customWidth="1"/>
    <col min="15126" max="15126" width="15.7109375" style="337" customWidth="1"/>
    <col min="15127" max="15127" width="14.7109375" style="337" customWidth="1"/>
    <col min="15128" max="15128" width="16" style="337" customWidth="1"/>
    <col min="15129" max="15129" width="15.42578125" style="337" customWidth="1"/>
    <col min="15130" max="15130" width="12.85546875" style="337" customWidth="1"/>
    <col min="15131" max="15131" width="12.7109375" style="337" customWidth="1"/>
    <col min="15132" max="15132" width="6.28515625" style="337" customWidth="1"/>
    <col min="15133" max="15133" width="11.28515625" style="337" customWidth="1"/>
    <col min="15134" max="15134" width="52.42578125" style="337" customWidth="1"/>
    <col min="15135" max="15135" width="12.28515625" style="337" customWidth="1"/>
    <col min="15136" max="15136" width="13.7109375" style="337" customWidth="1"/>
    <col min="15137" max="15137" width="11" style="337" customWidth="1"/>
    <col min="15138" max="15138" width="12.5703125" style="337" customWidth="1"/>
    <col min="15139" max="15139" width="12.42578125" style="337" customWidth="1"/>
    <col min="15140" max="15140" width="17" style="337" customWidth="1"/>
    <col min="15141" max="15141" width="14.140625" style="337" customWidth="1"/>
    <col min="15142" max="15142" width="18.7109375" style="337" customWidth="1"/>
    <col min="15143" max="15377" width="9.140625" style="337"/>
    <col min="15378" max="15378" width="9.5703125" style="337" customWidth="1"/>
    <col min="15379" max="15379" width="53.42578125" style="337" bestFit="1" customWidth="1"/>
    <col min="15380" max="15380" width="17.140625" style="337" customWidth="1"/>
    <col min="15381" max="15381" width="13.5703125" style="337" customWidth="1"/>
    <col min="15382" max="15382" width="15.7109375" style="337" customWidth="1"/>
    <col min="15383" max="15383" width="14.7109375" style="337" customWidth="1"/>
    <col min="15384" max="15384" width="16" style="337" customWidth="1"/>
    <col min="15385" max="15385" width="15.42578125" style="337" customWidth="1"/>
    <col min="15386" max="15386" width="12.85546875" style="337" customWidth="1"/>
    <col min="15387" max="15387" width="12.7109375" style="337" customWidth="1"/>
    <col min="15388" max="15388" width="6.28515625" style="337" customWidth="1"/>
    <col min="15389" max="15389" width="11.28515625" style="337" customWidth="1"/>
    <col min="15390" max="15390" width="52.42578125" style="337" customWidth="1"/>
    <col min="15391" max="15391" width="12.28515625" style="337" customWidth="1"/>
    <col min="15392" max="15392" width="13.7109375" style="337" customWidth="1"/>
    <col min="15393" max="15393" width="11" style="337" customWidth="1"/>
    <col min="15394" max="15394" width="12.5703125" style="337" customWidth="1"/>
    <col min="15395" max="15395" width="12.42578125" style="337" customWidth="1"/>
    <col min="15396" max="15396" width="17" style="337" customWidth="1"/>
    <col min="15397" max="15397" width="14.140625" style="337" customWidth="1"/>
    <col min="15398" max="15398" width="18.7109375" style="337" customWidth="1"/>
    <col min="15399" max="15633" width="9.140625" style="337"/>
    <col min="15634" max="15634" width="9.5703125" style="337" customWidth="1"/>
    <col min="15635" max="15635" width="53.42578125" style="337" bestFit="1" customWidth="1"/>
    <col min="15636" max="15636" width="17.140625" style="337" customWidth="1"/>
    <col min="15637" max="15637" width="13.5703125" style="337" customWidth="1"/>
    <col min="15638" max="15638" width="15.7109375" style="337" customWidth="1"/>
    <col min="15639" max="15639" width="14.7109375" style="337" customWidth="1"/>
    <col min="15640" max="15640" width="16" style="337" customWidth="1"/>
    <col min="15641" max="15641" width="15.42578125" style="337" customWidth="1"/>
    <col min="15642" max="15642" width="12.85546875" style="337" customWidth="1"/>
    <col min="15643" max="15643" width="12.7109375" style="337" customWidth="1"/>
    <col min="15644" max="15644" width="6.28515625" style="337" customWidth="1"/>
    <col min="15645" max="15645" width="11.28515625" style="337" customWidth="1"/>
    <col min="15646" max="15646" width="52.42578125" style="337" customWidth="1"/>
    <col min="15647" max="15647" width="12.28515625" style="337" customWidth="1"/>
    <col min="15648" max="15648" width="13.7109375" style="337" customWidth="1"/>
    <col min="15649" max="15649" width="11" style="337" customWidth="1"/>
    <col min="15650" max="15650" width="12.5703125" style="337" customWidth="1"/>
    <col min="15651" max="15651" width="12.42578125" style="337" customWidth="1"/>
    <col min="15652" max="15652" width="17" style="337" customWidth="1"/>
    <col min="15653" max="15653" width="14.140625" style="337" customWidth="1"/>
    <col min="15654" max="15654" width="18.7109375" style="337" customWidth="1"/>
    <col min="15655" max="15889" width="9.140625" style="337"/>
    <col min="15890" max="15890" width="9.5703125" style="337" customWidth="1"/>
    <col min="15891" max="15891" width="53.42578125" style="337" bestFit="1" customWidth="1"/>
    <col min="15892" max="15892" width="17.140625" style="337" customWidth="1"/>
    <col min="15893" max="15893" width="13.5703125" style="337" customWidth="1"/>
    <col min="15894" max="15894" width="15.7109375" style="337" customWidth="1"/>
    <col min="15895" max="15895" width="14.7109375" style="337" customWidth="1"/>
    <col min="15896" max="15896" width="16" style="337" customWidth="1"/>
    <col min="15897" max="15897" width="15.42578125" style="337" customWidth="1"/>
    <col min="15898" max="15898" width="12.85546875" style="337" customWidth="1"/>
    <col min="15899" max="15899" width="12.7109375" style="337" customWidth="1"/>
    <col min="15900" max="15900" width="6.28515625" style="337" customWidth="1"/>
    <col min="15901" max="15901" width="11.28515625" style="337" customWidth="1"/>
    <col min="15902" max="15902" width="52.42578125" style="337" customWidth="1"/>
    <col min="15903" max="15903" width="12.28515625" style="337" customWidth="1"/>
    <col min="15904" max="15904" width="13.7109375" style="337" customWidth="1"/>
    <col min="15905" max="15905" width="11" style="337" customWidth="1"/>
    <col min="15906" max="15906" width="12.5703125" style="337" customWidth="1"/>
    <col min="15907" max="15907" width="12.42578125" style="337" customWidth="1"/>
    <col min="15908" max="15908" width="17" style="337" customWidth="1"/>
    <col min="15909" max="15909" width="14.140625" style="337" customWidth="1"/>
    <col min="15910" max="15910" width="18.7109375" style="337" customWidth="1"/>
    <col min="15911" max="16145" width="9.140625" style="337"/>
    <col min="16146" max="16146" width="9.5703125" style="337" customWidth="1"/>
    <col min="16147" max="16147" width="53.42578125" style="337" bestFit="1" customWidth="1"/>
    <col min="16148" max="16148" width="17.140625" style="337" customWidth="1"/>
    <col min="16149" max="16149" width="13.5703125" style="337" customWidth="1"/>
    <col min="16150" max="16150" width="15.7109375" style="337" customWidth="1"/>
    <col min="16151" max="16151" width="14.7109375" style="337" customWidth="1"/>
    <col min="16152" max="16152" width="16" style="337" customWidth="1"/>
    <col min="16153" max="16153" width="15.42578125" style="337" customWidth="1"/>
    <col min="16154" max="16154" width="12.85546875" style="337" customWidth="1"/>
    <col min="16155" max="16155" width="12.7109375" style="337" customWidth="1"/>
    <col min="16156" max="16156" width="6.28515625" style="337" customWidth="1"/>
    <col min="16157" max="16157" width="11.28515625" style="337" customWidth="1"/>
    <col min="16158" max="16158" width="52.42578125" style="337" customWidth="1"/>
    <col min="16159" max="16159" width="12.28515625" style="337" customWidth="1"/>
    <col min="16160" max="16160" width="13.7109375" style="337" customWidth="1"/>
    <col min="16161" max="16161" width="11" style="337" customWidth="1"/>
    <col min="16162" max="16162" width="12.5703125" style="337" customWidth="1"/>
    <col min="16163" max="16163" width="12.42578125" style="337" customWidth="1"/>
    <col min="16164" max="16164" width="17" style="337" customWidth="1"/>
    <col min="16165" max="16165" width="14.140625" style="337" customWidth="1"/>
    <col min="16166" max="16166" width="18.7109375" style="337" customWidth="1"/>
    <col min="16167" max="16384" width="9.140625" style="337"/>
  </cols>
  <sheetData>
    <row r="1" spans="1:38" ht="45" customHeight="1" x14ac:dyDescent="0.2">
      <c r="A1" s="648" t="s">
        <v>423</v>
      </c>
      <c r="B1" s="648" t="s">
        <v>424</v>
      </c>
      <c r="C1" s="649" t="s">
        <v>15</v>
      </c>
      <c r="D1" s="648" t="s">
        <v>594</v>
      </c>
      <c r="E1" s="648"/>
      <c r="F1" s="648"/>
      <c r="G1" s="648"/>
      <c r="H1" s="648"/>
      <c r="I1" s="648"/>
      <c r="J1" s="648" t="s">
        <v>587</v>
      </c>
      <c r="K1" s="648"/>
      <c r="L1" s="648" t="s">
        <v>650</v>
      </c>
      <c r="M1" s="648"/>
      <c r="N1" s="648" t="s">
        <v>651</v>
      </c>
      <c r="O1" s="648"/>
      <c r="P1" s="648" t="s">
        <v>652</v>
      </c>
      <c r="Q1" s="648"/>
      <c r="R1" s="648"/>
      <c r="S1" s="648"/>
      <c r="T1" s="648" t="s">
        <v>423</v>
      </c>
      <c r="U1" s="648" t="s">
        <v>424</v>
      </c>
      <c r="V1" s="649" t="s">
        <v>15</v>
      </c>
      <c r="W1" s="648" t="s">
        <v>593</v>
      </c>
      <c r="X1" s="648"/>
      <c r="Y1" s="648" t="s">
        <v>653</v>
      </c>
      <c r="Z1" s="648"/>
      <c r="AA1" s="648"/>
      <c r="AB1" s="648"/>
      <c r="AC1" s="648" t="s">
        <v>595</v>
      </c>
      <c r="AD1" s="648"/>
      <c r="AE1" s="648"/>
      <c r="AF1" s="648"/>
      <c r="AG1" s="648"/>
      <c r="AH1" s="648"/>
      <c r="AI1" s="648"/>
      <c r="AJ1" s="648"/>
      <c r="AK1" s="642" t="s">
        <v>13</v>
      </c>
      <c r="AL1" s="642"/>
    </row>
    <row r="2" spans="1:38" ht="63.75" customHeight="1" x14ac:dyDescent="0.2">
      <c r="A2" s="648"/>
      <c r="B2" s="648"/>
      <c r="C2" s="649"/>
      <c r="D2" s="643" t="s">
        <v>644</v>
      </c>
      <c r="E2" s="644"/>
      <c r="F2" s="643" t="s">
        <v>649</v>
      </c>
      <c r="G2" s="644"/>
      <c r="H2" s="643" t="s">
        <v>648</v>
      </c>
      <c r="I2" s="644"/>
      <c r="J2" s="648"/>
      <c r="K2" s="648"/>
      <c r="L2" s="648"/>
      <c r="M2" s="648"/>
      <c r="N2" s="648"/>
      <c r="O2" s="648"/>
      <c r="P2" s="643" t="s">
        <v>426</v>
      </c>
      <c r="Q2" s="644"/>
      <c r="R2" s="656" t="s">
        <v>772</v>
      </c>
      <c r="S2" s="644"/>
      <c r="T2" s="648"/>
      <c r="U2" s="648"/>
      <c r="V2" s="649"/>
      <c r="W2" s="648"/>
      <c r="X2" s="648"/>
      <c r="Y2" s="656" t="s">
        <v>773</v>
      </c>
      <c r="Z2" s="644"/>
      <c r="AA2" s="656" t="s">
        <v>774</v>
      </c>
      <c r="AB2" s="644"/>
      <c r="AC2" s="643" t="s">
        <v>654</v>
      </c>
      <c r="AD2" s="644"/>
      <c r="AE2" s="656" t="s">
        <v>775</v>
      </c>
      <c r="AF2" s="644"/>
      <c r="AG2" s="643" t="s">
        <v>645</v>
      </c>
      <c r="AH2" s="644"/>
      <c r="AI2" s="643" t="s">
        <v>655</v>
      </c>
      <c r="AJ2" s="644"/>
      <c r="AK2" s="642"/>
      <c r="AL2" s="642"/>
    </row>
    <row r="3" spans="1:38" ht="25.5" x14ac:dyDescent="0.2">
      <c r="A3" s="449"/>
      <c r="B3" s="449"/>
      <c r="C3" s="448"/>
      <c r="D3" s="426" t="s">
        <v>697</v>
      </c>
      <c r="E3" s="426" t="s">
        <v>924</v>
      </c>
      <c r="F3" s="426" t="s">
        <v>697</v>
      </c>
      <c r="G3" s="426" t="s">
        <v>924</v>
      </c>
      <c r="H3" s="426" t="s">
        <v>697</v>
      </c>
      <c r="I3" s="426" t="s">
        <v>924</v>
      </c>
      <c r="J3" s="426" t="s">
        <v>697</v>
      </c>
      <c r="K3" s="426" t="s">
        <v>924</v>
      </c>
      <c r="L3" s="426" t="s">
        <v>697</v>
      </c>
      <c r="M3" s="426" t="s">
        <v>924</v>
      </c>
      <c r="N3" s="426" t="s">
        <v>697</v>
      </c>
      <c r="O3" s="426" t="s">
        <v>924</v>
      </c>
      <c r="P3" s="426" t="s">
        <v>697</v>
      </c>
      <c r="Q3" s="426" t="s">
        <v>924</v>
      </c>
      <c r="R3" s="426" t="s">
        <v>697</v>
      </c>
      <c r="S3" s="426" t="s">
        <v>924</v>
      </c>
      <c r="T3" s="449"/>
      <c r="U3" s="449"/>
      <c r="V3" s="448"/>
      <c r="W3" s="426" t="s">
        <v>697</v>
      </c>
      <c r="X3" s="426" t="s">
        <v>924</v>
      </c>
      <c r="Y3" s="426" t="s">
        <v>697</v>
      </c>
      <c r="Z3" s="426" t="s">
        <v>924</v>
      </c>
      <c r="AA3" s="426" t="s">
        <v>697</v>
      </c>
      <c r="AB3" s="426" t="s">
        <v>924</v>
      </c>
      <c r="AC3" s="426" t="s">
        <v>697</v>
      </c>
      <c r="AD3" s="426" t="s">
        <v>924</v>
      </c>
      <c r="AE3" s="426" t="s">
        <v>697</v>
      </c>
      <c r="AF3" s="426" t="s">
        <v>924</v>
      </c>
      <c r="AG3" s="426" t="s">
        <v>697</v>
      </c>
      <c r="AH3" s="426" t="s">
        <v>924</v>
      </c>
      <c r="AI3" s="426" t="s">
        <v>697</v>
      </c>
      <c r="AJ3" s="426" t="s">
        <v>924</v>
      </c>
      <c r="AK3" s="426" t="s">
        <v>697</v>
      </c>
      <c r="AL3" s="426" t="s">
        <v>924</v>
      </c>
    </row>
    <row r="4" spans="1:38" ht="15.75" x14ac:dyDescent="0.2">
      <c r="A4" s="393"/>
      <c r="B4" s="393"/>
      <c r="C4" s="394" t="s">
        <v>427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393"/>
      <c r="U4" s="393"/>
      <c r="V4" s="394" t="s">
        <v>427</v>
      </c>
      <c r="W4" s="451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</row>
    <row r="5" spans="1:38" ht="15.75" x14ac:dyDescent="0.25">
      <c r="A5" s="395" t="s">
        <v>428</v>
      </c>
      <c r="B5" s="396"/>
      <c r="C5" s="397" t="s">
        <v>429</v>
      </c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395" t="s">
        <v>428</v>
      </c>
      <c r="U5" s="396"/>
      <c r="V5" s="397" t="s">
        <v>429</v>
      </c>
      <c r="W5" s="453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67"/>
    </row>
    <row r="6" spans="1:38" ht="15.75" x14ac:dyDescent="0.25">
      <c r="A6" s="395"/>
      <c r="B6" s="398" t="s">
        <v>430</v>
      </c>
      <c r="C6" s="399" t="s">
        <v>431</v>
      </c>
      <c r="D6" s="454"/>
      <c r="E6" s="454"/>
      <c r="F6" s="454"/>
      <c r="G6" s="454"/>
      <c r="H6" s="454">
        <v>70000</v>
      </c>
      <c r="I6" s="454">
        <f>'3.számú melléklet'!E19</f>
        <v>70000</v>
      </c>
      <c r="J6" s="454"/>
      <c r="K6" s="454"/>
      <c r="L6" s="454"/>
      <c r="M6" s="454"/>
      <c r="N6" s="454">
        <v>441000</v>
      </c>
      <c r="O6" s="454">
        <v>441000</v>
      </c>
      <c r="P6" s="454"/>
      <c r="Q6" s="454"/>
      <c r="R6" s="454"/>
      <c r="S6" s="454"/>
      <c r="T6" s="395"/>
      <c r="U6" s="398" t="s">
        <v>430</v>
      </c>
      <c r="V6" s="399" t="s">
        <v>431</v>
      </c>
      <c r="W6" s="455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64">
        <f t="shared" ref="AK6:AL59" si="0">SUM(D6+F6+H6+J6+L6+N6+P6+R6+W6+Y6+AA6+AC6+AE6+AI6+AG6)</f>
        <v>511000</v>
      </c>
      <c r="AL6" s="464">
        <f t="shared" si="0"/>
        <v>511000</v>
      </c>
    </row>
    <row r="7" spans="1:38" ht="15.75" x14ac:dyDescent="0.25">
      <c r="A7" s="395"/>
      <c r="B7" s="398" t="s">
        <v>432</v>
      </c>
      <c r="C7" s="400" t="s">
        <v>433</v>
      </c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>
        <v>381000</v>
      </c>
      <c r="O7" s="454">
        <v>381000</v>
      </c>
      <c r="P7" s="454"/>
      <c r="Q7" s="454"/>
      <c r="R7" s="454"/>
      <c r="S7" s="454"/>
      <c r="T7" s="395"/>
      <c r="U7" s="398" t="s">
        <v>432</v>
      </c>
      <c r="V7" s="400" t="s">
        <v>433</v>
      </c>
      <c r="W7" s="454"/>
      <c r="X7" s="454"/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64">
        <f t="shared" si="0"/>
        <v>381000</v>
      </c>
      <c r="AL7" s="464">
        <f t="shared" si="0"/>
        <v>381000</v>
      </c>
    </row>
    <row r="8" spans="1:38" ht="15.75" x14ac:dyDescent="0.25">
      <c r="A8" s="395"/>
      <c r="B8" s="398" t="s">
        <v>434</v>
      </c>
      <c r="C8" s="401" t="s">
        <v>435</v>
      </c>
      <c r="D8" s="454"/>
      <c r="E8" s="454"/>
      <c r="F8" s="454"/>
      <c r="G8" s="454"/>
      <c r="H8" s="454">
        <v>4513146</v>
      </c>
      <c r="I8" s="454">
        <f>'3.számú melléklet'!D23+'3.számú melléklet'!D24</f>
        <v>4513146</v>
      </c>
      <c r="J8" s="454">
        <v>273371171</v>
      </c>
      <c r="K8" s="454">
        <f>'3.számú melléklet'!D37+'3.számú melléklet'!D38</f>
        <v>273371171</v>
      </c>
      <c r="L8" s="454"/>
      <c r="M8" s="454"/>
      <c r="N8" s="454">
        <v>23645601</v>
      </c>
      <c r="O8" s="454">
        <v>23645601</v>
      </c>
      <c r="P8" s="454"/>
      <c r="Q8" s="454"/>
      <c r="R8" s="454"/>
      <c r="S8" s="454"/>
      <c r="T8" s="395"/>
      <c r="U8" s="398" t="s">
        <v>434</v>
      </c>
      <c r="V8" s="401" t="s">
        <v>435</v>
      </c>
      <c r="W8" s="456"/>
      <c r="X8" s="454">
        <v>2200000</v>
      </c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64">
        <f t="shared" si="0"/>
        <v>301529918</v>
      </c>
      <c r="AL8" s="464">
        <f t="shared" si="0"/>
        <v>303729918</v>
      </c>
    </row>
    <row r="9" spans="1:38" ht="15.75" x14ac:dyDescent="0.2">
      <c r="A9" s="402"/>
      <c r="B9" s="398" t="s">
        <v>436</v>
      </c>
      <c r="C9" s="399" t="s">
        <v>437</v>
      </c>
      <c r="D9" s="454">
        <v>369329920</v>
      </c>
      <c r="E9" s="454">
        <f>' 1.számú melléklet '!E6+' 1.számú melléklet '!E7+' 1.számú melléklet '!E8+' 1.számú melléklet '!E9+' 1.számú melléklet '!E10+' 1.számú melléklet '!E11</f>
        <v>375992194</v>
      </c>
      <c r="F9" s="454"/>
      <c r="G9" s="454">
        <f>' 1.számú melléklet '!E12</f>
        <v>10627629</v>
      </c>
      <c r="H9" s="454"/>
      <c r="I9" s="454"/>
      <c r="J9" s="454">
        <v>14258924</v>
      </c>
      <c r="K9" s="455">
        <v>14258924</v>
      </c>
      <c r="L9" s="457"/>
      <c r="M9" s="457"/>
      <c r="N9" s="457"/>
      <c r="O9" s="457"/>
      <c r="P9" s="457"/>
      <c r="Q9" s="457"/>
      <c r="R9" s="457"/>
      <c r="S9" s="457"/>
      <c r="T9" s="402"/>
      <c r="U9" s="398" t="s">
        <v>436</v>
      </c>
      <c r="V9" s="399" t="s">
        <v>437</v>
      </c>
      <c r="W9" s="455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64">
        <f t="shared" si="0"/>
        <v>383588844</v>
      </c>
      <c r="AL9" s="464">
        <f t="shared" si="0"/>
        <v>400878747</v>
      </c>
    </row>
    <row r="10" spans="1:38" ht="15.75" x14ac:dyDescent="0.2">
      <c r="A10" s="402"/>
      <c r="B10" s="398" t="s">
        <v>438</v>
      </c>
      <c r="C10" s="399" t="s">
        <v>439</v>
      </c>
      <c r="D10" s="454"/>
      <c r="E10" s="454"/>
      <c r="F10" s="454"/>
      <c r="G10" s="454"/>
      <c r="H10" s="454"/>
      <c r="I10" s="454"/>
      <c r="J10" s="454"/>
      <c r="K10" s="455"/>
      <c r="L10" s="457"/>
      <c r="M10" s="457"/>
      <c r="N10" s="457"/>
      <c r="O10" s="457"/>
      <c r="P10" s="457"/>
      <c r="Q10" s="457"/>
      <c r="R10" s="457"/>
      <c r="S10" s="457"/>
      <c r="T10" s="402"/>
      <c r="U10" s="398" t="s">
        <v>438</v>
      </c>
      <c r="V10" s="399" t="s">
        <v>439</v>
      </c>
      <c r="W10" s="455"/>
      <c r="X10" s="457"/>
      <c r="Y10" s="457"/>
      <c r="Z10" s="457"/>
      <c r="AA10" s="457"/>
      <c r="AB10" s="457"/>
      <c r="AC10" s="457"/>
      <c r="AD10" s="454"/>
      <c r="AE10" s="454"/>
      <c r="AF10" s="454"/>
      <c r="AG10" s="454"/>
      <c r="AH10" s="454"/>
      <c r="AI10" s="454">
        <v>55813230</v>
      </c>
      <c r="AJ10" s="454">
        <v>54149937</v>
      </c>
      <c r="AK10" s="464">
        <f t="shared" si="0"/>
        <v>55813230</v>
      </c>
      <c r="AL10" s="464">
        <f t="shared" si="0"/>
        <v>54149937</v>
      </c>
    </row>
    <row r="11" spans="1:38" ht="15.75" x14ac:dyDescent="0.2">
      <c r="A11" s="402"/>
      <c r="B11" s="403"/>
      <c r="C11" s="404" t="s">
        <v>440</v>
      </c>
      <c r="D11" s="458">
        <f t="shared" ref="D11" si="1">SUM(D6:D10)</f>
        <v>369329920</v>
      </c>
      <c r="E11" s="458">
        <f t="shared" ref="E11:S11" si="2">SUM(E6:E10)</f>
        <v>375992194</v>
      </c>
      <c r="F11" s="458">
        <f t="shared" ref="F11" si="3">SUM(F6:F10)</f>
        <v>0</v>
      </c>
      <c r="G11" s="458">
        <f t="shared" si="2"/>
        <v>10627629</v>
      </c>
      <c r="H11" s="458">
        <f t="shared" ref="H11" si="4">SUM(H6:H10)</f>
        <v>4583146</v>
      </c>
      <c r="I11" s="458">
        <f t="shared" si="2"/>
        <v>4583146</v>
      </c>
      <c r="J11" s="458">
        <f t="shared" ref="J11" si="5">SUM(J6:J10)</f>
        <v>287630095</v>
      </c>
      <c r="K11" s="458">
        <f t="shared" si="2"/>
        <v>287630095</v>
      </c>
      <c r="L11" s="458">
        <f t="shared" ref="L11" si="6">SUM(L6:L10)</f>
        <v>0</v>
      </c>
      <c r="M11" s="458">
        <f t="shared" si="2"/>
        <v>0</v>
      </c>
      <c r="N11" s="458">
        <f t="shared" ref="N11" si="7">SUM(N6:N10)</f>
        <v>24467601</v>
      </c>
      <c r="O11" s="458">
        <f t="shared" si="2"/>
        <v>24467601</v>
      </c>
      <c r="P11" s="458">
        <f t="shared" ref="P11" si="8">SUM(P6:P10)</f>
        <v>0</v>
      </c>
      <c r="Q11" s="458">
        <f t="shared" si="2"/>
        <v>0</v>
      </c>
      <c r="R11" s="458">
        <f t="shared" ref="R11" si="9">SUM(R6:R10)</f>
        <v>0</v>
      </c>
      <c r="S11" s="458">
        <f t="shared" si="2"/>
        <v>0</v>
      </c>
      <c r="T11" s="402"/>
      <c r="U11" s="403"/>
      <c r="V11" s="404" t="s">
        <v>440</v>
      </c>
      <c r="W11" s="458">
        <f t="shared" ref="W11" si="10">SUM(W6:W10)</f>
        <v>0</v>
      </c>
      <c r="X11" s="458">
        <f t="shared" ref="X11:AJ11" si="11">SUM(X6:X10)</f>
        <v>2200000</v>
      </c>
      <c r="Y11" s="458">
        <f t="shared" ref="Y11" si="12">SUM(Y6:Y10)</f>
        <v>0</v>
      </c>
      <c r="Z11" s="458">
        <f t="shared" si="11"/>
        <v>0</v>
      </c>
      <c r="AA11" s="458">
        <f t="shared" ref="AA11" si="13">SUM(AA6:AA10)</f>
        <v>0</v>
      </c>
      <c r="AB11" s="458">
        <f t="shared" si="11"/>
        <v>0</v>
      </c>
      <c r="AC11" s="458">
        <f t="shared" ref="AC11" si="14">SUM(AC6:AC10)</f>
        <v>0</v>
      </c>
      <c r="AD11" s="458">
        <f t="shared" si="11"/>
        <v>0</v>
      </c>
      <c r="AE11" s="458">
        <f t="shared" ref="AE11" si="15">SUM(AE6:AE10)</f>
        <v>0</v>
      </c>
      <c r="AF11" s="458">
        <f t="shared" si="11"/>
        <v>0</v>
      </c>
      <c r="AG11" s="458">
        <f t="shared" ref="AG11" si="16">SUM(AG6:AG10)</f>
        <v>0</v>
      </c>
      <c r="AH11" s="458">
        <f t="shared" si="11"/>
        <v>0</v>
      </c>
      <c r="AI11" s="458">
        <f t="shared" ref="AI11" si="17">SUM(AI6:AI10)</f>
        <v>55813230</v>
      </c>
      <c r="AJ11" s="458">
        <f t="shared" si="11"/>
        <v>54149937</v>
      </c>
      <c r="AK11" s="459">
        <f t="shared" si="0"/>
        <v>741823992</v>
      </c>
      <c r="AL11" s="459">
        <f t="shared" si="0"/>
        <v>759650602</v>
      </c>
    </row>
    <row r="12" spans="1:38" ht="15.75" x14ac:dyDescent="0.2">
      <c r="A12" s="405" t="s">
        <v>441</v>
      </c>
      <c r="B12" s="399"/>
      <c r="C12" s="406" t="s">
        <v>442</v>
      </c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05" t="s">
        <v>441</v>
      </c>
      <c r="U12" s="399"/>
      <c r="V12" s="406" t="s">
        <v>442</v>
      </c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  <c r="AI12" s="454"/>
      <c r="AJ12" s="454"/>
      <c r="AK12" s="464">
        <f t="shared" si="0"/>
        <v>0</v>
      </c>
      <c r="AL12" s="464">
        <f t="shared" si="0"/>
        <v>0</v>
      </c>
    </row>
    <row r="13" spans="1:38" ht="15.75" x14ac:dyDescent="0.2">
      <c r="A13" s="396"/>
      <c r="B13" s="398" t="s">
        <v>443</v>
      </c>
      <c r="C13" s="400" t="s">
        <v>444</v>
      </c>
      <c r="D13" s="454"/>
      <c r="E13" s="454"/>
      <c r="F13" s="454"/>
      <c r="G13" s="454"/>
      <c r="H13" s="454">
        <v>10326772</v>
      </c>
      <c r="I13" s="454">
        <f>'3.számú melléklet'!E17</f>
        <v>9233588</v>
      </c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396"/>
      <c r="U13" s="398" t="s">
        <v>443</v>
      </c>
      <c r="V13" s="400" t="s">
        <v>444</v>
      </c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64">
        <f t="shared" si="0"/>
        <v>10326772</v>
      </c>
      <c r="AL13" s="464">
        <f t="shared" si="0"/>
        <v>9233588</v>
      </c>
    </row>
    <row r="14" spans="1:38" ht="15.75" x14ac:dyDescent="0.2">
      <c r="A14" s="396"/>
      <c r="B14" s="398" t="s">
        <v>445</v>
      </c>
      <c r="C14" s="400" t="s">
        <v>446</v>
      </c>
      <c r="D14" s="454"/>
      <c r="E14" s="454"/>
      <c r="F14" s="454"/>
      <c r="G14" s="454"/>
      <c r="H14" s="454">
        <v>39864247</v>
      </c>
      <c r="I14" s="454">
        <v>39864247</v>
      </c>
      <c r="J14" s="454">
        <v>193464555</v>
      </c>
      <c r="K14" s="454">
        <f>'3.számú melléklet'!D36</f>
        <v>193464555</v>
      </c>
      <c r="L14" s="454"/>
      <c r="M14" s="454"/>
      <c r="N14" s="454">
        <v>63500</v>
      </c>
      <c r="O14" s="454">
        <v>63500</v>
      </c>
      <c r="P14" s="454"/>
      <c r="Q14" s="454"/>
      <c r="R14" s="454"/>
      <c r="S14" s="454"/>
      <c r="T14" s="396"/>
      <c r="U14" s="398" t="s">
        <v>445</v>
      </c>
      <c r="V14" s="400" t="s">
        <v>446</v>
      </c>
      <c r="W14" s="454"/>
      <c r="X14" s="454"/>
      <c r="Y14" s="454"/>
      <c r="Z14" s="454"/>
      <c r="AA14" s="454">
        <v>30000</v>
      </c>
      <c r="AB14" s="454">
        <v>30000</v>
      </c>
      <c r="AC14" s="454"/>
      <c r="AD14" s="454"/>
      <c r="AE14" s="454"/>
      <c r="AF14" s="454"/>
      <c r="AG14" s="454"/>
      <c r="AH14" s="454"/>
      <c r="AI14" s="454"/>
      <c r="AJ14" s="454"/>
      <c r="AK14" s="464">
        <f t="shared" si="0"/>
        <v>233422302</v>
      </c>
      <c r="AL14" s="464">
        <f t="shared" si="0"/>
        <v>233422302</v>
      </c>
    </row>
    <row r="15" spans="1:38" ht="15.75" x14ac:dyDescent="0.2">
      <c r="A15" s="396"/>
      <c r="B15" s="398" t="s">
        <v>447</v>
      </c>
      <c r="C15" s="400" t="s">
        <v>448</v>
      </c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396"/>
      <c r="U15" s="398" t="s">
        <v>447</v>
      </c>
      <c r="V15" s="400" t="s">
        <v>448</v>
      </c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64">
        <f t="shared" si="0"/>
        <v>0</v>
      </c>
      <c r="AL15" s="464">
        <f t="shared" si="0"/>
        <v>0</v>
      </c>
    </row>
    <row r="16" spans="1:38" ht="15.75" x14ac:dyDescent="0.2">
      <c r="A16" s="396"/>
      <c r="B16" s="403"/>
      <c r="C16" s="404" t="s">
        <v>449</v>
      </c>
      <c r="D16" s="459">
        <f t="shared" ref="D16" si="18">SUM(D13:D15)</f>
        <v>0</v>
      </c>
      <c r="E16" s="459">
        <f t="shared" ref="E16:S16" si="19">SUM(E13:E15)</f>
        <v>0</v>
      </c>
      <c r="F16" s="459">
        <f t="shared" ref="F16" si="20">SUM(F13:F15)</f>
        <v>0</v>
      </c>
      <c r="G16" s="459">
        <f t="shared" si="19"/>
        <v>0</v>
      </c>
      <c r="H16" s="459">
        <f t="shared" ref="H16" si="21">SUM(H13:H15)</f>
        <v>50191019</v>
      </c>
      <c r="I16" s="459">
        <f t="shared" si="19"/>
        <v>49097835</v>
      </c>
      <c r="J16" s="459">
        <f t="shared" ref="J16" si="22">SUM(J13:J15)</f>
        <v>193464555</v>
      </c>
      <c r="K16" s="459">
        <f t="shared" si="19"/>
        <v>193464555</v>
      </c>
      <c r="L16" s="459">
        <f t="shared" ref="L16" si="23">SUM(L13:L15)</f>
        <v>0</v>
      </c>
      <c r="M16" s="459">
        <f t="shared" si="19"/>
        <v>0</v>
      </c>
      <c r="N16" s="459">
        <f t="shared" ref="N16" si="24">SUM(N13:N15)</f>
        <v>63500</v>
      </c>
      <c r="O16" s="459">
        <f t="shared" si="19"/>
        <v>63500</v>
      </c>
      <c r="P16" s="459">
        <f t="shared" ref="P16" si="25">SUM(P13:P15)</f>
        <v>0</v>
      </c>
      <c r="Q16" s="459">
        <f t="shared" si="19"/>
        <v>0</v>
      </c>
      <c r="R16" s="459">
        <f t="shared" ref="R16" si="26">SUM(R13:R15)</f>
        <v>0</v>
      </c>
      <c r="S16" s="459">
        <f t="shared" si="19"/>
        <v>0</v>
      </c>
      <c r="T16" s="396"/>
      <c r="U16" s="403"/>
      <c r="V16" s="404" t="s">
        <v>449</v>
      </c>
      <c r="W16" s="459">
        <f t="shared" ref="W16" si="27">SUM(W13:W15)</f>
        <v>0</v>
      </c>
      <c r="X16" s="459">
        <f t="shared" ref="X16:AJ16" si="28">SUM(X13:X15)</f>
        <v>0</v>
      </c>
      <c r="Y16" s="459">
        <f t="shared" si="28"/>
        <v>0</v>
      </c>
      <c r="Z16" s="459">
        <f t="shared" si="28"/>
        <v>0</v>
      </c>
      <c r="AA16" s="459">
        <f t="shared" si="28"/>
        <v>30000</v>
      </c>
      <c r="AB16" s="459">
        <f t="shared" si="28"/>
        <v>30000</v>
      </c>
      <c r="AC16" s="459">
        <f t="shared" si="28"/>
        <v>0</v>
      </c>
      <c r="AD16" s="459">
        <f t="shared" si="28"/>
        <v>0</v>
      </c>
      <c r="AE16" s="459">
        <f t="shared" si="28"/>
        <v>0</v>
      </c>
      <c r="AF16" s="459">
        <f t="shared" si="28"/>
        <v>0</v>
      </c>
      <c r="AG16" s="459">
        <f t="shared" si="28"/>
        <v>0</v>
      </c>
      <c r="AH16" s="459">
        <f t="shared" si="28"/>
        <v>0</v>
      </c>
      <c r="AI16" s="459">
        <f t="shared" si="28"/>
        <v>0</v>
      </c>
      <c r="AJ16" s="459">
        <f t="shared" si="28"/>
        <v>0</v>
      </c>
      <c r="AK16" s="459">
        <f t="shared" si="0"/>
        <v>243749074</v>
      </c>
      <c r="AL16" s="459">
        <f t="shared" si="0"/>
        <v>242655890</v>
      </c>
    </row>
    <row r="17" spans="1:38" ht="15.75" x14ac:dyDescent="0.2">
      <c r="A17" s="405" t="s">
        <v>450</v>
      </c>
      <c r="B17" s="399"/>
      <c r="C17" s="405" t="s">
        <v>451</v>
      </c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05" t="s">
        <v>450</v>
      </c>
      <c r="U17" s="399"/>
      <c r="V17" s="405" t="s">
        <v>451</v>
      </c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64">
        <f t="shared" si="0"/>
        <v>0</v>
      </c>
      <c r="AL17" s="464">
        <f t="shared" si="0"/>
        <v>0</v>
      </c>
    </row>
    <row r="18" spans="1:38" ht="15.75" x14ac:dyDescent="0.2">
      <c r="A18" s="396"/>
      <c r="B18" s="398" t="s">
        <v>452</v>
      </c>
      <c r="C18" s="400" t="s">
        <v>453</v>
      </c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>
        <v>472000</v>
      </c>
      <c r="O18" s="454">
        <v>472000</v>
      </c>
      <c r="P18" s="454"/>
      <c r="Q18" s="454"/>
      <c r="R18" s="454"/>
      <c r="S18" s="454"/>
      <c r="T18" s="396"/>
      <c r="U18" s="398" t="s">
        <v>452</v>
      </c>
      <c r="V18" s="400" t="s">
        <v>453</v>
      </c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64">
        <f t="shared" si="0"/>
        <v>472000</v>
      </c>
      <c r="AL18" s="464">
        <f t="shared" si="0"/>
        <v>472000</v>
      </c>
    </row>
    <row r="19" spans="1:38" ht="15.75" x14ac:dyDescent="0.2">
      <c r="A19" s="396"/>
      <c r="B19" s="398" t="s">
        <v>454</v>
      </c>
      <c r="C19" s="400" t="s">
        <v>455</v>
      </c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>
        <v>32921000</v>
      </c>
      <c r="O19" s="454">
        <v>32921000</v>
      </c>
      <c r="P19" s="454"/>
      <c r="Q19" s="454"/>
      <c r="R19" s="454"/>
      <c r="S19" s="454"/>
      <c r="T19" s="396"/>
      <c r="U19" s="398" t="s">
        <v>454</v>
      </c>
      <c r="V19" s="400" t="s">
        <v>455</v>
      </c>
      <c r="W19" s="454"/>
      <c r="X19" s="454"/>
      <c r="Y19" s="454"/>
      <c r="Z19" s="454"/>
      <c r="AA19" s="454">
        <v>30000</v>
      </c>
      <c r="AB19" s="454">
        <v>30000</v>
      </c>
      <c r="AC19" s="454"/>
      <c r="AD19" s="454"/>
      <c r="AE19" s="454"/>
      <c r="AF19" s="454"/>
      <c r="AG19" s="454"/>
      <c r="AH19" s="454"/>
      <c r="AI19" s="454"/>
      <c r="AJ19" s="454"/>
      <c r="AK19" s="464">
        <f t="shared" si="0"/>
        <v>32951000</v>
      </c>
      <c r="AL19" s="464">
        <f t="shared" si="0"/>
        <v>32951000</v>
      </c>
    </row>
    <row r="20" spans="1:38" ht="15.75" x14ac:dyDescent="0.2">
      <c r="A20" s="396"/>
      <c r="B20" s="403"/>
      <c r="C20" s="404" t="s">
        <v>456</v>
      </c>
      <c r="D20" s="459">
        <f t="shared" ref="D20" si="29">SUM(D18:D19)</f>
        <v>0</v>
      </c>
      <c r="E20" s="459">
        <f t="shared" ref="E20:AB20" si="30">SUM(E18:E19)</f>
        <v>0</v>
      </c>
      <c r="F20" s="459">
        <f t="shared" ref="F20" si="31">SUM(F18:F19)</f>
        <v>0</v>
      </c>
      <c r="G20" s="459">
        <f t="shared" si="30"/>
        <v>0</v>
      </c>
      <c r="H20" s="459">
        <f t="shared" ref="H20" si="32">SUM(H18:H19)</f>
        <v>0</v>
      </c>
      <c r="I20" s="459">
        <f t="shared" si="30"/>
        <v>0</v>
      </c>
      <c r="J20" s="459">
        <f t="shared" ref="J20" si="33">SUM(J18:J19)</f>
        <v>0</v>
      </c>
      <c r="K20" s="459">
        <f t="shared" si="30"/>
        <v>0</v>
      </c>
      <c r="L20" s="459">
        <f t="shared" ref="L20" si="34">SUM(L18:L19)</f>
        <v>0</v>
      </c>
      <c r="M20" s="459">
        <f t="shared" si="30"/>
        <v>0</v>
      </c>
      <c r="N20" s="459">
        <f t="shared" ref="N20" si="35">SUM(N18:N19)</f>
        <v>33393000</v>
      </c>
      <c r="O20" s="459">
        <f t="shared" si="30"/>
        <v>33393000</v>
      </c>
      <c r="P20" s="459">
        <f t="shared" ref="P20" si="36">SUM(P18:P19)</f>
        <v>0</v>
      </c>
      <c r="Q20" s="459">
        <f t="shared" si="30"/>
        <v>0</v>
      </c>
      <c r="R20" s="459">
        <f t="shared" ref="R20" si="37">SUM(R18:R19)</f>
        <v>0</v>
      </c>
      <c r="S20" s="459">
        <f t="shared" si="30"/>
        <v>0</v>
      </c>
      <c r="T20" s="396"/>
      <c r="U20" s="403"/>
      <c r="V20" s="404" t="s">
        <v>456</v>
      </c>
      <c r="W20" s="459">
        <f t="shared" ref="W20" si="38">SUM(W18:W19)</f>
        <v>0</v>
      </c>
      <c r="X20" s="459">
        <f t="shared" si="30"/>
        <v>0</v>
      </c>
      <c r="Y20" s="459">
        <f t="shared" ref="Y20" si="39">SUM(Y18:Y19)</f>
        <v>0</v>
      </c>
      <c r="Z20" s="459">
        <f t="shared" si="30"/>
        <v>0</v>
      </c>
      <c r="AA20" s="459">
        <f t="shared" ref="AA20" si="40">SUM(AA18:AA19)</f>
        <v>30000</v>
      </c>
      <c r="AB20" s="459">
        <f t="shared" si="30"/>
        <v>30000</v>
      </c>
      <c r="AC20" s="459">
        <f t="shared" ref="AC20" si="41">SUM(AC18:AC19)</f>
        <v>0</v>
      </c>
      <c r="AD20" s="459">
        <f>SUM(AD16:AD19)</f>
        <v>0</v>
      </c>
      <c r="AE20" s="459">
        <f t="shared" ref="AE20" si="42">SUM(AE18:AE19)</f>
        <v>0</v>
      </c>
      <c r="AF20" s="459">
        <f>SUM(AF16:AF19)</f>
        <v>0</v>
      </c>
      <c r="AG20" s="459">
        <f t="shared" ref="AG20" si="43">SUM(AG18:AG19)</f>
        <v>0</v>
      </c>
      <c r="AH20" s="459">
        <f>SUM(AH16:AH19)</f>
        <v>0</v>
      </c>
      <c r="AI20" s="459">
        <f t="shared" ref="AI20" si="44">SUM(AI18:AI19)</f>
        <v>0</v>
      </c>
      <c r="AJ20" s="459">
        <f>SUM(AJ18:AJ19)</f>
        <v>0</v>
      </c>
      <c r="AK20" s="459">
        <f t="shared" si="0"/>
        <v>33423000</v>
      </c>
      <c r="AL20" s="459">
        <f t="shared" si="0"/>
        <v>33423000</v>
      </c>
    </row>
    <row r="21" spans="1:38" ht="15.75" x14ac:dyDescent="0.2">
      <c r="A21" s="407" t="s">
        <v>457</v>
      </c>
      <c r="B21" s="399"/>
      <c r="C21" s="405" t="s">
        <v>458</v>
      </c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07" t="s">
        <v>457</v>
      </c>
      <c r="U21" s="399"/>
      <c r="V21" s="405" t="s">
        <v>458</v>
      </c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64">
        <f t="shared" si="0"/>
        <v>0</v>
      </c>
      <c r="AL21" s="464">
        <f t="shared" si="0"/>
        <v>0</v>
      </c>
    </row>
    <row r="22" spans="1:38" ht="15.75" x14ac:dyDescent="0.2">
      <c r="A22" s="402"/>
      <c r="B22" s="398" t="s">
        <v>459</v>
      </c>
      <c r="C22" s="399" t="s">
        <v>460</v>
      </c>
      <c r="D22" s="454"/>
      <c r="E22" s="454"/>
      <c r="F22" s="454"/>
      <c r="G22" s="454"/>
      <c r="H22" s="454"/>
      <c r="I22" s="454"/>
      <c r="J22" s="454"/>
      <c r="K22" s="457"/>
      <c r="L22" s="454"/>
      <c r="M22" s="457"/>
      <c r="N22" s="457"/>
      <c r="O22" s="457"/>
      <c r="P22" s="454"/>
      <c r="Q22" s="457"/>
      <c r="R22" s="454"/>
      <c r="S22" s="457"/>
      <c r="T22" s="402"/>
      <c r="U22" s="398" t="s">
        <v>459</v>
      </c>
      <c r="V22" s="399" t="s">
        <v>460</v>
      </c>
      <c r="W22" s="454"/>
      <c r="X22" s="457"/>
      <c r="Y22" s="454">
        <v>705000</v>
      </c>
      <c r="Z22" s="454">
        <f>'3.számú melléklet'!D57</f>
        <v>705000</v>
      </c>
      <c r="AA22" s="454"/>
      <c r="AB22" s="454"/>
      <c r="AC22" s="454"/>
      <c r="AD22" s="454"/>
      <c r="AE22" s="454"/>
      <c r="AF22" s="454"/>
      <c r="AG22" s="454"/>
      <c r="AH22" s="454"/>
      <c r="AI22" s="454"/>
      <c r="AJ22" s="454"/>
      <c r="AK22" s="464">
        <f t="shared" si="0"/>
        <v>705000</v>
      </c>
      <c r="AL22" s="464">
        <f t="shared" si="0"/>
        <v>705000</v>
      </c>
    </row>
    <row r="23" spans="1:38" ht="15.75" x14ac:dyDescent="0.2">
      <c r="A23" s="396"/>
      <c r="B23" s="398" t="s">
        <v>693</v>
      </c>
      <c r="C23" s="400" t="s">
        <v>461</v>
      </c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>
        <v>5745000</v>
      </c>
      <c r="O23" s="454">
        <v>5745000</v>
      </c>
      <c r="P23" s="454"/>
      <c r="Q23" s="454"/>
      <c r="R23" s="454"/>
      <c r="S23" s="454"/>
      <c r="T23" s="396"/>
      <c r="U23" s="398" t="s">
        <v>693</v>
      </c>
      <c r="V23" s="400" t="s">
        <v>461</v>
      </c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64">
        <f t="shared" si="0"/>
        <v>5745000</v>
      </c>
      <c r="AL23" s="464">
        <f t="shared" si="0"/>
        <v>5745000</v>
      </c>
    </row>
    <row r="24" spans="1:38" ht="15.75" x14ac:dyDescent="0.2">
      <c r="A24" s="396"/>
      <c r="B24" s="398" t="s">
        <v>462</v>
      </c>
      <c r="C24" s="400" t="s">
        <v>463</v>
      </c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396"/>
      <c r="U24" s="398" t="s">
        <v>462</v>
      </c>
      <c r="V24" s="400" t="s">
        <v>463</v>
      </c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64">
        <f t="shared" si="0"/>
        <v>0</v>
      </c>
      <c r="AL24" s="464">
        <f t="shared" si="0"/>
        <v>0</v>
      </c>
    </row>
    <row r="25" spans="1:38" ht="15.75" x14ac:dyDescent="0.2">
      <c r="A25" s="396"/>
      <c r="B25" s="398" t="s">
        <v>464</v>
      </c>
      <c r="C25" s="400" t="s">
        <v>465</v>
      </c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396"/>
      <c r="U25" s="398" t="s">
        <v>464</v>
      </c>
      <c r="V25" s="400" t="s">
        <v>465</v>
      </c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64">
        <f t="shared" si="0"/>
        <v>0</v>
      </c>
      <c r="AL25" s="464">
        <f t="shared" si="0"/>
        <v>0</v>
      </c>
    </row>
    <row r="26" spans="1:38" ht="15.75" x14ac:dyDescent="0.2">
      <c r="A26" s="396"/>
      <c r="B26" s="398" t="s">
        <v>466</v>
      </c>
      <c r="C26" s="400" t="s">
        <v>467</v>
      </c>
      <c r="D26" s="454"/>
      <c r="E26" s="454"/>
      <c r="F26" s="454"/>
      <c r="G26" s="454"/>
      <c r="H26" s="454">
        <v>2416860</v>
      </c>
      <c r="I26" s="454">
        <f>'3.számú melléklet'!D21</f>
        <v>2416860</v>
      </c>
      <c r="J26" s="454">
        <v>88550534</v>
      </c>
      <c r="K26" s="454">
        <v>89089849</v>
      </c>
      <c r="L26" s="454"/>
      <c r="M26" s="454"/>
      <c r="N26" s="454">
        <v>1533000</v>
      </c>
      <c r="O26" s="454">
        <v>1533000</v>
      </c>
      <c r="P26" s="454"/>
      <c r="Q26" s="454"/>
      <c r="R26" s="454"/>
      <c r="S26" s="454"/>
      <c r="T26" s="396"/>
      <c r="U26" s="398" t="s">
        <v>466</v>
      </c>
      <c r="V26" s="400" t="s">
        <v>467</v>
      </c>
      <c r="W26" s="454"/>
      <c r="X26" s="454"/>
      <c r="Y26" s="454"/>
      <c r="Z26" s="454"/>
      <c r="AA26" s="454">
        <v>348000</v>
      </c>
      <c r="AB26" s="454">
        <v>348000</v>
      </c>
      <c r="AC26" s="454"/>
      <c r="AD26" s="454"/>
      <c r="AE26" s="454"/>
      <c r="AF26" s="454"/>
      <c r="AG26" s="454"/>
      <c r="AH26" s="454"/>
      <c r="AI26" s="454"/>
      <c r="AJ26" s="454"/>
      <c r="AK26" s="464">
        <f t="shared" si="0"/>
        <v>92848394</v>
      </c>
      <c r="AL26" s="464">
        <f t="shared" si="0"/>
        <v>93387709</v>
      </c>
    </row>
    <row r="27" spans="1:38" ht="15.75" x14ac:dyDescent="0.2">
      <c r="A27" s="396"/>
      <c r="B27" s="403"/>
      <c r="C27" s="408" t="s">
        <v>468</v>
      </c>
      <c r="D27" s="459">
        <f t="shared" ref="D27" si="45">SUM(D22:D26)</f>
        <v>0</v>
      </c>
      <c r="E27" s="459">
        <f t="shared" ref="E27:AB27" si="46">SUM(E22:E26)</f>
        <v>0</v>
      </c>
      <c r="F27" s="459">
        <f t="shared" ref="F27" si="47">SUM(F22:F26)</f>
        <v>0</v>
      </c>
      <c r="G27" s="459">
        <f t="shared" si="46"/>
        <v>0</v>
      </c>
      <c r="H27" s="459">
        <f t="shared" ref="H27" si="48">SUM(H22:H26)</f>
        <v>2416860</v>
      </c>
      <c r="I27" s="459">
        <f t="shared" si="46"/>
        <v>2416860</v>
      </c>
      <c r="J27" s="459">
        <f t="shared" ref="J27" si="49">SUM(J22:J26)</f>
        <v>88550534</v>
      </c>
      <c r="K27" s="459">
        <f t="shared" si="46"/>
        <v>89089849</v>
      </c>
      <c r="L27" s="459">
        <f t="shared" ref="L27" si="50">SUM(L22:L26)</f>
        <v>0</v>
      </c>
      <c r="M27" s="459">
        <f t="shared" si="46"/>
        <v>0</v>
      </c>
      <c r="N27" s="459">
        <f t="shared" ref="N27" si="51">SUM(N22:N26)</f>
        <v>7278000</v>
      </c>
      <c r="O27" s="459">
        <f t="shared" si="46"/>
        <v>7278000</v>
      </c>
      <c r="P27" s="459">
        <f t="shared" ref="P27" si="52">SUM(P22:P26)</f>
        <v>0</v>
      </c>
      <c r="Q27" s="459">
        <f t="shared" si="46"/>
        <v>0</v>
      </c>
      <c r="R27" s="459">
        <f t="shared" ref="R27" si="53">SUM(R22:R26)</f>
        <v>0</v>
      </c>
      <c r="S27" s="459">
        <f t="shared" si="46"/>
        <v>0</v>
      </c>
      <c r="T27" s="396"/>
      <c r="U27" s="403"/>
      <c r="V27" s="408" t="s">
        <v>468</v>
      </c>
      <c r="W27" s="459">
        <f t="shared" ref="W27" si="54">SUM(W22:W26)</f>
        <v>0</v>
      </c>
      <c r="X27" s="459">
        <f t="shared" si="46"/>
        <v>0</v>
      </c>
      <c r="Y27" s="459">
        <f t="shared" ref="Y27" si="55">SUM(Y22:Y26)</f>
        <v>705000</v>
      </c>
      <c r="Z27" s="459">
        <f t="shared" si="46"/>
        <v>705000</v>
      </c>
      <c r="AA27" s="459">
        <f t="shared" ref="AA27" si="56">SUM(AA22:AA26)</f>
        <v>348000</v>
      </c>
      <c r="AB27" s="459">
        <f t="shared" si="46"/>
        <v>348000</v>
      </c>
      <c r="AC27" s="459">
        <f t="shared" ref="AC27" si="57">SUM(AC22:AC26)</f>
        <v>0</v>
      </c>
      <c r="AD27" s="459">
        <f>SUM(AD23:AD26)</f>
        <v>0</v>
      </c>
      <c r="AE27" s="459">
        <f t="shared" ref="AE27" si="58">SUM(AE22:AE26)</f>
        <v>0</v>
      </c>
      <c r="AF27" s="459">
        <f>SUM(AF23:AF26)</f>
        <v>0</v>
      </c>
      <c r="AG27" s="459">
        <f t="shared" ref="AG27" si="59">SUM(AG22:AG26)</f>
        <v>0</v>
      </c>
      <c r="AH27" s="459">
        <f>SUM(AH23:AH26)</f>
        <v>0</v>
      </c>
      <c r="AI27" s="459">
        <f t="shared" ref="AI27" si="60">SUM(AI22:AI26)</f>
        <v>0</v>
      </c>
      <c r="AJ27" s="459">
        <f>SUM(AJ22:AJ26)</f>
        <v>0</v>
      </c>
      <c r="AK27" s="459">
        <f t="shared" si="0"/>
        <v>99298394</v>
      </c>
      <c r="AL27" s="459">
        <f t="shared" si="0"/>
        <v>99837709</v>
      </c>
    </row>
    <row r="28" spans="1:38" ht="15.75" x14ac:dyDescent="0.2">
      <c r="A28" s="407" t="s">
        <v>469</v>
      </c>
      <c r="B28" s="399"/>
      <c r="C28" s="405" t="s">
        <v>470</v>
      </c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07" t="s">
        <v>469</v>
      </c>
      <c r="U28" s="399"/>
      <c r="V28" s="405" t="s">
        <v>470</v>
      </c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64">
        <f t="shared" si="0"/>
        <v>0</v>
      </c>
      <c r="AL28" s="464">
        <f t="shared" si="0"/>
        <v>0</v>
      </c>
    </row>
    <row r="29" spans="1:38" ht="15.75" x14ac:dyDescent="0.2">
      <c r="A29" s="407"/>
      <c r="B29" s="398" t="s">
        <v>471</v>
      </c>
      <c r="C29" s="399" t="s">
        <v>472</v>
      </c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07"/>
      <c r="U29" s="398" t="s">
        <v>471</v>
      </c>
      <c r="V29" s="399" t="s">
        <v>472</v>
      </c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464">
        <f t="shared" si="0"/>
        <v>0</v>
      </c>
      <c r="AL29" s="464">
        <f t="shared" si="0"/>
        <v>0</v>
      </c>
    </row>
    <row r="30" spans="1:38" ht="15.75" x14ac:dyDescent="0.2">
      <c r="A30" s="396"/>
      <c r="B30" s="398" t="s">
        <v>473</v>
      </c>
      <c r="C30" s="400" t="s">
        <v>474</v>
      </c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396"/>
      <c r="U30" s="398" t="s">
        <v>473</v>
      </c>
      <c r="V30" s="400" t="s">
        <v>474</v>
      </c>
      <c r="W30" s="454"/>
      <c r="X30" s="454"/>
      <c r="Y30" s="454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464">
        <f t="shared" si="0"/>
        <v>0</v>
      </c>
      <c r="AL30" s="464">
        <f t="shared" si="0"/>
        <v>0</v>
      </c>
    </row>
    <row r="31" spans="1:38" ht="15.75" x14ac:dyDescent="0.2">
      <c r="A31" s="396"/>
      <c r="B31" s="398" t="s">
        <v>475</v>
      </c>
      <c r="C31" s="400" t="s">
        <v>476</v>
      </c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396"/>
      <c r="U31" s="398" t="s">
        <v>475</v>
      </c>
      <c r="V31" s="400" t="s">
        <v>476</v>
      </c>
      <c r="W31" s="454"/>
      <c r="X31" s="454"/>
      <c r="Y31" s="454"/>
      <c r="Z31" s="454"/>
      <c r="AA31" s="454"/>
      <c r="AB31" s="454"/>
      <c r="AC31" s="454"/>
      <c r="AD31" s="454"/>
      <c r="AE31" s="454"/>
      <c r="AF31" s="454"/>
      <c r="AG31" s="454"/>
      <c r="AH31" s="454"/>
      <c r="AI31" s="454"/>
      <c r="AJ31" s="454"/>
      <c r="AK31" s="464">
        <f t="shared" si="0"/>
        <v>0</v>
      </c>
      <c r="AL31" s="464">
        <f t="shared" si="0"/>
        <v>0</v>
      </c>
    </row>
    <row r="32" spans="1:38" ht="15.75" x14ac:dyDescent="0.2">
      <c r="A32" s="396"/>
      <c r="B32" s="398" t="s">
        <v>477</v>
      </c>
      <c r="C32" s="400" t="s">
        <v>478</v>
      </c>
      <c r="D32" s="454"/>
      <c r="E32" s="454"/>
      <c r="F32" s="454"/>
      <c r="G32" s="454"/>
      <c r="H32" s="454">
        <v>5367600</v>
      </c>
      <c r="I32" s="454">
        <v>5367600</v>
      </c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396"/>
      <c r="U32" s="398" t="s">
        <v>477</v>
      </c>
      <c r="V32" s="400" t="s">
        <v>478</v>
      </c>
      <c r="W32" s="454"/>
      <c r="X32" s="454"/>
      <c r="Y32" s="454"/>
      <c r="Z32" s="454"/>
      <c r="AA32" s="454"/>
      <c r="AB32" s="454"/>
      <c r="AC32" s="454"/>
      <c r="AD32" s="454"/>
      <c r="AE32" s="454"/>
      <c r="AF32" s="454"/>
      <c r="AG32" s="454"/>
      <c r="AH32" s="454"/>
      <c r="AI32" s="454"/>
      <c r="AJ32" s="454"/>
      <c r="AK32" s="464">
        <f t="shared" si="0"/>
        <v>5367600</v>
      </c>
      <c r="AL32" s="464">
        <f t="shared" si="0"/>
        <v>5367600</v>
      </c>
    </row>
    <row r="33" spans="1:38" ht="15.75" x14ac:dyDescent="0.2">
      <c r="A33" s="396"/>
      <c r="B33" s="398" t="s">
        <v>479</v>
      </c>
      <c r="C33" s="400" t="s">
        <v>480</v>
      </c>
      <c r="D33" s="454"/>
      <c r="E33" s="454"/>
      <c r="F33" s="454"/>
      <c r="G33" s="454"/>
      <c r="H33" s="454">
        <v>153600</v>
      </c>
      <c r="I33" s="454">
        <v>153600</v>
      </c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396"/>
      <c r="U33" s="398" t="s">
        <v>479</v>
      </c>
      <c r="V33" s="400" t="s">
        <v>480</v>
      </c>
      <c r="W33" s="454"/>
      <c r="X33" s="454"/>
      <c r="Y33" s="454"/>
      <c r="Z33" s="454"/>
      <c r="AA33" s="454"/>
      <c r="AB33" s="454"/>
      <c r="AC33" s="454"/>
      <c r="AD33" s="454"/>
      <c r="AE33" s="454"/>
      <c r="AF33" s="454"/>
      <c r="AG33" s="454"/>
      <c r="AH33" s="454"/>
      <c r="AI33" s="454"/>
      <c r="AJ33" s="454"/>
      <c r="AK33" s="464">
        <f t="shared" si="0"/>
        <v>153600</v>
      </c>
      <c r="AL33" s="464">
        <f t="shared" si="0"/>
        <v>153600</v>
      </c>
    </row>
    <row r="34" spans="1:38" ht="15.75" x14ac:dyDescent="0.2">
      <c r="A34" s="396"/>
      <c r="B34" s="403"/>
      <c r="C34" s="408" t="s">
        <v>481</v>
      </c>
      <c r="D34" s="459">
        <f t="shared" ref="D34" si="61">SUM(D29:D33)</f>
        <v>0</v>
      </c>
      <c r="E34" s="459">
        <f t="shared" ref="E34:AB34" si="62">SUM(E29:E33)</f>
        <v>0</v>
      </c>
      <c r="F34" s="459">
        <f t="shared" ref="F34" si="63">SUM(F29:F33)</f>
        <v>0</v>
      </c>
      <c r="G34" s="459">
        <f t="shared" si="62"/>
        <v>0</v>
      </c>
      <c r="H34" s="459">
        <f t="shared" ref="H34" si="64">SUM(H29:H33)</f>
        <v>5521200</v>
      </c>
      <c r="I34" s="459">
        <f t="shared" si="62"/>
        <v>5521200</v>
      </c>
      <c r="J34" s="459">
        <f t="shared" ref="J34" si="65">SUM(J29:J33)</f>
        <v>0</v>
      </c>
      <c r="K34" s="459">
        <f t="shared" si="62"/>
        <v>0</v>
      </c>
      <c r="L34" s="459">
        <f t="shared" ref="L34" si="66">SUM(L29:L33)</f>
        <v>0</v>
      </c>
      <c r="M34" s="459">
        <f t="shared" si="62"/>
        <v>0</v>
      </c>
      <c r="N34" s="459">
        <f t="shared" ref="N34" si="67">SUM(N29:N33)</f>
        <v>0</v>
      </c>
      <c r="O34" s="459">
        <f t="shared" si="62"/>
        <v>0</v>
      </c>
      <c r="P34" s="459">
        <f t="shared" ref="P34" si="68">SUM(P29:P33)</f>
        <v>0</v>
      </c>
      <c r="Q34" s="459">
        <f t="shared" si="62"/>
        <v>0</v>
      </c>
      <c r="R34" s="459">
        <f t="shared" ref="R34" si="69">SUM(R29:R33)</f>
        <v>0</v>
      </c>
      <c r="S34" s="459">
        <f t="shared" si="62"/>
        <v>0</v>
      </c>
      <c r="T34" s="396"/>
      <c r="U34" s="403"/>
      <c r="V34" s="408" t="s">
        <v>481</v>
      </c>
      <c r="W34" s="459">
        <f t="shared" ref="W34" si="70">SUM(W29:W33)</f>
        <v>0</v>
      </c>
      <c r="X34" s="459">
        <f t="shared" si="62"/>
        <v>0</v>
      </c>
      <c r="Y34" s="459">
        <f t="shared" ref="Y34" si="71">SUM(Y29:Y33)</f>
        <v>0</v>
      </c>
      <c r="Z34" s="459">
        <f t="shared" si="62"/>
        <v>0</v>
      </c>
      <c r="AA34" s="459">
        <f t="shared" ref="AA34" si="72">SUM(AA29:AA33)</f>
        <v>0</v>
      </c>
      <c r="AB34" s="459">
        <f t="shared" si="62"/>
        <v>0</v>
      </c>
      <c r="AC34" s="459">
        <f t="shared" ref="AC34" si="73">SUM(AC29:AC33)</f>
        <v>0</v>
      </c>
      <c r="AD34" s="459">
        <f>SUM(AD30:AD33)</f>
        <v>0</v>
      </c>
      <c r="AE34" s="459">
        <f t="shared" ref="AE34" si="74">SUM(AE29:AE33)</f>
        <v>0</v>
      </c>
      <c r="AF34" s="459">
        <f>SUM(AF30:AF33)</f>
        <v>0</v>
      </c>
      <c r="AG34" s="459">
        <f t="shared" ref="AG34" si="75">SUM(AG29:AG33)</f>
        <v>0</v>
      </c>
      <c r="AH34" s="459">
        <f>SUM(AH30:AH33)</f>
        <v>0</v>
      </c>
      <c r="AI34" s="459">
        <f t="shared" ref="AI34" si="76">SUM(AI29:AI33)</f>
        <v>0</v>
      </c>
      <c r="AJ34" s="459">
        <f>SUM(AJ29:AJ33)</f>
        <v>0</v>
      </c>
      <c r="AK34" s="459">
        <f t="shared" si="0"/>
        <v>5521200</v>
      </c>
      <c r="AL34" s="459">
        <f t="shared" si="0"/>
        <v>5521200</v>
      </c>
    </row>
    <row r="35" spans="1:38" ht="15.75" x14ac:dyDescent="0.2">
      <c r="A35" s="407" t="s">
        <v>482</v>
      </c>
      <c r="B35" s="399"/>
      <c r="C35" s="405" t="s">
        <v>483</v>
      </c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07" t="s">
        <v>482</v>
      </c>
      <c r="U35" s="399"/>
      <c r="V35" s="405" t="s">
        <v>483</v>
      </c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64">
        <f t="shared" si="0"/>
        <v>0</v>
      </c>
      <c r="AL35" s="464">
        <f t="shared" si="0"/>
        <v>0</v>
      </c>
    </row>
    <row r="36" spans="1:38" ht="15.75" x14ac:dyDescent="0.2">
      <c r="A36" s="396"/>
      <c r="B36" s="398" t="s">
        <v>484</v>
      </c>
      <c r="C36" s="400" t="s">
        <v>485</v>
      </c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396"/>
      <c r="U36" s="398" t="s">
        <v>484</v>
      </c>
      <c r="V36" s="400" t="s">
        <v>485</v>
      </c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64">
        <f t="shared" si="0"/>
        <v>0</v>
      </c>
      <c r="AL36" s="464">
        <f t="shared" si="0"/>
        <v>0</v>
      </c>
    </row>
    <row r="37" spans="1:38" ht="15.75" x14ac:dyDescent="0.2">
      <c r="A37" s="396"/>
      <c r="B37" s="398" t="s">
        <v>486</v>
      </c>
      <c r="C37" s="400" t="s">
        <v>487</v>
      </c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396"/>
      <c r="U37" s="398" t="s">
        <v>486</v>
      </c>
      <c r="V37" s="400" t="s">
        <v>487</v>
      </c>
      <c r="W37" s="454"/>
      <c r="X37" s="454"/>
      <c r="Y37" s="454"/>
      <c r="Z37" s="454"/>
      <c r="AA37" s="454"/>
      <c r="AB37" s="454"/>
      <c r="AC37" s="454"/>
      <c r="AD37" s="454"/>
      <c r="AE37" s="454"/>
      <c r="AF37" s="454"/>
      <c r="AG37" s="454"/>
      <c r="AH37" s="454"/>
      <c r="AI37" s="454"/>
      <c r="AJ37" s="454"/>
      <c r="AK37" s="464">
        <f t="shared" si="0"/>
        <v>0</v>
      </c>
      <c r="AL37" s="464">
        <f t="shared" si="0"/>
        <v>0</v>
      </c>
    </row>
    <row r="38" spans="1:38" ht="15.75" x14ac:dyDescent="0.2">
      <c r="A38" s="396"/>
      <c r="B38" s="398" t="s">
        <v>529</v>
      </c>
      <c r="C38" s="400" t="s">
        <v>489</v>
      </c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396"/>
      <c r="U38" s="398" t="s">
        <v>529</v>
      </c>
      <c r="V38" s="400" t="s">
        <v>489</v>
      </c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64">
        <f t="shared" si="0"/>
        <v>0</v>
      </c>
      <c r="AL38" s="464">
        <f t="shared" si="0"/>
        <v>0</v>
      </c>
    </row>
    <row r="39" spans="1:38" ht="15.75" x14ac:dyDescent="0.2">
      <c r="A39" s="396"/>
      <c r="B39" s="398" t="s">
        <v>490</v>
      </c>
      <c r="C39" s="400" t="s">
        <v>491</v>
      </c>
      <c r="D39" s="454"/>
      <c r="E39" s="454"/>
      <c r="F39" s="454"/>
      <c r="G39" s="454"/>
      <c r="H39" s="454"/>
      <c r="I39" s="454">
        <v>6270</v>
      </c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396"/>
      <c r="U39" s="398" t="s">
        <v>490</v>
      </c>
      <c r="V39" s="400" t="s">
        <v>491</v>
      </c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64">
        <f t="shared" si="0"/>
        <v>0</v>
      </c>
      <c r="AL39" s="464">
        <f t="shared" si="0"/>
        <v>6270</v>
      </c>
    </row>
    <row r="40" spans="1:38" ht="15.75" x14ac:dyDescent="0.2">
      <c r="A40" s="402"/>
      <c r="B40" s="398" t="s">
        <v>492</v>
      </c>
      <c r="C40" s="399" t="s">
        <v>493</v>
      </c>
      <c r="D40" s="454"/>
      <c r="E40" s="454"/>
      <c r="F40" s="454"/>
      <c r="G40" s="454"/>
      <c r="H40" s="454"/>
      <c r="I40" s="454">
        <v>223740</v>
      </c>
      <c r="J40" s="454"/>
      <c r="K40" s="454"/>
      <c r="L40" s="454"/>
      <c r="M40" s="457"/>
      <c r="N40" s="454"/>
      <c r="O40" s="454"/>
      <c r="P40" s="454"/>
      <c r="Q40" s="454"/>
      <c r="R40" s="454"/>
      <c r="S40" s="454"/>
      <c r="T40" s="402"/>
      <c r="U40" s="398" t="s">
        <v>492</v>
      </c>
      <c r="V40" s="399" t="s">
        <v>493</v>
      </c>
      <c r="W40" s="454"/>
      <c r="X40" s="457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7"/>
      <c r="AK40" s="464">
        <f t="shared" si="0"/>
        <v>0</v>
      </c>
      <c r="AL40" s="464">
        <f t="shared" si="0"/>
        <v>223740</v>
      </c>
    </row>
    <row r="41" spans="1:38" ht="15.75" x14ac:dyDescent="0.2">
      <c r="A41" s="402"/>
      <c r="B41" s="403"/>
      <c r="C41" s="404" t="s">
        <v>494</v>
      </c>
      <c r="D41" s="459">
        <f t="shared" ref="D41" si="77">SUM(D36:D40)</f>
        <v>0</v>
      </c>
      <c r="E41" s="459">
        <f t="shared" ref="E41:AB41" si="78">SUM(E36:E40)</f>
        <v>0</v>
      </c>
      <c r="F41" s="459">
        <f t="shared" ref="F41" si="79">SUM(F36:F40)</f>
        <v>0</v>
      </c>
      <c r="G41" s="459">
        <f t="shared" si="78"/>
        <v>0</v>
      </c>
      <c r="H41" s="459">
        <f t="shared" ref="H41" si="80">SUM(H36:H40)</f>
        <v>0</v>
      </c>
      <c r="I41" s="459">
        <f t="shared" si="78"/>
        <v>230010</v>
      </c>
      <c r="J41" s="459">
        <f t="shared" ref="J41" si="81">SUM(J36:J40)</f>
        <v>0</v>
      </c>
      <c r="K41" s="459">
        <f t="shared" si="78"/>
        <v>0</v>
      </c>
      <c r="L41" s="459">
        <f t="shared" ref="L41" si="82">SUM(L36:L40)</f>
        <v>0</v>
      </c>
      <c r="M41" s="459">
        <f t="shared" si="78"/>
        <v>0</v>
      </c>
      <c r="N41" s="459">
        <f t="shared" ref="N41" si="83">SUM(N36:N40)</f>
        <v>0</v>
      </c>
      <c r="O41" s="459">
        <f t="shared" si="78"/>
        <v>0</v>
      </c>
      <c r="P41" s="459">
        <f t="shared" ref="P41" si="84">SUM(P36:P40)</f>
        <v>0</v>
      </c>
      <c r="Q41" s="459">
        <f t="shared" si="78"/>
        <v>0</v>
      </c>
      <c r="R41" s="459">
        <f t="shared" ref="R41" si="85">SUM(R36:R40)</f>
        <v>0</v>
      </c>
      <c r="S41" s="459">
        <f t="shared" si="78"/>
        <v>0</v>
      </c>
      <c r="T41" s="402"/>
      <c r="U41" s="403"/>
      <c r="V41" s="404" t="s">
        <v>494</v>
      </c>
      <c r="W41" s="459">
        <f t="shared" ref="W41" si="86">SUM(W36:W40)</f>
        <v>0</v>
      </c>
      <c r="X41" s="459">
        <f t="shared" si="78"/>
        <v>0</v>
      </c>
      <c r="Y41" s="459">
        <f t="shared" ref="Y41" si="87">SUM(Y36:Y40)</f>
        <v>0</v>
      </c>
      <c r="Z41" s="459">
        <f t="shared" si="78"/>
        <v>0</v>
      </c>
      <c r="AA41" s="459">
        <f t="shared" ref="AA41" si="88">SUM(AA36:AA40)</f>
        <v>0</v>
      </c>
      <c r="AB41" s="459">
        <f t="shared" si="78"/>
        <v>0</v>
      </c>
      <c r="AC41" s="459">
        <f t="shared" ref="AC41" si="89">SUM(AC36:AC40)</f>
        <v>0</v>
      </c>
      <c r="AD41" s="459">
        <f>SUM(AD37:AD40)</f>
        <v>0</v>
      </c>
      <c r="AE41" s="459">
        <f t="shared" ref="AE41" si="90">SUM(AE36:AE40)</f>
        <v>0</v>
      </c>
      <c r="AF41" s="459">
        <f>SUM(AF37:AF40)</f>
        <v>0</v>
      </c>
      <c r="AG41" s="459">
        <f t="shared" ref="AG41" si="91">SUM(AG36:AG40)</f>
        <v>0</v>
      </c>
      <c r="AH41" s="459">
        <f>SUM(AH37:AH40)</f>
        <v>0</v>
      </c>
      <c r="AI41" s="459">
        <f t="shared" ref="AI41" si="92">SUM(AI36:AI40)</f>
        <v>0</v>
      </c>
      <c r="AJ41" s="459">
        <f>SUM(AJ36:AJ40)</f>
        <v>0</v>
      </c>
      <c r="AK41" s="459">
        <f t="shared" si="0"/>
        <v>0</v>
      </c>
      <c r="AL41" s="459">
        <f t="shared" si="0"/>
        <v>230010</v>
      </c>
    </row>
    <row r="42" spans="1:38" ht="15.75" x14ac:dyDescent="0.2">
      <c r="A42" s="407" t="s">
        <v>495</v>
      </c>
      <c r="B42" s="398"/>
      <c r="C42" s="409" t="s">
        <v>496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07" t="s">
        <v>495</v>
      </c>
      <c r="U42" s="398"/>
      <c r="V42" s="409" t="s">
        <v>496</v>
      </c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64">
        <f t="shared" si="0"/>
        <v>0</v>
      </c>
      <c r="AL42" s="464">
        <f t="shared" si="0"/>
        <v>0</v>
      </c>
    </row>
    <row r="43" spans="1:38" ht="15.75" x14ac:dyDescent="0.2">
      <c r="A43" s="402"/>
      <c r="B43" s="398" t="s">
        <v>497</v>
      </c>
      <c r="C43" s="401" t="s">
        <v>572</v>
      </c>
      <c r="D43" s="454"/>
      <c r="E43" s="454"/>
      <c r="F43" s="454"/>
      <c r="G43" s="454"/>
      <c r="H43" s="454"/>
      <c r="I43" s="457"/>
      <c r="J43" s="454"/>
      <c r="K43" s="457"/>
      <c r="L43" s="454"/>
      <c r="M43" s="457"/>
      <c r="N43" s="457"/>
      <c r="O43" s="457"/>
      <c r="P43" s="454"/>
      <c r="Q43" s="457"/>
      <c r="R43" s="454"/>
      <c r="S43" s="457"/>
      <c r="T43" s="402"/>
      <c r="U43" s="398" t="s">
        <v>497</v>
      </c>
      <c r="V43" s="401" t="s">
        <v>572</v>
      </c>
      <c r="W43" s="454"/>
      <c r="X43" s="457"/>
      <c r="Y43" s="454"/>
      <c r="Z43" s="457"/>
      <c r="AA43" s="454"/>
      <c r="AB43" s="457"/>
      <c r="AC43" s="454"/>
      <c r="AD43" s="457"/>
      <c r="AE43" s="454"/>
      <c r="AF43" s="457"/>
      <c r="AG43" s="454"/>
      <c r="AH43" s="457"/>
      <c r="AI43" s="454"/>
      <c r="AJ43" s="457"/>
      <c r="AK43" s="464">
        <f t="shared" si="0"/>
        <v>0</v>
      </c>
      <c r="AL43" s="464">
        <f t="shared" si="0"/>
        <v>0</v>
      </c>
    </row>
    <row r="44" spans="1:38" ht="15.75" x14ac:dyDescent="0.2">
      <c r="A44" s="402"/>
      <c r="B44" s="398" t="s">
        <v>499</v>
      </c>
      <c r="C44" s="401" t="s">
        <v>498</v>
      </c>
      <c r="D44" s="454"/>
      <c r="E44" s="454"/>
      <c r="F44" s="454"/>
      <c r="G44" s="454"/>
      <c r="H44" s="454"/>
      <c r="I44" s="457"/>
      <c r="J44" s="454"/>
      <c r="K44" s="457"/>
      <c r="L44" s="454"/>
      <c r="M44" s="457"/>
      <c r="N44" s="457"/>
      <c r="O44" s="457"/>
      <c r="P44" s="454"/>
      <c r="Q44" s="457"/>
      <c r="R44" s="454"/>
      <c r="S44" s="457"/>
      <c r="T44" s="402"/>
      <c r="U44" s="398" t="s">
        <v>499</v>
      </c>
      <c r="V44" s="401" t="s">
        <v>498</v>
      </c>
      <c r="W44" s="454"/>
      <c r="X44" s="457"/>
      <c r="Y44" s="454"/>
      <c r="Z44" s="457"/>
      <c r="AA44" s="454"/>
      <c r="AB44" s="457"/>
      <c r="AC44" s="454"/>
      <c r="AD44" s="457"/>
      <c r="AE44" s="454"/>
      <c r="AF44" s="457"/>
      <c r="AG44" s="454"/>
      <c r="AH44" s="457"/>
      <c r="AI44" s="454"/>
      <c r="AJ44" s="457"/>
      <c r="AK44" s="464">
        <f t="shared" si="0"/>
        <v>0</v>
      </c>
      <c r="AL44" s="464">
        <f t="shared" si="0"/>
        <v>0</v>
      </c>
    </row>
    <row r="45" spans="1:38" ht="15.75" x14ac:dyDescent="0.2">
      <c r="A45" s="402"/>
      <c r="B45" s="398" t="s">
        <v>500</v>
      </c>
      <c r="C45" s="401" t="s">
        <v>501</v>
      </c>
      <c r="D45" s="454"/>
      <c r="E45" s="454"/>
      <c r="F45" s="454"/>
      <c r="G45" s="454"/>
      <c r="H45" s="454"/>
      <c r="I45" s="457"/>
      <c r="J45" s="454"/>
      <c r="K45" s="457"/>
      <c r="L45" s="454"/>
      <c r="M45" s="457"/>
      <c r="N45" s="457"/>
      <c r="O45" s="457"/>
      <c r="P45" s="454"/>
      <c r="Q45" s="457"/>
      <c r="R45" s="454"/>
      <c r="S45" s="457"/>
      <c r="T45" s="402"/>
      <c r="U45" s="398" t="s">
        <v>500</v>
      </c>
      <c r="V45" s="401" t="s">
        <v>501</v>
      </c>
      <c r="W45" s="454"/>
      <c r="X45" s="457"/>
      <c r="Y45" s="454"/>
      <c r="Z45" s="457"/>
      <c r="AA45" s="454"/>
      <c r="AB45" s="457"/>
      <c r="AC45" s="454"/>
      <c r="AD45" s="457"/>
      <c r="AE45" s="454"/>
      <c r="AF45" s="457"/>
      <c r="AG45" s="454"/>
      <c r="AH45" s="457"/>
      <c r="AI45" s="454"/>
      <c r="AJ45" s="457"/>
      <c r="AK45" s="464">
        <f t="shared" si="0"/>
        <v>0</v>
      </c>
      <c r="AL45" s="464">
        <f t="shared" si="0"/>
        <v>0</v>
      </c>
    </row>
    <row r="46" spans="1:38" ht="15.75" x14ac:dyDescent="0.2">
      <c r="A46" s="402"/>
      <c r="B46" s="398"/>
      <c r="C46" s="401"/>
      <c r="D46" s="454"/>
      <c r="E46" s="454"/>
      <c r="F46" s="454"/>
      <c r="G46" s="454"/>
      <c r="H46" s="454"/>
      <c r="I46" s="457"/>
      <c r="J46" s="454"/>
      <c r="K46" s="457"/>
      <c r="L46" s="454"/>
      <c r="M46" s="457"/>
      <c r="N46" s="457"/>
      <c r="O46" s="457"/>
      <c r="P46" s="454"/>
      <c r="Q46" s="457"/>
      <c r="R46" s="454"/>
      <c r="S46" s="457"/>
      <c r="T46" s="402"/>
      <c r="U46" s="398"/>
      <c r="V46" s="401"/>
      <c r="W46" s="454"/>
      <c r="X46" s="457"/>
      <c r="Y46" s="454"/>
      <c r="Z46" s="457"/>
      <c r="AA46" s="454"/>
      <c r="AB46" s="457"/>
      <c r="AC46" s="454"/>
      <c r="AD46" s="457"/>
      <c r="AE46" s="454"/>
      <c r="AF46" s="457"/>
      <c r="AG46" s="454"/>
      <c r="AH46" s="457"/>
      <c r="AI46" s="454"/>
      <c r="AJ46" s="457"/>
      <c r="AK46" s="464">
        <f t="shared" si="0"/>
        <v>0</v>
      </c>
      <c r="AL46" s="464">
        <f t="shared" si="0"/>
        <v>0</v>
      </c>
    </row>
    <row r="47" spans="1:38" ht="15.75" x14ac:dyDescent="0.2">
      <c r="A47" s="407"/>
      <c r="B47" s="404"/>
      <c r="C47" s="404" t="s">
        <v>502</v>
      </c>
      <c r="D47" s="459">
        <f t="shared" ref="D47" si="93">SUM(D43:D46)</f>
        <v>0</v>
      </c>
      <c r="E47" s="459">
        <f t="shared" ref="E47:S47" si="94">SUM(E43:E46)</f>
        <v>0</v>
      </c>
      <c r="F47" s="459">
        <f t="shared" ref="F47" si="95">SUM(F43:F46)</f>
        <v>0</v>
      </c>
      <c r="G47" s="459">
        <f t="shared" si="94"/>
        <v>0</v>
      </c>
      <c r="H47" s="459">
        <f t="shared" ref="H47" si="96">SUM(H43:H46)</f>
        <v>0</v>
      </c>
      <c r="I47" s="459">
        <f t="shared" si="94"/>
        <v>0</v>
      </c>
      <c r="J47" s="459">
        <f t="shared" ref="J47" si="97">SUM(J43:J46)</f>
        <v>0</v>
      </c>
      <c r="K47" s="459">
        <f t="shared" si="94"/>
        <v>0</v>
      </c>
      <c r="L47" s="459">
        <f t="shared" ref="L47" si="98">SUM(L43:L46)</f>
        <v>0</v>
      </c>
      <c r="M47" s="459">
        <f t="shared" si="94"/>
        <v>0</v>
      </c>
      <c r="N47" s="459">
        <f t="shared" ref="N47" si="99">SUM(N43:N46)</f>
        <v>0</v>
      </c>
      <c r="O47" s="459">
        <f t="shared" si="94"/>
        <v>0</v>
      </c>
      <c r="P47" s="459">
        <f t="shared" ref="P47" si="100">SUM(P43:P46)</f>
        <v>0</v>
      </c>
      <c r="Q47" s="459">
        <f t="shared" si="94"/>
        <v>0</v>
      </c>
      <c r="R47" s="459">
        <f t="shared" ref="R47" si="101">SUM(R43:R46)</f>
        <v>0</v>
      </c>
      <c r="S47" s="459">
        <f t="shared" si="94"/>
        <v>0</v>
      </c>
      <c r="T47" s="407"/>
      <c r="U47" s="404"/>
      <c r="V47" s="404" t="s">
        <v>502</v>
      </c>
      <c r="W47" s="459">
        <f t="shared" ref="W47" si="102">SUM(W43:W46)</f>
        <v>0</v>
      </c>
      <c r="X47" s="459">
        <f t="shared" ref="X47:AJ47" si="103">SUM(X43:X46)</f>
        <v>0</v>
      </c>
      <c r="Y47" s="459">
        <f t="shared" si="103"/>
        <v>0</v>
      </c>
      <c r="Z47" s="459">
        <f t="shared" si="103"/>
        <v>0</v>
      </c>
      <c r="AA47" s="459">
        <f t="shared" si="103"/>
        <v>0</v>
      </c>
      <c r="AB47" s="459">
        <f t="shared" si="103"/>
        <v>0</v>
      </c>
      <c r="AC47" s="459">
        <f t="shared" si="103"/>
        <v>0</v>
      </c>
      <c r="AD47" s="459">
        <f t="shared" si="103"/>
        <v>0</v>
      </c>
      <c r="AE47" s="459">
        <f t="shared" si="103"/>
        <v>0</v>
      </c>
      <c r="AF47" s="459">
        <f t="shared" si="103"/>
        <v>0</v>
      </c>
      <c r="AG47" s="459">
        <f t="shared" si="103"/>
        <v>0</v>
      </c>
      <c r="AH47" s="459">
        <f t="shared" si="103"/>
        <v>0</v>
      </c>
      <c r="AI47" s="459">
        <f t="shared" si="103"/>
        <v>0</v>
      </c>
      <c r="AJ47" s="459">
        <f t="shared" si="103"/>
        <v>0</v>
      </c>
      <c r="AK47" s="459">
        <f t="shared" si="0"/>
        <v>0</v>
      </c>
      <c r="AL47" s="459">
        <f t="shared" si="0"/>
        <v>0</v>
      </c>
    </row>
    <row r="48" spans="1:38" ht="15.75" x14ac:dyDescent="0.2">
      <c r="A48" s="407" t="s">
        <v>18</v>
      </c>
      <c r="B48" s="399"/>
      <c r="C48" s="405" t="s">
        <v>503</v>
      </c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07" t="s">
        <v>18</v>
      </c>
      <c r="U48" s="399"/>
      <c r="V48" s="405" t="s">
        <v>503</v>
      </c>
      <c r="W48" s="454"/>
      <c r="X48" s="454"/>
      <c r="Y48" s="454"/>
      <c r="Z48" s="454"/>
      <c r="AA48" s="454"/>
      <c r="AB48" s="454"/>
      <c r="AC48" s="454"/>
      <c r="AD48" s="454"/>
      <c r="AE48" s="454"/>
      <c r="AF48" s="454"/>
      <c r="AG48" s="454"/>
      <c r="AH48" s="454"/>
      <c r="AI48" s="454"/>
      <c r="AJ48" s="454"/>
      <c r="AK48" s="464">
        <f t="shared" si="0"/>
        <v>0</v>
      </c>
      <c r="AL48" s="464">
        <f t="shared" si="0"/>
        <v>0</v>
      </c>
    </row>
    <row r="49" spans="1:38" ht="15.75" x14ac:dyDescent="0.2">
      <c r="A49" s="407"/>
      <c r="B49" s="398" t="s">
        <v>504</v>
      </c>
      <c r="C49" s="399" t="s">
        <v>505</v>
      </c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07"/>
      <c r="U49" s="398" t="s">
        <v>504</v>
      </c>
      <c r="V49" s="399" t="s">
        <v>505</v>
      </c>
      <c r="W49" s="454"/>
      <c r="X49" s="454"/>
      <c r="Y49" s="454"/>
      <c r="Z49" s="454"/>
      <c r="AA49" s="454"/>
      <c r="AB49" s="454"/>
      <c r="AC49" s="454"/>
      <c r="AD49" s="454"/>
      <c r="AE49" s="454"/>
      <c r="AF49" s="454"/>
      <c r="AG49" s="454"/>
      <c r="AH49" s="454"/>
      <c r="AI49" s="454"/>
      <c r="AJ49" s="454"/>
      <c r="AK49" s="464">
        <f t="shared" si="0"/>
        <v>0</v>
      </c>
      <c r="AL49" s="464">
        <f t="shared" si="0"/>
        <v>0</v>
      </c>
    </row>
    <row r="50" spans="1:38" ht="15.75" x14ac:dyDescent="0.2">
      <c r="A50" s="407"/>
      <c r="B50" s="398" t="s">
        <v>506</v>
      </c>
      <c r="C50" s="399" t="s">
        <v>507</v>
      </c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07"/>
      <c r="U50" s="398" t="s">
        <v>506</v>
      </c>
      <c r="V50" s="399" t="s">
        <v>507</v>
      </c>
      <c r="W50" s="454"/>
      <c r="X50" s="454"/>
      <c r="Y50" s="454"/>
      <c r="Z50" s="454"/>
      <c r="AA50" s="454"/>
      <c r="AB50" s="454"/>
      <c r="AC50" s="454"/>
      <c r="AD50" s="454"/>
      <c r="AE50" s="454"/>
      <c r="AF50" s="454"/>
      <c r="AG50" s="454"/>
      <c r="AH50" s="454"/>
      <c r="AI50" s="454"/>
      <c r="AJ50" s="454"/>
      <c r="AK50" s="464">
        <f t="shared" si="0"/>
        <v>0</v>
      </c>
      <c r="AL50" s="464">
        <f t="shared" si="0"/>
        <v>0</v>
      </c>
    </row>
    <row r="51" spans="1:38" ht="15.75" x14ac:dyDescent="0.2">
      <c r="A51" s="407"/>
      <c r="B51" s="399">
        <v>104042</v>
      </c>
      <c r="C51" s="399" t="s">
        <v>508</v>
      </c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07"/>
      <c r="U51" s="399">
        <v>104042</v>
      </c>
      <c r="V51" s="399" t="s">
        <v>508</v>
      </c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64">
        <f t="shared" si="0"/>
        <v>0</v>
      </c>
      <c r="AL51" s="464">
        <f t="shared" si="0"/>
        <v>0</v>
      </c>
    </row>
    <row r="52" spans="1:38" ht="15.75" x14ac:dyDescent="0.2">
      <c r="A52" s="407"/>
      <c r="B52" s="399">
        <v>104051</v>
      </c>
      <c r="C52" s="399" t="s">
        <v>509</v>
      </c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07"/>
      <c r="U52" s="399">
        <v>104051</v>
      </c>
      <c r="V52" s="399" t="s">
        <v>509</v>
      </c>
      <c r="W52" s="454"/>
      <c r="X52" s="454"/>
      <c r="Y52" s="454"/>
      <c r="Z52" s="454"/>
      <c r="AA52" s="454"/>
      <c r="AB52" s="454"/>
      <c r="AC52" s="454"/>
      <c r="AD52" s="454"/>
      <c r="AE52" s="454"/>
      <c r="AF52" s="454"/>
      <c r="AG52" s="454"/>
      <c r="AH52" s="454"/>
      <c r="AI52" s="454"/>
      <c r="AJ52" s="454"/>
      <c r="AK52" s="464">
        <f t="shared" si="0"/>
        <v>0</v>
      </c>
      <c r="AL52" s="464">
        <f t="shared" si="0"/>
        <v>0</v>
      </c>
    </row>
    <row r="53" spans="1:38" ht="15.75" x14ac:dyDescent="0.2">
      <c r="A53" s="407"/>
      <c r="B53" s="398" t="s">
        <v>510</v>
      </c>
      <c r="C53" s="400" t="s">
        <v>511</v>
      </c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454">
        <v>9311665</v>
      </c>
      <c r="O53" s="454">
        <v>9311665</v>
      </c>
      <c r="P53" s="454"/>
      <c r="Q53" s="454"/>
      <c r="R53" s="454"/>
      <c r="S53" s="454"/>
      <c r="T53" s="407"/>
      <c r="U53" s="398" t="s">
        <v>510</v>
      </c>
      <c r="V53" s="400" t="s">
        <v>511</v>
      </c>
      <c r="W53" s="454"/>
      <c r="X53" s="454"/>
      <c r="Y53" s="454"/>
      <c r="Z53" s="454"/>
      <c r="AA53" s="454"/>
      <c r="AB53" s="454"/>
      <c r="AC53" s="454"/>
      <c r="AD53" s="454"/>
      <c r="AE53" s="454"/>
      <c r="AF53" s="454"/>
      <c r="AG53" s="454"/>
      <c r="AH53" s="454"/>
      <c r="AI53" s="454"/>
      <c r="AJ53" s="454"/>
      <c r="AK53" s="464">
        <f t="shared" si="0"/>
        <v>9311665</v>
      </c>
      <c r="AL53" s="464">
        <f t="shared" si="0"/>
        <v>9311665</v>
      </c>
    </row>
    <row r="54" spans="1:38" ht="15.75" x14ac:dyDescent="0.2">
      <c r="A54" s="407"/>
      <c r="B54" s="399">
        <v>107052</v>
      </c>
      <c r="C54" s="399" t="s">
        <v>512</v>
      </c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07"/>
      <c r="U54" s="399">
        <v>107052</v>
      </c>
      <c r="V54" s="399" t="s">
        <v>512</v>
      </c>
      <c r="W54" s="454"/>
      <c r="X54" s="454"/>
      <c r="Y54" s="454"/>
      <c r="Z54" s="454"/>
      <c r="AA54" s="454"/>
      <c r="AB54" s="454"/>
      <c r="AC54" s="454"/>
      <c r="AD54" s="454"/>
      <c r="AE54" s="454"/>
      <c r="AF54" s="454"/>
      <c r="AG54" s="454"/>
      <c r="AH54" s="454"/>
      <c r="AI54" s="454"/>
      <c r="AJ54" s="454"/>
      <c r="AK54" s="464">
        <f t="shared" si="0"/>
        <v>0</v>
      </c>
      <c r="AL54" s="464">
        <f t="shared" si="0"/>
        <v>0</v>
      </c>
    </row>
    <row r="55" spans="1:38" ht="15.75" x14ac:dyDescent="0.2">
      <c r="A55" s="396"/>
      <c r="B55" s="398" t="s">
        <v>513</v>
      </c>
      <c r="C55" s="400" t="s">
        <v>514</v>
      </c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396"/>
      <c r="U55" s="398" t="s">
        <v>513</v>
      </c>
      <c r="V55" s="400" t="s">
        <v>514</v>
      </c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4"/>
      <c r="AH55" s="454"/>
      <c r="AI55" s="454"/>
      <c r="AJ55" s="454"/>
      <c r="AK55" s="464">
        <f t="shared" si="0"/>
        <v>0</v>
      </c>
      <c r="AL55" s="464">
        <f t="shared" si="0"/>
        <v>0</v>
      </c>
    </row>
    <row r="56" spans="1:38" ht="15.75" x14ac:dyDescent="0.2">
      <c r="A56" s="396"/>
      <c r="B56" s="398" t="s">
        <v>515</v>
      </c>
      <c r="C56" s="400" t="s">
        <v>516</v>
      </c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>
        <v>370000</v>
      </c>
      <c r="Q56" s="454">
        <f>'3.számú melléklet'!D54</f>
        <v>370000</v>
      </c>
      <c r="R56" s="454"/>
      <c r="S56" s="454"/>
      <c r="T56" s="396"/>
      <c r="U56" s="398" t="s">
        <v>515</v>
      </c>
      <c r="V56" s="400" t="s">
        <v>516</v>
      </c>
      <c r="W56" s="454"/>
      <c r="X56" s="454"/>
      <c r="Y56" s="454"/>
      <c r="Z56" s="454"/>
      <c r="AA56" s="454"/>
      <c r="AB56" s="454"/>
      <c r="AC56" s="454"/>
      <c r="AD56" s="454"/>
      <c r="AE56" s="454"/>
      <c r="AF56" s="454"/>
      <c r="AG56" s="454"/>
      <c r="AH56" s="454"/>
      <c r="AI56" s="454"/>
      <c r="AJ56" s="454"/>
      <c r="AK56" s="464">
        <f t="shared" si="0"/>
        <v>370000</v>
      </c>
      <c r="AL56" s="464">
        <f t="shared" si="0"/>
        <v>370000</v>
      </c>
    </row>
    <row r="57" spans="1:38" ht="15.75" x14ac:dyDescent="0.2">
      <c r="A57" s="402"/>
      <c r="B57" s="403"/>
      <c r="C57" s="404" t="s">
        <v>517</v>
      </c>
      <c r="D57" s="459">
        <f>SUM(D49:D56)</f>
        <v>0</v>
      </c>
      <c r="E57" s="459">
        <f>SUM(E49:E56)</f>
        <v>0</v>
      </c>
      <c r="F57" s="459">
        <f t="shared" ref="F57" si="104">SUM(F49:F56)</f>
        <v>0</v>
      </c>
      <c r="G57" s="459">
        <f t="shared" ref="G57:Q57" si="105">SUM(G49:G56)</f>
        <v>0</v>
      </c>
      <c r="H57" s="459">
        <f t="shared" ref="H57" si="106">SUM(H49:H56)</f>
        <v>0</v>
      </c>
      <c r="I57" s="459">
        <f t="shared" si="105"/>
        <v>0</v>
      </c>
      <c r="J57" s="459">
        <f t="shared" ref="J57" si="107">SUM(J49:J56)</f>
        <v>0</v>
      </c>
      <c r="K57" s="459">
        <f t="shared" si="105"/>
        <v>0</v>
      </c>
      <c r="L57" s="459">
        <f t="shared" ref="L57" si="108">SUM(L49:L56)</f>
        <v>0</v>
      </c>
      <c r="M57" s="459">
        <f t="shared" si="105"/>
        <v>0</v>
      </c>
      <c r="N57" s="459">
        <f t="shared" ref="N57" si="109">SUM(N49:N56)</f>
        <v>9311665</v>
      </c>
      <c r="O57" s="459">
        <f t="shared" si="105"/>
        <v>9311665</v>
      </c>
      <c r="P57" s="459">
        <f t="shared" ref="P57" si="110">SUM(P49:P56)</f>
        <v>370000</v>
      </c>
      <c r="Q57" s="459">
        <f t="shared" si="105"/>
        <v>370000</v>
      </c>
      <c r="R57" s="459">
        <f t="shared" ref="R57" si="111">SUM(R49:R56)</f>
        <v>0</v>
      </c>
      <c r="S57" s="459">
        <f>SUM(S49:S56)</f>
        <v>0</v>
      </c>
      <c r="T57" s="402"/>
      <c r="U57" s="403"/>
      <c r="V57" s="404" t="s">
        <v>517</v>
      </c>
      <c r="W57" s="459">
        <f t="shared" ref="W57" si="112">SUM(W49:W56)</f>
        <v>0</v>
      </c>
      <c r="X57" s="459">
        <f t="shared" ref="X57:AJ57" si="113">SUM(X49:X56)</f>
        <v>0</v>
      </c>
      <c r="Y57" s="459">
        <f t="shared" si="113"/>
        <v>0</v>
      </c>
      <c r="Z57" s="459">
        <f t="shared" si="113"/>
        <v>0</v>
      </c>
      <c r="AA57" s="459">
        <f t="shared" si="113"/>
        <v>0</v>
      </c>
      <c r="AB57" s="459">
        <f t="shared" si="113"/>
        <v>0</v>
      </c>
      <c r="AC57" s="459">
        <f t="shared" si="113"/>
        <v>0</v>
      </c>
      <c r="AD57" s="459">
        <f t="shared" si="113"/>
        <v>0</v>
      </c>
      <c r="AE57" s="459">
        <f t="shared" si="113"/>
        <v>0</v>
      </c>
      <c r="AF57" s="459">
        <f t="shared" si="113"/>
        <v>0</v>
      </c>
      <c r="AG57" s="459">
        <f t="shared" si="113"/>
        <v>0</v>
      </c>
      <c r="AH57" s="459">
        <f t="shared" si="113"/>
        <v>0</v>
      </c>
      <c r="AI57" s="459">
        <f t="shared" si="113"/>
        <v>0</v>
      </c>
      <c r="AJ57" s="459">
        <f t="shared" si="113"/>
        <v>0</v>
      </c>
      <c r="AK57" s="459">
        <f>SUM(AK49:AK56)</f>
        <v>9681665</v>
      </c>
      <c r="AL57" s="459">
        <f>SUM(AL49:AL56)</f>
        <v>9681665</v>
      </c>
    </row>
    <row r="58" spans="1:38" ht="15.75" x14ac:dyDescent="0.2">
      <c r="A58" s="402"/>
      <c r="B58" s="410" t="s">
        <v>518</v>
      </c>
      <c r="C58" s="411" t="s">
        <v>519</v>
      </c>
      <c r="D58" s="461"/>
      <c r="E58" s="461"/>
      <c r="F58" s="461"/>
      <c r="G58" s="461"/>
      <c r="H58" s="461"/>
      <c r="I58" s="461"/>
      <c r="J58" s="461"/>
      <c r="K58" s="461"/>
      <c r="L58" s="460">
        <v>473500000</v>
      </c>
      <c r="M58" s="462">
        <f>'3.számú melléklet'!D48</f>
        <v>473500000</v>
      </c>
      <c r="N58" s="461"/>
      <c r="O58" s="461"/>
      <c r="P58" s="461"/>
      <c r="Q58" s="461"/>
      <c r="R58" s="461"/>
      <c r="S58" s="461"/>
      <c r="T58" s="402"/>
      <c r="U58" s="410" t="s">
        <v>518</v>
      </c>
      <c r="V58" s="411" t="s">
        <v>519</v>
      </c>
      <c r="W58" s="461"/>
      <c r="X58" s="461"/>
      <c r="Y58" s="461"/>
      <c r="Z58" s="461"/>
      <c r="AA58" s="461"/>
      <c r="AB58" s="461"/>
      <c r="AC58" s="461"/>
      <c r="AD58" s="461">
        <f t="shared" ref="AD58:AH59" si="114">SUM(AD53:AD56)</f>
        <v>0</v>
      </c>
      <c r="AE58" s="461"/>
      <c r="AF58" s="461">
        <f t="shared" si="114"/>
        <v>0</v>
      </c>
      <c r="AG58" s="461"/>
      <c r="AH58" s="461">
        <f t="shared" si="114"/>
        <v>0</v>
      </c>
      <c r="AI58" s="461"/>
      <c r="AJ58" s="461"/>
      <c r="AK58" s="464">
        <f t="shared" si="0"/>
        <v>473500000</v>
      </c>
      <c r="AL58" s="464">
        <f t="shared" si="0"/>
        <v>473500000</v>
      </c>
    </row>
    <row r="59" spans="1:38" ht="15.75" x14ac:dyDescent="0.2">
      <c r="A59" s="402"/>
      <c r="B59" s="410" t="s">
        <v>588</v>
      </c>
      <c r="C59" s="411" t="s">
        <v>592</v>
      </c>
      <c r="D59" s="461"/>
      <c r="E59" s="461"/>
      <c r="F59" s="461"/>
      <c r="G59" s="461"/>
      <c r="H59" s="461"/>
      <c r="I59" s="461"/>
      <c r="J59" s="461"/>
      <c r="K59" s="461"/>
      <c r="L59" s="461"/>
      <c r="M59" s="462"/>
      <c r="N59" s="460">
        <v>5800000</v>
      </c>
      <c r="O59" s="460">
        <v>5800000</v>
      </c>
      <c r="P59" s="461"/>
      <c r="Q59" s="461"/>
      <c r="R59" s="461"/>
      <c r="S59" s="461"/>
      <c r="T59" s="402"/>
      <c r="U59" s="410" t="s">
        <v>588</v>
      </c>
      <c r="V59" s="411" t="s">
        <v>592</v>
      </c>
      <c r="W59" s="461"/>
      <c r="X59" s="461"/>
      <c r="Y59" s="461"/>
      <c r="Z59" s="461"/>
      <c r="AA59" s="461"/>
      <c r="AB59" s="461"/>
      <c r="AC59" s="461"/>
      <c r="AD59" s="461">
        <f t="shared" si="114"/>
        <v>0</v>
      </c>
      <c r="AE59" s="461"/>
      <c r="AF59" s="461">
        <f t="shared" si="114"/>
        <v>0</v>
      </c>
      <c r="AG59" s="461">
        <v>340000000</v>
      </c>
      <c r="AH59" s="461">
        <f>'3.számú melléklet'!D64</f>
        <v>340000000</v>
      </c>
      <c r="AI59" s="461"/>
      <c r="AJ59" s="461"/>
      <c r="AK59" s="464">
        <f t="shared" si="0"/>
        <v>345800000</v>
      </c>
      <c r="AL59" s="464">
        <f t="shared" si="0"/>
        <v>345800000</v>
      </c>
    </row>
    <row r="60" spans="1:38" ht="15.75" x14ac:dyDescent="0.2">
      <c r="A60" s="645" t="s">
        <v>520</v>
      </c>
      <c r="B60" s="646"/>
      <c r="C60" s="647"/>
      <c r="D60" s="463">
        <f t="shared" ref="D60" si="115">SUM(D11,D16,D20,D27,D34,D41,D57,D47,D59,D58)</f>
        <v>369329920</v>
      </c>
      <c r="E60" s="463">
        <f t="shared" ref="E60:S60" si="116">SUM(E11,E16,E20,E27,E34,E41,E57,E47,E59,E58)</f>
        <v>375992194</v>
      </c>
      <c r="F60" s="463">
        <f t="shared" ref="F60" si="117">SUM(F11,F16,F20,F27,F34,F41,F57,F47,F59,F58)</f>
        <v>0</v>
      </c>
      <c r="G60" s="463">
        <f t="shared" si="116"/>
        <v>10627629</v>
      </c>
      <c r="H60" s="463">
        <f t="shared" ref="H60" si="118">SUM(H11,H16,H20,H27,H34,H41,H57,H47,H59,H58)</f>
        <v>62712225</v>
      </c>
      <c r="I60" s="463">
        <f t="shared" si="116"/>
        <v>61849051</v>
      </c>
      <c r="J60" s="463">
        <f t="shared" ref="J60" si="119">SUM(J11,J16,J20,J27,J34,J41,J57,J47,J59,J58)</f>
        <v>569645184</v>
      </c>
      <c r="K60" s="463">
        <f t="shared" si="116"/>
        <v>570184499</v>
      </c>
      <c r="L60" s="463">
        <f t="shared" ref="L60" si="120">SUM(L11,L16,L20,L27,L34,L41,L57,L47,L59,L58)</f>
        <v>473500000</v>
      </c>
      <c r="M60" s="463">
        <f t="shared" si="116"/>
        <v>473500000</v>
      </c>
      <c r="N60" s="463">
        <f t="shared" ref="N60" si="121">SUM(N11,N16,N20,N27,N34,N41,N57,N47,N59,N58)</f>
        <v>80313766</v>
      </c>
      <c r="O60" s="463">
        <f t="shared" si="116"/>
        <v>80313766</v>
      </c>
      <c r="P60" s="463">
        <f t="shared" ref="P60" si="122">SUM(P11,P16,P20,P27,P34,P41,P57,P47,P59,P58)</f>
        <v>370000</v>
      </c>
      <c r="Q60" s="463">
        <f t="shared" si="116"/>
        <v>370000</v>
      </c>
      <c r="R60" s="463">
        <f t="shared" ref="R60" si="123">SUM(R11,R16,R20,R27,R34,R41,R57,R47,R59,R58)</f>
        <v>0</v>
      </c>
      <c r="S60" s="463">
        <f t="shared" si="116"/>
        <v>0</v>
      </c>
      <c r="T60" s="645" t="s">
        <v>520</v>
      </c>
      <c r="U60" s="646"/>
      <c r="V60" s="647"/>
      <c r="W60" s="463">
        <f t="shared" ref="W60" si="124">SUM(W11,W16,W20,W27,W34,W41,W57,W47,W59,W58)</f>
        <v>0</v>
      </c>
      <c r="X60" s="463">
        <f t="shared" ref="X60:AL60" si="125">SUM(X11,X16,X20,X27,X34,X41,X57,X47,X59,X58)</f>
        <v>2200000</v>
      </c>
      <c r="Y60" s="463">
        <f t="shared" si="125"/>
        <v>705000</v>
      </c>
      <c r="Z60" s="463">
        <f t="shared" si="125"/>
        <v>705000</v>
      </c>
      <c r="AA60" s="463">
        <f t="shared" si="125"/>
        <v>408000</v>
      </c>
      <c r="AB60" s="463">
        <f t="shared" si="125"/>
        <v>408000</v>
      </c>
      <c r="AC60" s="463">
        <f t="shared" si="125"/>
        <v>0</v>
      </c>
      <c r="AD60" s="463">
        <f t="shared" si="125"/>
        <v>0</v>
      </c>
      <c r="AE60" s="463">
        <f t="shared" si="125"/>
        <v>0</v>
      </c>
      <c r="AF60" s="463">
        <f t="shared" si="125"/>
        <v>0</v>
      </c>
      <c r="AG60" s="463">
        <f t="shared" si="125"/>
        <v>340000000</v>
      </c>
      <c r="AH60" s="463">
        <f t="shared" si="125"/>
        <v>340000000</v>
      </c>
      <c r="AI60" s="463">
        <f t="shared" si="125"/>
        <v>55813230</v>
      </c>
      <c r="AJ60" s="463">
        <f t="shared" si="125"/>
        <v>54149937</v>
      </c>
      <c r="AK60" s="463">
        <f t="shared" ref="AK60" si="126">SUM(AK11,AK16,AK20,AK27,AK34,AK41,AK57,AK47,AK59,AK58)</f>
        <v>1952797325</v>
      </c>
      <c r="AL60" s="463">
        <f t="shared" si="125"/>
        <v>1970300076</v>
      </c>
    </row>
    <row r="61" spans="1:38" ht="15.75" x14ac:dyDescent="0.25">
      <c r="A61" s="395"/>
      <c r="B61" s="398"/>
      <c r="C61" s="412" t="s">
        <v>521</v>
      </c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395"/>
      <c r="U61" s="398"/>
      <c r="V61" s="412" t="s">
        <v>521</v>
      </c>
      <c r="W61" s="457"/>
      <c r="X61" s="457"/>
      <c r="Y61" s="457"/>
      <c r="Z61" s="457"/>
      <c r="AA61" s="457"/>
      <c r="AB61" s="457"/>
      <c r="AC61" s="457"/>
      <c r="AD61" s="457"/>
      <c r="AE61" s="457"/>
      <c r="AF61" s="457"/>
      <c r="AG61" s="457"/>
      <c r="AH61" s="457"/>
      <c r="AI61" s="457"/>
      <c r="AJ61" s="457"/>
      <c r="AK61" s="464">
        <f t="shared" ref="AK61:AL90" si="127">SUM(D61+F61+H61+J61+L61+N61+P61+R61+W61+Y61+AA61+AC61+AE61+AI61+AG61)</f>
        <v>0</v>
      </c>
      <c r="AL61" s="464">
        <f t="shared" si="127"/>
        <v>0</v>
      </c>
    </row>
    <row r="62" spans="1:38" ht="15.75" x14ac:dyDescent="0.25">
      <c r="A62" s="395"/>
      <c r="B62" s="398"/>
      <c r="C62" s="413" t="s">
        <v>522</v>
      </c>
      <c r="D62" s="454"/>
      <c r="E62" s="454"/>
      <c r="F62" s="454"/>
      <c r="G62" s="454"/>
      <c r="H62" s="454"/>
      <c r="I62" s="454"/>
      <c r="J62" s="454"/>
      <c r="K62" s="454"/>
      <c r="L62" s="454"/>
      <c r="M62" s="454"/>
      <c r="N62" s="454"/>
      <c r="O62" s="454"/>
      <c r="P62" s="454"/>
      <c r="Q62" s="454"/>
      <c r="R62" s="454"/>
      <c r="S62" s="454"/>
      <c r="T62" s="395"/>
      <c r="U62" s="398"/>
      <c r="V62" s="413" t="s">
        <v>522</v>
      </c>
      <c r="W62" s="454"/>
      <c r="X62" s="454"/>
      <c r="Y62" s="454"/>
      <c r="Z62" s="454"/>
      <c r="AA62" s="454"/>
      <c r="AB62" s="454"/>
      <c r="AC62" s="454"/>
      <c r="AD62" s="454"/>
      <c r="AE62" s="454"/>
      <c r="AF62" s="454"/>
      <c r="AG62" s="454"/>
      <c r="AH62" s="454"/>
      <c r="AI62" s="454"/>
      <c r="AJ62" s="454"/>
      <c r="AK62" s="464">
        <f t="shared" si="127"/>
        <v>0</v>
      </c>
      <c r="AL62" s="464">
        <f t="shared" si="127"/>
        <v>0</v>
      </c>
    </row>
    <row r="63" spans="1:38" ht="15.75" x14ac:dyDescent="0.25">
      <c r="A63" s="395"/>
      <c r="B63" s="398" t="s">
        <v>430</v>
      </c>
      <c r="C63" s="399" t="s">
        <v>431</v>
      </c>
      <c r="D63" s="454"/>
      <c r="E63" s="454"/>
      <c r="F63" s="454"/>
      <c r="G63" s="454"/>
      <c r="H63" s="454">
        <v>12255000</v>
      </c>
      <c r="I63" s="454">
        <v>12255000</v>
      </c>
      <c r="J63" s="454"/>
      <c r="K63" s="454"/>
      <c r="L63" s="454"/>
      <c r="M63" s="454"/>
      <c r="N63" s="454">
        <v>2100000</v>
      </c>
      <c r="O63" s="454">
        <v>2100000</v>
      </c>
      <c r="P63" s="454"/>
      <c r="Q63" s="454"/>
      <c r="R63" s="454"/>
      <c r="S63" s="454"/>
      <c r="T63" s="395"/>
      <c r="U63" s="398" t="s">
        <v>430</v>
      </c>
      <c r="V63" s="399" t="s">
        <v>431</v>
      </c>
      <c r="W63" s="454"/>
      <c r="X63" s="454"/>
      <c r="Y63" s="454"/>
      <c r="Z63" s="454"/>
      <c r="AA63" s="454"/>
      <c r="AB63" s="454"/>
      <c r="AC63" s="454"/>
      <c r="AD63" s="454"/>
      <c r="AE63" s="454"/>
      <c r="AF63" s="454"/>
      <c r="AG63" s="454"/>
      <c r="AH63" s="454"/>
      <c r="AI63" s="454"/>
      <c r="AJ63" s="454"/>
      <c r="AK63" s="464">
        <f t="shared" si="127"/>
        <v>14355000</v>
      </c>
      <c r="AL63" s="464">
        <f t="shared" si="127"/>
        <v>14355000</v>
      </c>
    </row>
    <row r="64" spans="1:38" ht="15.75" x14ac:dyDescent="0.25">
      <c r="A64" s="395"/>
      <c r="B64" s="398" t="s">
        <v>925</v>
      </c>
      <c r="C64" s="399" t="s">
        <v>926</v>
      </c>
      <c r="D64" s="454"/>
      <c r="E64" s="454"/>
      <c r="F64" s="454"/>
      <c r="G64" s="454"/>
      <c r="H64" s="454"/>
      <c r="I64" s="454">
        <v>1462088</v>
      </c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395"/>
      <c r="U64" s="398" t="s">
        <v>925</v>
      </c>
      <c r="V64" s="399" t="s">
        <v>926</v>
      </c>
      <c r="W64" s="454"/>
      <c r="X64" s="454"/>
      <c r="Y64" s="454"/>
      <c r="Z64" s="454"/>
      <c r="AA64" s="454"/>
      <c r="AB64" s="454"/>
      <c r="AC64" s="454"/>
      <c r="AD64" s="454"/>
      <c r="AE64" s="454"/>
      <c r="AF64" s="454"/>
      <c r="AG64" s="454"/>
      <c r="AH64" s="454"/>
      <c r="AI64" s="454"/>
      <c r="AJ64" s="454"/>
      <c r="AK64" s="464">
        <f t="shared" ref="AK64" si="128">SUM(D64+F64+H64+J64+L64+N64+P64+R64+W64+Y64+AA64+AC64+AE64+AI64+AG64)</f>
        <v>0</v>
      </c>
      <c r="AL64" s="464">
        <f t="shared" ref="AL64" si="129">SUM(E64+G64+I64+K64+M64+O64+Q64+S64+X64+Z64+AB64+AD64+AF64+AJ64+AH64)</f>
        <v>1462088</v>
      </c>
    </row>
    <row r="65" spans="1:38" ht="15.75" x14ac:dyDescent="0.25">
      <c r="A65" s="395"/>
      <c r="B65" s="398" t="s">
        <v>438</v>
      </c>
      <c r="C65" s="399" t="s">
        <v>439</v>
      </c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395"/>
      <c r="U65" s="398" t="s">
        <v>438</v>
      </c>
      <c r="V65" s="399" t="s">
        <v>523</v>
      </c>
      <c r="W65" s="454"/>
      <c r="X65" s="454"/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4">
        <v>5918207</v>
      </c>
      <c r="AK65" s="464">
        <f t="shared" si="127"/>
        <v>0</v>
      </c>
      <c r="AL65" s="464">
        <f t="shared" si="127"/>
        <v>5918207</v>
      </c>
    </row>
    <row r="66" spans="1:38" ht="15.75" x14ac:dyDescent="0.2">
      <c r="A66" s="645" t="s">
        <v>589</v>
      </c>
      <c r="B66" s="646"/>
      <c r="C66" s="647"/>
      <c r="D66" s="463">
        <f t="shared" ref="D66" si="130">SUM(D63:D65)</f>
        <v>0</v>
      </c>
      <c r="E66" s="463">
        <f t="shared" ref="E66:S66" si="131">SUM(E63:E65)</f>
        <v>0</v>
      </c>
      <c r="F66" s="463">
        <f t="shared" ref="F66" si="132">SUM(F63:F65)</f>
        <v>0</v>
      </c>
      <c r="G66" s="463">
        <f t="shared" si="131"/>
        <v>0</v>
      </c>
      <c r="H66" s="463">
        <f t="shared" ref="H66" si="133">SUM(H63:H65)</f>
        <v>12255000</v>
      </c>
      <c r="I66" s="463">
        <f t="shared" si="131"/>
        <v>13717088</v>
      </c>
      <c r="J66" s="463">
        <f t="shared" ref="J66" si="134">SUM(J63:J65)</f>
        <v>0</v>
      </c>
      <c r="K66" s="463">
        <f t="shared" si="131"/>
        <v>0</v>
      </c>
      <c r="L66" s="463">
        <f t="shared" ref="L66" si="135">SUM(L63:L65)</f>
        <v>0</v>
      </c>
      <c r="M66" s="463">
        <f t="shared" si="131"/>
        <v>0</v>
      </c>
      <c r="N66" s="463">
        <f t="shared" ref="N66" si="136">SUM(N63:N65)</f>
        <v>2100000</v>
      </c>
      <c r="O66" s="463">
        <f t="shared" si="131"/>
        <v>2100000</v>
      </c>
      <c r="P66" s="463">
        <f t="shared" ref="P66" si="137">SUM(P63:P65)</f>
        <v>0</v>
      </c>
      <c r="Q66" s="463">
        <f t="shared" si="131"/>
        <v>0</v>
      </c>
      <c r="R66" s="463">
        <f t="shared" ref="R66" si="138">SUM(R63:R65)</f>
        <v>0</v>
      </c>
      <c r="S66" s="463">
        <f t="shared" si="131"/>
        <v>0</v>
      </c>
      <c r="T66" s="645" t="s">
        <v>589</v>
      </c>
      <c r="U66" s="646"/>
      <c r="V66" s="647"/>
      <c r="W66" s="463">
        <f t="shared" ref="W66" si="139">SUM(W63:W65)</f>
        <v>0</v>
      </c>
      <c r="X66" s="463">
        <f t="shared" ref="X66:AJ66" si="140">SUM(X63:X65)</f>
        <v>0</v>
      </c>
      <c r="Y66" s="463">
        <f t="shared" si="140"/>
        <v>0</v>
      </c>
      <c r="Z66" s="463">
        <f t="shared" si="140"/>
        <v>0</v>
      </c>
      <c r="AA66" s="463">
        <f t="shared" si="140"/>
        <v>0</v>
      </c>
      <c r="AB66" s="463">
        <f t="shared" si="140"/>
        <v>0</v>
      </c>
      <c r="AC66" s="463">
        <f t="shared" si="140"/>
        <v>0</v>
      </c>
      <c r="AD66" s="463">
        <f t="shared" si="140"/>
        <v>0</v>
      </c>
      <c r="AE66" s="463">
        <f t="shared" si="140"/>
        <v>0</v>
      </c>
      <c r="AF66" s="463">
        <f t="shared" si="140"/>
        <v>0</v>
      </c>
      <c r="AG66" s="463">
        <f t="shared" si="140"/>
        <v>0</v>
      </c>
      <c r="AH66" s="463">
        <f t="shared" si="140"/>
        <v>0</v>
      </c>
      <c r="AI66" s="463">
        <f t="shared" si="140"/>
        <v>0</v>
      </c>
      <c r="AJ66" s="463">
        <f t="shared" si="140"/>
        <v>5918207</v>
      </c>
      <c r="AK66" s="463">
        <f t="shared" si="127"/>
        <v>14355000</v>
      </c>
      <c r="AL66" s="463">
        <f t="shared" si="127"/>
        <v>21735295</v>
      </c>
    </row>
    <row r="67" spans="1:38" ht="15.75" x14ac:dyDescent="0.25">
      <c r="A67" s="395"/>
      <c r="B67" s="398"/>
      <c r="C67" s="412" t="s">
        <v>524</v>
      </c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464"/>
      <c r="S67" s="464"/>
      <c r="T67" s="395"/>
      <c r="U67" s="398"/>
      <c r="V67" s="412" t="s">
        <v>524</v>
      </c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464">
        <f t="shared" si="127"/>
        <v>0</v>
      </c>
      <c r="AL67" s="464">
        <f t="shared" si="127"/>
        <v>0</v>
      </c>
    </row>
    <row r="68" spans="1:38" ht="15.75" x14ac:dyDescent="0.2">
      <c r="A68" s="396"/>
      <c r="B68" s="398" t="s">
        <v>434</v>
      </c>
      <c r="C68" s="401" t="s">
        <v>435</v>
      </c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>
        <v>2181000</v>
      </c>
      <c r="O68" s="465">
        <v>2181000</v>
      </c>
      <c r="P68" s="465"/>
      <c r="Q68" s="465"/>
      <c r="R68" s="465"/>
      <c r="S68" s="465"/>
      <c r="T68" s="396"/>
      <c r="U68" s="398" t="s">
        <v>434</v>
      </c>
      <c r="V68" s="401" t="s">
        <v>435</v>
      </c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4">
        <f t="shared" si="127"/>
        <v>2181000</v>
      </c>
      <c r="AL68" s="464">
        <f t="shared" si="127"/>
        <v>2181000</v>
      </c>
    </row>
    <row r="69" spans="1:38" ht="15.75" x14ac:dyDescent="0.2">
      <c r="A69" s="396"/>
      <c r="B69" s="398" t="s">
        <v>525</v>
      </c>
      <c r="C69" s="399" t="s">
        <v>526</v>
      </c>
      <c r="D69" s="465"/>
      <c r="E69" s="465"/>
      <c r="F69" s="465"/>
      <c r="G69" s="465"/>
      <c r="H69" s="465"/>
      <c r="I69" s="465"/>
      <c r="J69" s="465"/>
      <c r="K69" s="465"/>
      <c r="L69" s="465"/>
      <c r="M69" s="465"/>
      <c r="N69" s="465">
        <v>29118684</v>
      </c>
      <c r="O69" s="465">
        <v>29118684</v>
      </c>
      <c r="P69" s="465"/>
      <c r="Q69" s="465"/>
      <c r="R69" s="465"/>
      <c r="S69" s="465"/>
      <c r="T69" s="396"/>
      <c r="U69" s="398" t="s">
        <v>525</v>
      </c>
      <c r="V69" s="399" t="s">
        <v>526</v>
      </c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4">
        <f t="shared" si="127"/>
        <v>29118684</v>
      </c>
      <c r="AL69" s="464">
        <f t="shared" si="127"/>
        <v>29118684</v>
      </c>
    </row>
    <row r="70" spans="1:38" ht="15.75" x14ac:dyDescent="0.2">
      <c r="A70" s="396"/>
      <c r="B70" s="398" t="s">
        <v>438</v>
      </c>
      <c r="C70" s="399" t="s">
        <v>439</v>
      </c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5"/>
      <c r="Q70" s="465"/>
      <c r="R70" s="465"/>
      <c r="S70" s="465"/>
      <c r="T70" s="396"/>
      <c r="U70" s="398" t="s">
        <v>438</v>
      </c>
      <c r="V70" s="399" t="s">
        <v>439</v>
      </c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>
        <v>2212562</v>
      </c>
      <c r="AK70" s="464">
        <f t="shared" si="127"/>
        <v>0</v>
      </c>
      <c r="AL70" s="464">
        <f t="shared" si="127"/>
        <v>2212562</v>
      </c>
    </row>
    <row r="71" spans="1:38" ht="15.75" x14ac:dyDescent="0.2">
      <c r="A71" s="396"/>
      <c r="B71" s="414" t="s">
        <v>527</v>
      </c>
      <c r="C71" s="400" t="s">
        <v>528</v>
      </c>
      <c r="D71" s="465"/>
      <c r="E71" s="465"/>
      <c r="F71" s="465"/>
      <c r="G71" s="465"/>
      <c r="H71" s="465"/>
      <c r="I71" s="465"/>
      <c r="J71" s="465"/>
      <c r="K71" s="465"/>
      <c r="L71" s="465"/>
      <c r="M71" s="465"/>
      <c r="N71" s="465"/>
      <c r="O71" s="465"/>
      <c r="P71" s="465"/>
      <c r="Q71" s="465"/>
      <c r="R71" s="465"/>
      <c r="S71" s="465"/>
      <c r="T71" s="396"/>
      <c r="U71" s="414" t="s">
        <v>527</v>
      </c>
      <c r="V71" s="400" t="s">
        <v>528</v>
      </c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4">
        <f t="shared" si="127"/>
        <v>0</v>
      </c>
      <c r="AL71" s="464">
        <f t="shared" si="127"/>
        <v>0</v>
      </c>
    </row>
    <row r="72" spans="1:38" ht="15.75" x14ac:dyDescent="0.2">
      <c r="A72" s="396"/>
      <c r="B72" s="398" t="s">
        <v>486</v>
      </c>
      <c r="C72" s="399" t="s">
        <v>487</v>
      </c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5"/>
      <c r="Q72" s="465"/>
      <c r="R72" s="465"/>
      <c r="S72" s="465"/>
      <c r="T72" s="396"/>
      <c r="U72" s="398" t="s">
        <v>486</v>
      </c>
      <c r="V72" s="399" t="s">
        <v>487</v>
      </c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4">
        <f t="shared" si="127"/>
        <v>0</v>
      </c>
      <c r="AL72" s="464">
        <f t="shared" si="127"/>
        <v>0</v>
      </c>
    </row>
    <row r="73" spans="1:38" ht="15.75" x14ac:dyDescent="0.2">
      <c r="A73" s="402"/>
      <c r="B73" s="398" t="s">
        <v>529</v>
      </c>
      <c r="C73" s="399" t="s">
        <v>530</v>
      </c>
      <c r="D73" s="465"/>
      <c r="E73" s="465"/>
      <c r="F73" s="465"/>
      <c r="G73" s="465"/>
      <c r="H73" s="465"/>
      <c r="I73" s="465"/>
      <c r="J73" s="465"/>
      <c r="K73" s="465"/>
      <c r="L73" s="465"/>
      <c r="M73" s="465"/>
      <c r="N73" s="465"/>
      <c r="O73" s="465"/>
      <c r="P73" s="465"/>
      <c r="Q73" s="465"/>
      <c r="R73" s="465"/>
      <c r="S73" s="465"/>
      <c r="T73" s="402"/>
      <c r="U73" s="398" t="s">
        <v>529</v>
      </c>
      <c r="V73" s="399" t="s">
        <v>530</v>
      </c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4">
        <f t="shared" si="127"/>
        <v>0</v>
      </c>
      <c r="AL73" s="464">
        <f t="shared" si="127"/>
        <v>0</v>
      </c>
    </row>
    <row r="74" spans="1:38" ht="15.75" x14ac:dyDescent="0.2">
      <c r="A74" s="396"/>
      <c r="B74" s="398" t="s">
        <v>492</v>
      </c>
      <c r="C74" s="399" t="s">
        <v>531</v>
      </c>
      <c r="D74" s="465"/>
      <c r="E74" s="465"/>
      <c r="F74" s="465"/>
      <c r="G74" s="465"/>
      <c r="H74" s="465"/>
      <c r="I74" s="465"/>
      <c r="J74" s="465"/>
      <c r="K74" s="465"/>
      <c r="L74" s="465"/>
      <c r="M74" s="465"/>
      <c r="N74" s="465"/>
      <c r="O74" s="465"/>
      <c r="P74" s="465"/>
      <c r="Q74" s="465"/>
      <c r="R74" s="465"/>
      <c r="S74" s="465"/>
      <c r="T74" s="396"/>
      <c r="U74" s="398" t="s">
        <v>492</v>
      </c>
      <c r="V74" s="399" t="s">
        <v>531</v>
      </c>
      <c r="W74" s="465"/>
      <c r="X74" s="465"/>
      <c r="Y74" s="465"/>
      <c r="Z74" s="465"/>
      <c r="AA74" s="465"/>
      <c r="AB74" s="465"/>
      <c r="AC74" s="465"/>
      <c r="AD74" s="465"/>
      <c r="AE74" s="465"/>
      <c r="AF74" s="465"/>
      <c r="AG74" s="465"/>
      <c r="AH74" s="465"/>
      <c r="AI74" s="465"/>
      <c r="AJ74" s="465"/>
      <c r="AK74" s="464">
        <f t="shared" si="127"/>
        <v>0</v>
      </c>
      <c r="AL74" s="464">
        <f t="shared" si="127"/>
        <v>0</v>
      </c>
    </row>
    <row r="75" spans="1:38" ht="15.75" x14ac:dyDescent="0.2">
      <c r="A75" s="396"/>
      <c r="B75" s="398" t="s">
        <v>497</v>
      </c>
      <c r="C75" s="399" t="s">
        <v>532</v>
      </c>
      <c r="D75" s="465"/>
      <c r="E75" s="465"/>
      <c r="F75" s="465"/>
      <c r="G75" s="465"/>
      <c r="H75" s="465"/>
      <c r="I75" s="465"/>
      <c r="J75" s="465"/>
      <c r="K75" s="465"/>
      <c r="L75" s="465"/>
      <c r="M75" s="465"/>
      <c r="N75" s="465"/>
      <c r="O75" s="465"/>
      <c r="P75" s="465"/>
      <c r="Q75" s="465"/>
      <c r="R75" s="465"/>
      <c r="S75" s="465"/>
      <c r="T75" s="396"/>
      <c r="U75" s="398" t="s">
        <v>497</v>
      </c>
      <c r="V75" s="399" t="s">
        <v>532</v>
      </c>
      <c r="W75" s="465"/>
      <c r="X75" s="465"/>
      <c r="Y75" s="465"/>
      <c r="Z75" s="465"/>
      <c r="AA75" s="465"/>
      <c r="AB75" s="465"/>
      <c r="AC75" s="465"/>
      <c r="AD75" s="465"/>
      <c r="AE75" s="465"/>
      <c r="AF75" s="465"/>
      <c r="AG75" s="465"/>
      <c r="AH75" s="465"/>
      <c r="AI75" s="465"/>
      <c r="AJ75" s="465"/>
      <c r="AK75" s="464">
        <f t="shared" si="127"/>
        <v>0</v>
      </c>
      <c r="AL75" s="464">
        <f t="shared" si="127"/>
        <v>0</v>
      </c>
    </row>
    <row r="76" spans="1:38" ht="15.75" x14ac:dyDescent="0.2">
      <c r="A76" s="396"/>
      <c r="B76" s="398" t="s">
        <v>499</v>
      </c>
      <c r="C76" s="399" t="s">
        <v>533</v>
      </c>
      <c r="D76" s="465"/>
      <c r="E76" s="465"/>
      <c r="F76" s="465"/>
      <c r="G76" s="465"/>
      <c r="H76" s="465"/>
      <c r="I76" s="465"/>
      <c r="J76" s="465"/>
      <c r="K76" s="465"/>
      <c r="L76" s="465"/>
      <c r="M76" s="465"/>
      <c r="N76" s="465"/>
      <c r="O76" s="465"/>
      <c r="P76" s="465"/>
      <c r="Q76" s="465"/>
      <c r="R76" s="465"/>
      <c r="S76" s="465"/>
      <c r="T76" s="396"/>
      <c r="U76" s="398" t="s">
        <v>499</v>
      </c>
      <c r="V76" s="399" t="s">
        <v>533</v>
      </c>
      <c r="W76" s="465"/>
      <c r="X76" s="465"/>
      <c r="Y76" s="465"/>
      <c r="Z76" s="465"/>
      <c r="AA76" s="465"/>
      <c r="AB76" s="465"/>
      <c r="AC76" s="465"/>
      <c r="AD76" s="465"/>
      <c r="AE76" s="465"/>
      <c r="AF76" s="465"/>
      <c r="AG76" s="465"/>
      <c r="AH76" s="465"/>
      <c r="AI76" s="465"/>
      <c r="AJ76" s="465"/>
      <c r="AK76" s="464">
        <f t="shared" si="127"/>
        <v>0</v>
      </c>
      <c r="AL76" s="464">
        <f t="shared" si="127"/>
        <v>0</v>
      </c>
    </row>
    <row r="77" spans="1:38" ht="15.75" x14ac:dyDescent="0.2">
      <c r="A77" s="396"/>
      <c r="B77" s="415" t="s">
        <v>500</v>
      </c>
      <c r="C77" s="399" t="s">
        <v>501</v>
      </c>
      <c r="D77" s="465"/>
      <c r="E77" s="465"/>
      <c r="F77" s="465"/>
      <c r="G77" s="465"/>
      <c r="H77" s="465"/>
      <c r="I77" s="465"/>
      <c r="J77" s="465"/>
      <c r="K77" s="465"/>
      <c r="L77" s="465"/>
      <c r="M77" s="465"/>
      <c r="N77" s="465">
        <v>13337243</v>
      </c>
      <c r="O77" s="465">
        <v>13337243</v>
      </c>
      <c r="P77" s="465"/>
      <c r="Q77" s="465"/>
      <c r="R77" s="465"/>
      <c r="S77" s="465"/>
      <c r="T77" s="396"/>
      <c r="U77" s="415" t="s">
        <v>500</v>
      </c>
      <c r="V77" s="399" t="s">
        <v>501</v>
      </c>
      <c r="W77" s="465"/>
      <c r="X77" s="465"/>
      <c r="Y77" s="465"/>
      <c r="Z77" s="465"/>
      <c r="AA77" s="465"/>
      <c r="AB77" s="465"/>
      <c r="AC77" s="465"/>
      <c r="AD77" s="465"/>
      <c r="AE77" s="465"/>
      <c r="AF77" s="465"/>
      <c r="AG77" s="465"/>
      <c r="AH77" s="465"/>
      <c r="AI77" s="465"/>
      <c r="AJ77" s="465"/>
      <c r="AK77" s="464">
        <f t="shared" si="127"/>
        <v>13337243</v>
      </c>
      <c r="AL77" s="464">
        <f t="shared" si="127"/>
        <v>13337243</v>
      </c>
    </row>
    <row r="78" spans="1:38" ht="15.75" x14ac:dyDescent="0.2">
      <c r="A78" s="396"/>
      <c r="B78" s="415" t="s">
        <v>534</v>
      </c>
      <c r="C78" s="399" t="s">
        <v>535</v>
      </c>
      <c r="D78" s="465"/>
      <c r="E78" s="465"/>
      <c r="F78" s="465"/>
      <c r="G78" s="465"/>
      <c r="H78" s="465"/>
      <c r="I78" s="465"/>
      <c r="J78" s="465"/>
      <c r="K78" s="465"/>
      <c r="L78" s="465"/>
      <c r="M78" s="465"/>
      <c r="N78" s="465">
        <v>2844800</v>
      </c>
      <c r="O78" s="465">
        <v>2844800</v>
      </c>
      <c r="P78" s="465"/>
      <c r="Q78" s="465"/>
      <c r="R78" s="465"/>
      <c r="S78" s="465"/>
      <c r="T78" s="396"/>
      <c r="U78" s="415" t="s">
        <v>534</v>
      </c>
      <c r="V78" s="399" t="s">
        <v>535</v>
      </c>
      <c r="W78" s="465"/>
      <c r="X78" s="465"/>
      <c r="Y78" s="465"/>
      <c r="Z78" s="465"/>
      <c r="AA78" s="465"/>
      <c r="AB78" s="465"/>
      <c r="AC78" s="465"/>
      <c r="AD78" s="465"/>
      <c r="AE78" s="465"/>
      <c r="AF78" s="465"/>
      <c r="AG78" s="465"/>
      <c r="AH78" s="465"/>
      <c r="AI78" s="465"/>
      <c r="AJ78" s="465"/>
      <c r="AK78" s="464">
        <f t="shared" si="127"/>
        <v>2844800</v>
      </c>
      <c r="AL78" s="464">
        <f t="shared" si="127"/>
        <v>2844800</v>
      </c>
    </row>
    <row r="79" spans="1:38" ht="15.75" x14ac:dyDescent="0.2">
      <c r="A79" s="396"/>
      <c r="B79" s="398" t="s">
        <v>615</v>
      </c>
      <c r="C79" s="399" t="s">
        <v>505</v>
      </c>
      <c r="D79" s="465"/>
      <c r="E79" s="465"/>
      <c r="F79" s="465"/>
      <c r="G79" s="465"/>
      <c r="H79" s="465"/>
      <c r="I79" s="465"/>
      <c r="J79" s="465"/>
      <c r="K79" s="465"/>
      <c r="L79" s="465"/>
      <c r="M79" s="465"/>
      <c r="N79" s="465">
        <v>1200000</v>
      </c>
      <c r="O79" s="465">
        <v>1200000</v>
      </c>
      <c r="P79" s="465"/>
      <c r="Q79" s="465"/>
      <c r="R79" s="465"/>
      <c r="S79" s="465"/>
      <c r="T79" s="396"/>
      <c r="U79" s="398" t="s">
        <v>615</v>
      </c>
      <c r="V79" s="399" t="s">
        <v>505</v>
      </c>
      <c r="W79" s="465"/>
      <c r="X79" s="465"/>
      <c r="Y79" s="465"/>
      <c r="Z79" s="465"/>
      <c r="AA79" s="465"/>
      <c r="AB79" s="465"/>
      <c r="AC79" s="465"/>
      <c r="AD79" s="465"/>
      <c r="AE79" s="465"/>
      <c r="AF79" s="465"/>
      <c r="AG79" s="465"/>
      <c r="AH79" s="465"/>
      <c r="AI79" s="465"/>
      <c r="AJ79" s="465"/>
      <c r="AK79" s="464">
        <f t="shared" si="127"/>
        <v>1200000</v>
      </c>
      <c r="AL79" s="464">
        <f t="shared" si="127"/>
        <v>1200000</v>
      </c>
    </row>
    <row r="80" spans="1:38" ht="15.75" x14ac:dyDescent="0.2">
      <c r="A80" s="396"/>
      <c r="B80" s="398" t="s">
        <v>506</v>
      </c>
      <c r="C80" s="399" t="s">
        <v>507</v>
      </c>
      <c r="D80" s="465"/>
      <c r="E80" s="465"/>
      <c r="F80" s="465"/>
      <c r="G80" s="465"/>
      <c r="H80" s="465"/>
      <c r="I80" s="465"/>
      <c r="J80" s="465"/>
      <c r="K80" s="465"/>
      <c r="L80" s="465"/>
      <c r="M80" s="465"/>
      <c r="N80" s="465"/>
      <c r="O80" s="465"/>
      <c r="P80" s="465"/>
      <c r="Q80" s="465"/>
      <c r="R80" s="465"/>
      <c r="S80" s="465"/>
      <c r="T80" s="396"/>
      <c r="U80" s="398" t="s">
        <v>506</v>
      </c>
      <c r="V80" s="399" t="s">
        <v>507</v>
      </c>
      <c r="W80" s="465"/>
      <c r="X80" s="465"/>
      <c r="Y80" s="465"/>
      <c r="Z80" s="465"/>
      <c r="AA80" s="465"/>
      <c r="AB80" s="465"/>
      <c r="AC80" s="465"/>
      <c r="AD80" s="465"/>
      <c r="AE80" s="465"/>
      <c r="AF80" s="465"/>
      <c r="AG80" s="465"/>
      <c r="AH80" s="465"/>
      <c r="AI80" s="465"/>
      <c r="AJ80" s="465"/>
      <c r="AK80" s="464">
        <f t="shared" si="127"/>
        <v>0</v>
      </c>
      <c r="AL80" s="464">
        <f t="shared" si="127"/>
        <v>0</v>
      </c>
    </row>
    <row r="81" spans="1:38" ht="15.75" x14ac:dyDescent="0.2">
      <c r="A81" s="396"/>
      <c r="B81" s="398" t="s">
        <v>536</v>
      </c>
      <c r="C81" s="399" t="s">
        <v>537</v>
      </c>
      <c r="D81" s="465"/>
      <c r="E81" s="465"/>
      <c r="F81" s="465"/>
      <c r="G81" s="465"/>
      <c r="H81" s="465"/>
      <c r="I81" s="465"/>
      <c r="J81" s="465"/>
      <c r="K81" s="465"/>
      <c r="L81" s="465"/>
      <c r="M81" s="465"/>
      <c r="N81" s="465"/>
      <c r="O81" s="465"/>
      <c r="P81" s="465"/>
      <c r="Q81" s="465"/>
      <c r="R81" s="465"/>
      <c r="S81" s="465"/>
      <c r="T81" s="396"/>
      <c r="U81" s="398" t="s">
        <v>536</v>
      </c>
      <c r="V81" s="399" t="s">
        <v>537</v>
      </c>
      <c r="W81" s="465"/>
      <c r="X81" s="465"/>
      <c r="Y81" s="465"/>
      <c r="Z81" s="465"/>
      <c r="AA81" s="465"/>
      <c r="AB81" s="465"/>
      <c r="AC81" s="465"/>
      <c r="AD81" s="465"/>
      <c r="AE81" s="465"/>
      <c r="AF81" s="465"/>
      <c r="AG81" s="465"/>
      <c r="AH81" s="465"/>
      <c r="AI81" s="465"/>
      <c r="AJ81" s="465"/>
      <c r="AK81" s="464">
        <f t="shared" si="127"/>
        <v>0</v>
      </c>
      <c r="AL81" s="464">
        <f t="shared" si="127"/>
        <v>0</v>
      </c>
    </row>
    <row r="82" spans="1:38" ht="15.75" x14ac:dyDescent="0.2">
      <c r="A82" s="650" t="s">
        <v>590</v>
      </c>
      <c r="B82" s="651"/>
      <c r="C82" s="652"/>
      <c r="D82" s="463">
        <f t="shared" ref="D82" si="141">SUM(D68:D81)</f>
        <v>0</v>
      </c>
      <c r="E82" s="463">
        <f t="shared" ref="E82:AB82" si="142">SUM(E68:E81)</f>
        <v>0</v>
      </c>
      <c r="F82" s="463">
        <f t="shared" ref="F82" si="143">SUM(F68:F81)</f>
        <v>0</v>
      </c>
      <c r="G82" s="463">
        <f t="shared" si="142"/>
        <v>0</v>
      </c>
      <c r="H82" s="463">
        <f t="shared" ref="H82" si="144">SUM(H68:H81)</f>
        <v>0</v>
      </c>
      <c r="I82" s="463">
        <f t="shared" si="142"/>
        <v>0</v>
      </c>
      <c r="J82" s="463">
        <f t="shared" ref="J82" si="145">SUM(J68:J81)</f>
        <v>0</v>
      </c>
      <c r="K82" s="463">
        <f t="shared" si="142"/>
        <v>0</v>
      </c>
      <c r="L82" s="463">
        <f t="shared" ref="L82" si="146">SUM(L68:L81)</f>
        <v>0</v>
      </c>
      <c r="M82" s="463">
        <f t="shared" si="142"/>
        <v>0</v>
      </c>
      <c r="N82" s="463">
        <f>SUM(N68:N81)</f>
        <v>48681727</v>
      </c>
      <c r="O82" s="463">
        <f>SUM(O68:O81)</f>
        <v>48681727</v>
      </c>
      <c r="P82" s="463">
        <f t="shared" ref="P82" si="147">SUM(P68:P81)</f>
        <v>0</v>
      </c>
      <c r="Q82" s="463">
        <f t="shared" si="142"/>
        <v>0</v>
      </c>
      <c r="R82" s="463">
        <f t="shared" ref="R82" si="148">SUM(R68:R81)</f>
        <v>0</v>
      </c>
      <c r="S82" s="463">
        <f t="shared" si="142"/>
        <v>0</v>
      </c>
      <c r="T82" s="650" t="s">
        <v>590</v>
      </c>
      <c r="U82" s="651"/>
      <c r="V82" s="652"/>
      <c r="W82" s="463">
        <f t="shared" ref="W82" si="149">SUM(W68:W81)</f>
        <v>0</v>
      </c>
      <c r="X82" s="463">
        <f t="shared" si="142"/>
        <v>0</v>
      </c>
      <c r="Y82" s="463">
        <f t="shared" ref="Y82" si="150">SUM(Y68:Y81)</f>
        <v>0</v>
      </c>
      <c r="Z82" s="463">
        <f t="shared" si="142"/>
        <v>0</v>
      </c>
      <c r="AA82" s="463">
        <f t="shared" ref="AA82" si="151">SUM(AA68:AA81)</f>
        <v>0</v>
      </c>
      <c r="AB82" s="463">
        <f t="shared" si="142"/>
        <v>0</v>
      </c>
      <c r="AC82" s="463">
        <f t="shared" ref="AC82" si="152">SUM(AC68:AC81)</f>
        <v>0</v>
      </c>
      <c r="AD82" s="463">
        <f>SUM(AD80:AD81)</f>
        <v>0</v>
      </c>
      <c r="AE82" s="463">
        <f t="shared" ref="AE82" si="153">SUM(AE68:AE81)</f>
        <v>0</v>
      </c>
      <c r="AF82" s="463">
        <f>SUM(AF80:AF81)</f>
        <v>0</v>
      </c>
      <c r="AG82" s="463">
        <f t="shared" ref="AG82" si="154">SUM(AG68:AG81)</f>
        <v>0</v>
      </c>
      <c r="AH82" s="463">
        <f>SUM(AH80:AH81)</f>
        <v>0</v>
      </c>
      <c r="AI82" s="463">
        <f t="shared" ref="AI82" si="155">SUM(AI68:AI81)</f>
        <v>0</v>
      </c>
      <c r="AJ82" s="463">
        <f>SUM(AJ68:AJ81)</f>
        <v>2212562</v>
      </c>
      <c r="AK82" s="463">
        <f t="shared" si="127"/>
        <v>48681727</v>
      </c>
      <c r="AL82" s="463">
        <f t="shared" si="127"/>
        <v>50894289</v>
      </c>
    </row>
    <row r="83" spans="1:38" ht="15.75" x14ac:dyDescent="0.2">
      <c r="A83" s="416"/>
      <c r="B83" s="410" t="s">
        <v>438</v>
      </c>
      <c r="C83" s="411" t="s">
        <v>523</v>
      </c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16"/>
      <c r="U83" s="410" t="s">
        <v>438</v>
      </c>
      <c r="V83" s="411" t="s">
        <v>523</v>
      </c>
      <c r="W83" s="462"/>
      <c r="X83" s="462"/>
      <c r="Y83" s="462"/>
      <c r="Z83" s="462"/>
      <c r="AA83" s="462"/>
      <c r="AB83" s="462"/>
      <c r="AC83" s="462"/>
      <c r="AD83" s="462"/>
      <c r="AE83" s="462"/>
      <c r="AF83" s="462"/>
      <c r="AG83" s="462"/>
      <c r="AH83" s="462"/>
      <c r="AI83" s="462"/>
      <c r="AJ83" s="462">
        <v>2496860</v>
      </c>
      <c r="AK83" s="464">
        <f t="shared" si="127"/>
        <v>0</v>
      </c>
      <c r="AL83" s="464">
        <f t="shared" si="127"/>
        <v>2496860</v>
      </c>
    </row>
    <row r="84" spans="1:38" ht="15.75" x14ac:dyDescent="0.2">
      <c r="A84" s="416"/>
      <c r="B84" s="410" t="s">
        <v>434</v>
      </c>
      <c r="C84" s="411" t="s">
        <v>435</v>
      </c>
      <c r="D84" s="462"/>
      <c r="E84" s="462"/>
      <c r="F84" s="462"/>
      <c r="G84" s="462"/>
      <c r="H84" s="462"/>
      <c r="I84" s="462">
        <v>1850000</v>
      </c>
      <c r="J84" s="462">
        <v>19963948</v>
      </c>
      <c r="K84" s="462">
        <v>20713948</v>
      </c>
      <c r="L84" s="462"/>
      <c r="M84" s="462"/>
      <c r="N84" s="462">
        <v>300000</v>
      </c>
      <c r="O84" s="462">
        <v>300000</v>
      </c>
      <c r="P84" s="462"/>
      <c r="Q84" s="462"/>
      <c r="R84" s="462"/>
      <c r="S84" s="462"/>
      <c r="T84" s="416"/>
      <c r="U84" s="410" t="s">
        <v>434</v>
      </c>
      <c r="V84" s="411" t="s">
        <v>435</v>
      </c>
      <c r="W84" s="462"/>
      <c r="X84" s="462"/>
      <c r="Y84" s="462"/>
      <c r="Z84" s="462"/>
      <c r="AA84" s="462"/>
      <c r="AB84" s="462"/>
      <c r="AC84" s="462"/>
      <c r="AD84" s="462"/>
      <c r="AE84" s="462"/>
      <c r="AF84" s="462"/>
      <c r="AG84" s="462"/>
      <c r="AH84" s="462"/>
      <c r="AI84" s="462"/>
      <c r="AJ84" s="462"/>
      <c r="AK84" s="464">
        <f t="shared" si="127"/>
        <v>20263948</v>
      </c>
      <c r="AL84" s="464">
        <f t="shared" si="127"/>
        <v>22863948</v>
      </c>
    </row>
    <row r="85" spans="1:38" ht="15.75" x14ac:dyDescent="0.2">
      <c r="A85" s="416"/>
      <c r="B85" s="410" t="s">
        <v>486</v>
      </c>
      <c r="C85" s="411" t="s">
        <v>487</v>
      </c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16"/>
      <c r="U85" s="410" t="s">
        <v>486</v>
      </c>
      <c r="V85" s="411" t="s">
        <v>487</v>
      </c>
      <c r="W85" s="462"/>
      <c r="X85" s="462"/>
      <c r="Y85" s="462"/>
      <c r="Z85" s="462"/>
      <c r="AA85" s="462"/>
      <c r="AB85" s="462"/>
      <c r="AC85" s="462"/>
      <c r="AD85" s="462"/>
      <c r="AE85" s="462"/>
      <c r="AF85" s="462"/>
      <c r="AG85" s="462"/>
      <c r="AH85" s="462"/>
      <c r="AI85" s="462"/>
      <c r="AJ85" s="462"/>
      <c r="AK85" s="464">
        <f t="shared" si="127"/>
        <v>0</v>
      </c>
      <c r="AL85" s="464">
        <f t="shared" si="127"/>
        <v>0</v>
      </c>
    </row>
    <row r="86" spans="1:38" ht="15.75" x14ac:dyDescent="0.2">
      <c r="A86" s="416"/>
      <c r="B86" s="410" t="s">
        <v>529</v>
      </c>
      <c r="C86" s="411" t="s">
        <v>539</v>
      </c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16"/>
      <c r="U86" s="410" t="s">
        <v>529</v>
      </c>
      <c r="V86" s="411" t="s">
        <v>539</v>
      </c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462"/>
      <c r="AK86" s="464">
        <f t="shared" si="127"/>
        <v>0</v>
      </c>
      <c r="AL86" s="464">
        <f t="shared" si="127"/>
        <v>0</v>
      </c>
    </row>
    <row r="87" spans="1:38" ht="15.75" x14ac:dyDescent="0.2">
      <c r="A87" s="416"/>
      <c r="B87" s="398" t="s">
        <v>490</v>
      </c>
      <c r="C87" s="400" t="s">
        <v>491</v>
      </c>
      <c r="D87" s="462"/>
      <c r="E87" s="462"/>
      <c r="F87" s="462"/>
      <c r="G87" s="462"/>
      <c r="H87" s="462"/>
      <c r="I87" s="462">
        <v>3047000</v>
      </c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16"/>
      <c r="U87" s="398" t="s">
        <v>490</v>
      </c>
      <c r="V87" s="400" t="s">
        <v>491</v>
      </c>
      <c r="W87" s="462"/>
      <c r="X87" s="462"/>
      <c r="Y87" s="462"/>
      <c r="Z87" s="462"/>
      <c r="AA87" s="462"/>
      <c r="AB87" s="462"/>
      <c r="AC87" s="462"/>
      <c r="AD87" s="462"/>
      <c r="AE87" s="462"/>
      <c r="AF87" s="462"/>
      <c r="AG87" s="462"/>
      <c r="AH87" s="462"/>
      <c r="AI87" s="462"/>
      <c r="AJ87" s="462"/>
      <c r="AK87" s="464">
        <f t="shared" ref="AK87" si="156">SUM(D87+F87+H87+J87+L87+N87+P87+R87+W87+Y87+AA87+AC87+AE87+AI87+AG87)</f>
        <v>0</v>
      </c>
      <c r="AL87" s="464">
        <f t="shared" ref="AL87" si="157">SUM(E87+G87+I87+K87+M87+O87+Q87+S87+X87+Z87+AB87+AD87+AF87+AJ87+AH87)</f>
        <v>3047000</v>
      </c>
    </row>
    <row r="88" spans="1:38" ht="15.75" x14ac:dyDescent="0.2">
      <c r="A88" s="416"/>
      <c r="B88" s="410" t="s">
        <v>492</v>
      </c>
      <c r="C88" s="411" t="s">
        <v>540</v>
      </c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>
        <v>7000000</v>
      </c>
      <c r="O88" s="462">
        <v>7000000</v>
      </c>
      <c r="P88" s="462"/>
      <c r="Q88" s="462"/>
      <c r="R88" s="462"/>
      <c r="S88" s="462"/>
      <c r="T88" s="416"/>
      <c r="U88" s="410" t="s">
        <v>492</v>
      </c>
      <c r="V88" s="411" t="s">
        <v>540</v>
      </c>
      <c r="W88" s="462"/>
      <c r="X88" s="462"/>
      <c r="Y88" s="462"/>
      <c r="Z88" s="462"/>
      <c r="AA88" s="462"/>
      <c r="AB88" s="462"/>
      <c r="AC88" s="462"/>
      <c r="AD88" s="462"/>
      <c r="AE88" s="462"/>
      <c r="AF88" s="462"/>
      <c r="AG88" s="462"/>
      <c r="AH88" s="462"/>
      <c r="AI88" s="462"/>
      <c r="AJ88" s="462"/>
      <c r="AK88" s="464">
        <f t="shared" si="127"/>
        <v>7000000</v>
      </c>
      <c r="AL88" s="464">
        <f t="shared" si="127"/>
        <v>7000000</v>
      </c>
    </row>
    <row r="89" spans="1:38" ht="15.75" x14ac:dyDescent="0.2">
      <c r="A89" s="650" t="s">
        <v>591</v>
      </c>
      <c r="B89" s="651"/>
      <c r="C89" s="652"/>
      <c r="D89" s="463">
        <f t="shared" ref="D89" si="158">SUM(D83:D88)</f>
        <v>0</v>
      </c>
      <c r="E89" s="463">
        <f t="shared" ref="E89:S89" si="159">SUM(E83:E88)</f>
        <v>0</v>
      </c>
      <c r="F89" s="463">
        <f t="shared" ref="F89" si="160">SUM(F83:F88)</f>
        <v>0</v>
      </c>
      <c r="G89" s="463">
        <f t="shared" si="159"/>
        <v>0</v>
      </c>
      <c r="H89" s="463">
        <f t="shared" ref="H89" si="161">SUM(H83:H88)</f>
        <v>0</v>
      </c>
      <c r="I89" s="463">
        <f t="shared" si="159"/>
        <v>4897000</v>
      </c>
      <c r="J89" s="463">
        <f t="shared" ref="J89" si="162">SUM(J83:J88)</f>
        <v>19963948</v>
      </c>
      <c r="K89" s="463">
        <f t="shared" si="159"/>
        <v>20713948</v>
      </c>
      <c r="L89" s="463">
        <f t="shared" ref="L89" si="163">SUM(L83:L88)</f>
        <v>0</v>
      </c>
      <c r="M89" s="463">
        <f t="shared" si="159"/>
        <v>0</v>
      </c>
      <c r="N89" s="463">
        <f t="shared" ref="N89" si="164">SUM(N83:N88)</f>
        <v>7300000</v>
      </c>
      <c r="O89" s="463">
        <f t="shared" si="159"/>
        <v>7300000</v>
      </c>
      <c r="P89" s="463">
        <f t="shared" ref="P89" si="165">SUM(P83:P88)</f>
        <v>0</v>
      </c>
      <c r="Q89" s="463">
        <f t="shared" si="159"/>
        <v>0</v>
      </c>
      <c r="R89" s="463">
        <f t="shared" ref="R89" si="166">SUM(R83:R88)</f>
        <v>0</v>
      </c>
      <c r="S89" s="463">
        <f t="shared" si="159"/>
        <v>0</v>
      </c>
      <c r="T89" s="650" t="s">
        <v>591</v>
      </c>
      <c r="U89" s="651"/>
      <c r="V89" s="652"/>
      <c r="W89" s="463">
        <f t="shared" ref="W89" si="167">SUM(W83:W88)</f>
        <v>0</v>
      </c>
      <c r="X89" s="463">
        <f t="shared" ref="X89:AJ89" si="168">SUM(X83:X88)</f>
        <v>0</v>
      </c>
      <c r="Y89" s="463">
        <f t="shared" si="168"/>
        <v>0</v>
      </c>
      <c r="Z89" s="463">
        <f t="shared" si="168"/>
        <v>0</v>
      </c>
      <c r="AA89" s="463">
        <f t="shared" si="168"/>
        <v>0</v>
      </c>
      <c r="AB89" s="463">
        <f t="shared" si="168"/>
        <v>0</v>
      </c>
      <c r="AC89" s="463">
        <f t="shared" si="168"/>
        <v>0</v>
      </c>
      <c r="AD89" s="463">
        <f t="shared" si="168"/>
        <v>0</v>
      </c>
      <c r="AE89" s="463">
        <f t="shared" si="168"/>
        <v>0</v>
      </c>
      <c r="AF89" s="463">
        <f t="shared" si="168"/>
        <v>0</v>
      </c>
      <c r="AG89" s="463">
        <f t="shared" si="168"/>
        <v>0</v>
      </c>
      <c r="AH89" s="463">
        <f t="shared" si="168"/>
        <v>0</v>
      </c>
      <c r="AI89" s="463">
        <f t="shared" si="168"/>
        <v>0</v>
      </c>
      <c r="AJ89" s="463">
        <f t="shared" si="168"/>
        <v>2496860</v>
      </c>
      <c r="AK89" s="463">
        <f t="shared" si="127"/>
        <v>27263948</v>
      </c>
      <c r="AL89" s="463">
        <f t="shared" si="127"/>
        <v>35407808</v>
      </c>
    </row>
    <row r="90" spans="1:38" ht="15.75" x14ac:dyDescent="0.2">
      <c r="A90" s="653" t="s">
        <v>541</v>
      </c>
      <c r="B90" s="654"/>
      <c r="C90" s="655"/>
      <c r="D90" s="466">
        <f t="shared" ref="D90" si="169">SUM(D60+D66+D82+D89)</f>
        <v>369329920</v>
      </c>
      <c r="E90" s="466">
        <f t="shared" ref="E90:S90" si="170">SUM(E60+E66+E82+E89)</f>
        <v>375992194</v>
      </c>
      <c r="F90" s="466">
        <f t="shared" ref="F90" si="171">SUM(F60+F66+F82+F89)</f>
        <v>0</v>
      </c>
      <c r="G90" s="466">
        <f t="shared" si="170"/>
        <v>10627629</v>
      </c>
      <c r="H90" s="466">
        <f t="shared" ref="H90" si="172">SUM(H60+H66+H82+H89)</f>
        <v>74967225</v>
      </c>
      <c r="I90" s="466">
        <f t="shared" si="170"/>
        <v>80463139</v>
      </c>
      <c r="J90" s="466">
        <f t="shared" ref="J90" si="173">SUM(J60+J66+J82+J89)</f>
        <v>589609132</v>
      </c>
      <c r="K90" s="466">
        <f t="shared" si="170"/>
        <v>590898447</v>
      </c>
      <c r="L90" s="466">
        <f t="shared" ref="L90" si="174">SUM(L60+L66+L82+L89)</f>
        <v>473500000</v>
      </c>
      <c r="M90" s="466">
        <f t="shared" si="170"/>
        <v>473500000</v>
      </c>
      <c r="N90" s="466">
        <f t="shared" ref="N90" si="175">SUM(N60+N66+N82+N89)</f>
        <v>138395493</v>
      </c>
      <c r="O90" s="466">
        <f t="shared" si="170"/>
        <v>138395493</v>
      </c>
      <c r="P90" s="466">
        <f t="shared" ref="P90" si="176">SUM(P60+P66+P82+P89)</f>
        <v>370000</v>
      </c>
      <c r="Q90" s="466">
        <f t="shared" si="170"/>
        <v>370000</v>
      </c>
      <c r="R90" s="466">
        <f t="shared" ref="R90" si="177">SUM(R60+R66+R82+R89)</f>
        <v>0</v>
      </c>
      <c r="S90" s="466">
        <f t="shared" si="170"/>
        <v>0</v>
      </c>
      <c r="T90" s="653" t="s">
        <v>541</v>
      </c>
      <c r="U90" s="654"/>
      <c r="V90" s="655"/>
      <c r="W90" s="466">
        <f t="shared" ref="W90" si="178">SUM(W60+W66+W82+W89)</f>
        <v>0</v>
      </c>
      <c r="X90" s="466">
        <f t="shared" ref="X90:AJ90" si="179">SUM(X60+X66+X82+X89)</f>
        <v>2200000</v>
      </c>
      <c r="Y90" s="466">
        <f t="shared" si="179"/>
        <v>705000</v>
      </c>
      <c r="Z90" s="466">
        <f t="shared" si="179"/>
        <v>705000</v>
      </c>
      <c r="AA90" s="466">
        <f t="shared" si="179"/>
        <v>408000</v>
      </c>
      <c r="AB90" s="466">
        <f t="shared" si="179"/>
        <v>408000</v>
      </c>
      <c r="AC90" s="466">
        <f t="shared" si="179"/>
        <v>0</v>
      </c>
      <c r="AD90" s="466">
        <f t="shared" si="179"/>
        <v>0</v>
      </c>
      <c r="AE90" s="466">
        <f t="shared" si="179"/>
        <v>0</v>
      </c>
      <c r="AF90" s="466">
        <f t="shared" si="179"/>
        <v>0</v>
      </c>
      <c r="AG90" s="466">
        <f t="shared" si="179"/>
        <v>340000000</v>
      </c>
      <c r="AH90" s="466">
        <f t="shared" si="179"/>
        <v>340000000</v>
      </c>
      <c r="AI90" s="466">
        <f t="shared" si="179"/>
        <v>55813230</v>
      </c>
      <c r="AJ90" s="466">
        <f t="shared" si="179"/>
        <v>64777566</v>
      </c>
      <c r="AK90" s="466">
        <f t="shared" si="127"/>
        <v>2043098000</v>
      </c>
      <c r="AL90" s="466">
        <f t="shared" si="127"/>
        <v>2078337468</v>
      </c>
    </row>
  </sheetData>
  <mergeCells count="36">
    <mergeCell ref="AG2:AH2"/>
    <mergeCell ref="AI2:AJ2"/>
    <mergeCell ref="R2:S2"/>
    <mergeCell ref="Y2:Z2"/>
    <mergeCell ref="AA2:AB2"/>
    <mergeCell ref="AC2:AD2"/>
    <mergeCell ref="AE2:AF2"/>
    <mergeCell ref="W1:X2"/>
    <mergeCell ref="Y1:AB1"/>
    <mergeCell ref="AC1:AJ1"/>
    <mergeCell ref="T82:V82"/>
    <mergeCell ref="A89:C89"/>
    <mergeCell ref="T89:V89"/>
    <mergeCell ref="A90:C90"/>
    <mergeCell ref="T90:V90"/>
    <mergeCell ref="J1:K2"/>
    <mergeCell ref="L1:M2"/>
    <mergeCell ref="N1:O2"/>
    <mergeCell ref="P1:S1"/>
    <mergeCell ref="A82:C82"/>
    <mergeCell ref="AK1:AL2"/>
    <mergeCell ref="D2:E2"/>
    <mergeCell ref="A66:C66"/>
    <mergeCell ref="T66:V66"/>
    <mergeCell ref="T1:T2"/>
    <mergeCell ref="U1:U2"/>
    <mergeCell ref="V1:V2"/>
    <mergeCell ref="A1:A2"/>
    <mergeCell ref="B1:B2"/>
    <mergeCell ref="C1:C2"/>
    <mergeCell ref="F2:G2"/>
    <mergeCell ref="H2:I2"/>
    <mergeCell ref="P2:Q2"/>
    <mergeCell ref="A60:C60"/>
    <mergeCell ref="T60:V60"/>
    <mergeCell ref="D1:I1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 xml:space="preserve">&amp;C&amp;"Arial CE,Félkövér" 8/2018. ( VI.28.  )  számú költségvetési rendelethez
ZALAKAROS VÁROS ÖNKORMÁNYZATA ÉS KÖLTSÉGVETÉSI SZERVEI 
2018. ÉVI BEVÉTELI ELŐIRÁNYZATAI &amp;R&amp;P.oldal
&amp;A
1000.-Ft-ban
</oddHeader>
  </headerFooter>
  <rowBreaks count="1" manualBreakCount="1">
    <brk id="60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81"/>
  <sheetViews>
    <sheetView topLeftCell="E1" zoomScale="75" zoomScaleNormal="75" zoomScaleSheetLayoutView="75" workbookViewId="0">
      <selection activeCell="P78" sqref="P78"/>
    </sheetView>
  </sheetViews>
  <sheetFormatPr defaultRowHeight="12.75" x14ac:dyDescent="0.2"/>
  <cols>
    <col min="1" max="1" width="11.140625" style="337" customWidth="1"/>
    <col min="2" max="2" width="50.7109375" style="337" customWidth="1"/>
    <col min="3" max="3" width="4.7109375" style="337" customWidth="1"/>
    <col min="4" max="4" width="5.42578125" style="337" customWidth="1"/>
    <col min="5" max="5" width="14.140625" style="337" customWidth="1"/>
    <col min="6" max="7" width="15.85546875" style="337" customWidth="1"/>
    <col min="8" max="9" width="15.28515625" style="337" customWidth="1"/>
    <col min="10" max="11" width="17" style="337" customWidth="1"/>
    <col min="12" max="12" width="14" style="337" customWidth="1"/>
    <col min="13" max="13" width="10" style="337" customWidth="1"/>
    <col min="14" max="15" width="14.140625" style="337" customWidth="1"/>
    <col min="16" max="16" width="15.140625" style="337" customWidth="1"/>
    <col min="17" max="17" width="14.5703125" style="337" customWidth="1"/>
    <col min="18" max="19" width="14.140625" style="337" customWidth="1"/>
    <col min="20" max="21" width="15.42578125" style="337" customWidth="1"/>
    <col min="22" max="22" width="14.140625" style="337" customWidth="1"/>
    <col min="23" max="23" width="9.42578125" style="337" customWidth="1"/>
    <col min="24" max="24" width="50" style="337" customWidth="1"/>
    <col min="25" max="25" width="14.42578125" style="337" customWidth="1"/>
    <col min="26" max="27" width="14" style="337" customWidth="1"/>
    <col min="28" max="29" width="14.7109375" style="337" customWidth="1"/>
    <col min="30" max="30" width="12" style="337" customWidth="1"/>
    <col min="31" max="31" width="13.42578125" style="337" customWidth="1"/>
    <col min="32" max="35" width="13.5703125" style="337" customWidth="1"/>
    <col min="36" max="37" width="13.140625" style="337" customWidth="1"/>
    <col min="38" max="41" width="15.5703125" style="337" customWidth="1"/>
    <col min="42" max="43" width="13" style="337" customWidth="1"/>
    <col min="44" max="44" width="17" style="337" customWidth="1"/>
    <col min="45" max="45" width="16.85546875" style="337" customWidth="1"/>
    <col min="46" max="276" width="9.140625" style="337"/>
    <col min="277" max="277" width="11.140625" style="337" customWidth="1"/>
    <col min="278" max="278" width="50.7109375" style="337" customWidth="1"/>
    <col min="279" max="279" width="6.85546875" style="337" customWidth="1"/>
    <col min="280" max="280" width="7.85546875" style="337" customWidth="1"/>
    <col min="281" max="281" width="15.85546875" style="337" customWidth="1"/>
    <col min="282" max="282" width="15.28515625" style="337" customWidth="1"/>
    <col min="283" max="283" width="17" style="337" customWidth="1"/>
    <col min="284" max="284" width="14" style="337" customWidth="1"/>
    <col min="285" max="285" width="12.28515625" style="337" customWidth="1"/>
    <col min="286" max="286" width="17.42578125" style="337" customWidth="1"/>
    <col min="287" max="287" width="14.140625" style="337" customWidth="1"/>
    <col min="288" max="288" width="15.42578125" style="337" customWidth="1"/>
    <col min="289" max="290" width="9.42578125" style="337" customWidth="1"/>
    <col min="291" max="291" width="50" style="337" customWidth="1"/>
    <col min="292" max="292" width="14" style="337" customWidth="1"/>
    <col min="293" max="293" width="11" style="337" customWidth="1"/>
    <col min="294" max="294" width="10.5703125" style="337" customWidth="1"/>
    <col min="295" max="295" width="13.5703125" style="337" customWidth="1"/>
    <col min="296" max="296" width="10.5703125" style="337" customWidth="1"/>
    <col min="297" max="297" width="13.140625" style="337" customWidth="1"/>
    <col min="298" max="298" width="15.5703125" style="337" customWidth="1"/>
    <col min="299" max="299" width="14.5703125" style="337" customWidth="1"/>
    <col min="300" max="300" width="9" style="337" customWidth="1"/>
    <col min="301" max="301" width="17.7109375" style="337" customWidth="1"/>
    <col min="302" max="532" width="9.140625" style="337"/>
    <col min="533" max="533" width="11.140625" style="337" customWidth="1"/>
    <col min="534" max="534" width="50.7109375" style="337" customWidth="1"/>
    <col min="535" max="535" width="6.85546875" style="337" customWidth="1"/>
    <col min="536" max="536" width="7.85546875" style="337" customWidth="1"/>
    <col min="537" max="537" width="15.85546875" style="337" customWidth="1"/>
    <col min="538" max="538" width="15.28515625" style="337" customWidth="1"/>
    <col min="539" max="539" width="17" style="337" customWidth="1"/>
    <col min="540" max="540" width="14" style="337" customWidth="1"/>
    <col min="541" max="541" width="12.28515625" style="337" customWidth="1"/>
    <col min="542" max="542" width="17.42578125" style="337" customWidth="1"/>
    <col min="543" max="543" width="14.140625" style="337" customWidth="1"/>
    <col min="544" max="544" width="15.42578125" style="337" customWidth="1"/>
    <col min="545" max="546" width="9.42578125" style="337" customWidth="1"/>
    <col min="547" max="547" width="50" style="337" customWidth="1"/>
    <col min="548" max="548" width="14" style="337" customWidth="1"/>
    <col min="549" max="549" width="11" style="337" customWidth="1"/>
    <col min="550" max="550" width="10.5703125" style="337" customWidth="1"/>
    <col min="551" max="551" width="13.5703125" style="337" customWidth="1"/>
    <col min="552" max="552" width="10.5703125" style="337" customWidth="1"/>
    <col min="553" max="553" width="13.140625" style="337" customWidth="1"/>
    <col min="554" max="554" width="15.5703125" style="337" customWidth="1"/>
    <col min="555" max="555" width="14.5703125" style="337" customWidth="1"/>
    <col min="556" max="556" width="9" style="337" customWidth="1"/>
    <col min="557" max="557" width="17.7109375" style="337" customWidth="1"/>
    <col min="558" max="788" width="9.140625" style="337"/>
    <col min="789" max="789" width="11.140625" style="337" customWidth="1"/>
    <col min="790" max="790" width="50.7109375" style="337" customWidth="1"/>
    <col min="791" max="791" width="6.85546875" style="337" customWidth="1"/>
    <col min="792" max="792" width="7.85546875" style="337" customWidth="1"/>
    <col min="793" max="793" width="15.85546875" style="337" customWidth="1"/>
    <col min="794" max="794" width="15.28515625" style="337" customWidth="1"/>
    <col min="795" max="795" width="17" style="337" customWidth="1"/>
    <col min="796" max="796" width="14" style="337" customWidth="1"/>
    <col min="797" max="797" width="12.28515625" style="337" customWidth="1"/>
    <col min="798" max="798" width="17.42578125" style="337" customWidth="1"/>
    <col min="799" max="799" width="14.140625" style="337" customWidth="1"/>
    <col min="800" max="800" width="15.42578125" style="337" customWidth="1"/>
    <col min="801" max="802" width="9.42578125" style="337" customWidth="1"/>
    <col min="803" max="803" width="50" style="337" customWidth="1"/>
    <col min="804" max="804" width="14" style="337" customWidth="1"/>
    <col min="805" max="805" width="11" style="337" customWidth="1"/>
    <col min="806" max="806" width="10.5703125" style="337" customWidth="1"/>
    <col min="807" max="807" width="13.5703125" style="337" customWidth="1"/>
    <col min="808" max="808" width="10.5703125" style="337" customWidth="1"/>
    <col min="809" max="809" width="13.140625" style="337" customWidth="1"/>
    <col min="810" max="810" width="15.5703125" style="337" customWidth="1"/>
    <col min="811" max="811" width="14.5703125" style="337" customWidth="1"/>
    <col min="812" max="812" width="9" style="337" customWidth="1"/>
    <col min="813" max="813" width="17.7109375" style="337" customWidth="1"/>
    <col min="814" max="1044" width="9.140625" style="337"/>
    <col min="1045" max="1045" width="11.140625" style="337" customWidth="1"/>
    <col min="1046" max="1046" width="50.7109375" style="337" customWidth="1"/>
    <col min="1047" max="1047" width="6.85546875" style="337" customWidth="1"/>
    <col min="1048" max="1048" width="7.85546875" style="337" customWidth="1"/>
    <col min="1049" max="1049" width="15.85546875" style="337" customWidth="1"/>
    <col min="1050" max="1050" width="15.28515625" style="337" customWidth="1"/>
    <col min="1051" max="1051" width="17" style="337" customWidth="1"/>
    <col min="1052" max="1052" width="14" style="337" customWidth="1"/>
    <col min="1053" max="1053" width="12.28515625" style="337" customWidth="1"/>
    <col min="1054" max="1054" width="17.42578125" style="337" customWidth="1"/>
    <col min="1055" max="1055" width="14.140625" style="337" customWidth="1"/>
    <col min="1056" max="1056" width="15.42578125" style="337" customWidth="1"/>
    <col min="1057" max="1058" width="9.42578125" style="337" customWidth="1"/>
    <col min="1059" max="1059" width="50" style="337" customWidth="1"/>
    <col min="1060" max="1060" width="14" style="337" customWidth="1"/>
    <col min="1061" max="1061" width="11" style="337" customWidth="1"/>
    <col min="1062" max="1062" width="10.5703125" style="337" customWidth="1"/>
    <col min="1063" max="1063" width="13.5703125" style="337" customWidth="1"/>
    <col min="1064" max="1064" width="10.5703125" style="337" customWidth="1"/>
    <col min="1065" max="1065" width="13.140625" style="337" customWidth="1"/>
    <col min="1066" max="1066" width="15.5703125" style="337" customWidth="1"/>
    <col min="1067" max="1067" width="14.5703125" style="337" customWidth="1"/>
    <col min="1068" max="1068" width="9" style="337" customWidth="1"/>
    <col min="1069" max="1069" width="17.7109375" style="337" customWidth="1"/>
    <col min="1070" max="1300" width="9.140625" style="337"/>
    <col min="1301" max="1301" width="11.140625" style="337" customWidth="1"/>
    <col min="1302" max="1302" width="50.7109375" style="337" customWidth="1"/>
    <col min="1303" max="1303" width="6.85546875" style="337" customWidth="1"/>
    <col min="1304" max="1304" width="7.85546875" style="337" customWidth="1"/>
    <col min="1305" max="1305" width="15.85546875" style="337" customWidth="1"/>
    <col min="1306" max="1306" width="15.28515625" style="337" customWidth="1"/>
    <col min="1307" max="1307" width="17" style="337" customWidth="1"/>
    <col min="1308" max="1308" width="14" style="337" customWidth="1"/>
    <col min="1309" max="1309" width="12.28515625" style="337" customWidth="1"/>
    <col min="1310" max="1310" width="17.42578125" style="337" customWidth="1"/>
    <col min="1311" max="1311" width="14.140625" style="337" customWidth="1"/>
    <col min="1312" max="1312" width="15.42578125" style="337" customWidth="1"/>
    <col min="1313" max="1314" width="9.42578125" style="337" customWidth="1"/>
    <col min="1315" max="1315" width="50" style="337" customWidth="1"/>
    <col min="1316" max="1316" width="14" style="337" customWidth="1"/>
    <col min="1317" max="1317" width="11" style="337" customWidth="1"/>
    <col min="1318" max="1318" width="10.5703125" style="337" customWidth="1"/>
    <col min="1319" max="1319" width="13.5703125" style="337" customWidth="1"/>
    <col min="1320" max="1320" width="10.5703125" style="337" customWidth="1"/>
    <col min="1321" max="1321" width="13.140625" style="337" customWidth="1"/>
    <col min="1322" max="1322" width="15.5703125" style="337" customWidth="1"/>
    <col min="1323" max="1323" width="14.5703125" style="337" customWidth="1"/>
    <col min="1324" max="1324" width="9" style="337" customWidth="1"/>
    <col min="1325" max="1325" width="17.7109375" style="337" customWidth="1"/>
    <col min="1326" max="1556" width="9.140625" style="337"/>
    <col min="1557" max="1557" width="11.140625" style="337" customWidth="1"/>
    <col min="1558" max="1558" width="50.7109375" style="337" customWidth="1"/>
    <col min="1559" max="1559" width="6.85546875" style="337" customWidth="1"/>
    <col min="1560" max="1560" width="7.85546875" style="337" customWidth="1"/>
    <col min="1561" max="1561" width="15.85546875" style="337" customWidth="1"/>
    <col min="1562" max="1562" width="15.28515625" style="337" customWidth="1"/>
    <col min="1563" max="1563" width="17" style="337" customWidth="1"/>
    <col min="1564" max="1564" width="14" style="337" customWidth="1"/>
    <col min="1565" max="1565" width="12.28515625" style="337" customWidth="1"/>
    <col min="1566" max="1566" width="17.42578125" style="337" customWidth="1"/>
    <col min="1567" max="1567" width="14.140625" style="337" customWidth="1"/>
    <col min="1568" max="1568" width="15.42578125" style="337" customWidth="1"/>
    <col min="1569" max="1570" width="9.42578125" style="337" customWidth="1"/>
    <col min="1571" max="1571" width="50" style="337" customWidth="1"/>
    <col min="1572" max="1572" width="14" style="337" customWidth="1"/>
    <col min="1573" max="1573" width="11" style="337" customWidth="1"/>
    <col min="1574" max="1574" width="10.5703125" style="337" customWidth="1"/>
    <col min="1575" max="1575" width="13.5703125" style="337" customWidth="1"/>
    <col min="1576" max="1576" width="10.5703125" style="337" customWidth="1"/>
    <col min="1577" max="1577" width="13.140625" style="337" customWidth="1"/>
    <col min="1578" max="1578" width="15.5703125" style="337" customWidth="1"/>
    <col min="1579" max="1579" width="14.5703125" style="337" customWidth="1"/>
    <col min="1580" max="1580" width="9" style="337" customWidth="1"/>
    <col min="1581" max="1581" width="17.7109375" style="337" customWidth="1"/>
    <col min="1582" max="1812" width="9.140625" style="337"/>
    <col min="1813" max="1813" width="11.140625" style="337" customWidth="1"/>
    <col min="1814" max="1814" width="50.7109375" style="337" customWidth="1"/>
    <col min="1815" max="1815" width="6.85546875" style="337" customWidth="1"/>
    <col min="1816" max="1816" width="7.85546875" style="337" customWidth="1"/>
    <col min="1817" max="1817" width="15.85546875" style="337" customWidth="1"/>
    <col min="1818" max="1818" width="15.28515625" style="337" customWidth="1"/>
    <col min="1819" max="1819" width="17" style="337" customWidth="1"/>
    <col min="1820" max="1820" width="14" style="337" customWidth="1"/>
    <col min="1821" max="1821" width="12.28515625" style="337" customWidth="1"/>
    <col min="1822" max="1822" width="17.42578125" style="337" customWidth="1"/>
    <col min="1823" max="1823" width="14.140625" style="337" customWidth="1"/>
    <col min="1824" max="1824" width="15.42578125" style="337" customWidth="1"/>
    <col min="1825" max="1826" width="9.42578125" style="337" customWidth="1"/>
    <col min="1827" max="1827" width="50" style="337" customWidth="1"/>
    <col min="1828" max="1828" width="14" style="337" customWidth="1"/>
    <col min="1829" max="1829" width="11" style="337" customWidth="1"/>
    <col min="1830" max="1830" width="10.5703125" style="337" customWidth="1"/>
    <col min="1831" max="1831" width="13.5703125" style="337" customWidth="1"/>
    <col min="1832" max="1832" width="10.5703125" style="337" customWidth="1"/>
    <col min="1833" max="1833" width="13.140625" style="337" customWidth="1"/>
    <col min="1834" max="1834" width="15.5703125" style="337" customWidth="1"/>
    <col min="1835" max="1835" width="14.5703125" style="337" customWidth="1"/>
    <col min="1836" max="1836" width="9" style="337" customWidth="1"/>
    <col min="1837" max="1837" width="17.7109375" style="337" customWidth="1"/>
    <col min="1838" max="2068" width="9.140625" style="337"/>
    <col min="2069" max="2069" width="11.140625" style="337" customWidth="1"/>
    <col min="2070" max="2070" width="50.7109375" style="337" customWidth="1"/>
    <col min="2071" max="2071" width="6.85546875" style="337" customWidth="1"/>
    <col min="2072" max="2072" width="7.85546875" style="337" customWidth="1"/>
    <col min="2073" max="2073" width="15.85546875" style="337" customWidth="1"/>
    <col min="2074" max="2074" width="15.28515625" style="337" customWidth="1"/>
    <col min="2075" max="2075" width="17" style="337" customWidth="1"/>
    <col min="2076" max="2076" width="14" style="337" customWidth="1"/>
    <col min="2077" max="2077" width="12.28515625" style="337" customWidth="1"/>
    <col min="2078" max="2078" width="17.42578125" style="337" customWidth="1"/>
    <col min="2079" max="2079" width="14.140625" style="337" customWidth="1"/>
    <col min="2080" max="2080" width="15.42578125" style="337" customWidth="1"/>
    <col min="2081" max="2082" width="9.42578125" style="337" customWidth="1"/>
    <col min="2083" max="2083" width="50" style="337" customWidth="1"/>
    <col min="2084" max="2084" width="14" style="337" customWidth="1"/>
    <col min="2085" max="2085" width="11" style="337" customWidth="1"/>
    <col min="2086" max="2086" width="10.5703125" style="337" customWidth="1"/>
    <col min="2087" max="2087" width="13.5703125" style="337" customWidth="1"/>
    <col min="2088" max="2088" width="10.5703125" style="337" customWidth="1"/>
    <col min="2089" max="2089" width="13.140625" style="337" customWidth="1"/>
    <col min="2090" max="2090" width="15.5703125" style="337" customWidth="1"/>
    <col min="2091" max="2091" width="14.5703125" style="337" customWidth="1"/>
    <col min="2092" max="2092" width="9" style="337" customWidth="1"/>
    <col min="2093" max="2093" width="17.7109375" style="337" customWidth="1"/>
    <col min="2094" max="2324" width="9.140625" style="337"/>
    <col min="2325" max="2325" width="11.140625" style="337" customWidth="1"/>
    <col min="2326" max="2326" width="50.7109375" style="337" customWidth="1"/>
    <col min="2327" max="2327" width="6.85546875" style="337" customWidth="1"/>
    <col min="2328" max="2328" width="7.85546875" style="337" customWidth="1"/>
    <col min="2329" max="2329" width="15.85546875" style="337" customWidth="1"/>
    <col min="2330" max="2330" width="15.28515625" style="337" customWidth="1"/>
    <col min="2331" max="2331" width="17" style="337" customWidth="1"/>
    <col min="2332" max="2332" width="14" style="337" customWidth="1"/>
    <col min="2333" max="2333" width="12.28515625" style="337" customWidth="1"/>
    <col min="2334" max="2334" width="17.42578125" style="337" customWidth="1"/>
    <col min="2335" max="2335" width="14.140625" style="337" customWidth="1"/>
    <col min="2336" max="2336" width="15.42578125" style="337" customWidth="1"/>
    <col min="2337" max="2338" width="9.42578125" style="337" customWidth="1"/>
    <col min="2339" max="2339" width="50" style="337" customWidth="1"/>
    <col min="2340" max="2340" width="14" style="337" customWidth="1"/>
    <col min="2341" max="2341" width="11" style="337" customWidth="1"/>
    <col min="2342" max="2342" width="10.5703125" style="337" customWidth="1"/>
    <col min="2343" max="2343" width="13.5703125" style="337" customWidth="1"/>
    <col min="2344" max="2344" width="10.5703125" style="337" customWidth="1"/>
    <col min="2345" max="2345" width="13.140625" style="337" customWidth="1"/>
    <col min="2346" max="2346" width="15.5703125" style="337" customWidth="1"/>
    <col min="2347" max="2347" width="14.5703125" style="337" customWidth="1"/>
    <col min="2348" max="2348" width="9" style="337" customWidth="1"/>
    <col min="2349" max="2349" width="17.7109375" style="337" customWidth="1"/>
    <col min="2350" max="2580" width="9.140625" style="337"/>
    <col min="2581" max="2581" width="11.140625" style="337" customWidth="1"/>
    <col min="2582" max="2582" width="50.7109375" style="337" customWidth="1"/>
    <col min="2583" max="2583" width="6.85546875" style="337" customWidth="1"/>
    <col min="2584" max="2584" width="7.85546875" style="337" customWidth="1"/>
    <col min="2585" max="2585" width="15.85546875" style="337" customWidth="1"/>
    <col min="2586" max="2586" width="15.28515625" style="337" customWidth="1"/>
    <col min="2587" max="2587" width="17" style="337" customWidth="1"/>
    <col min="2588" max="2588" width="14" style="337" customWidth="1"/>
    <col min="2589" max="2589" width="12.28515625" style="337" customWidth="1"/>
    <col min="2590" max="2590" width="17.42578125" style="337" customWidth="1"/>
    <col min="2591" max="2591" width="14.140625" style="337" customWidth="1"/>
    <col min="2592" max="2592" width="15.42578125" style="337" customWidth="1"/>
    <col min="2593" max="2594" width="9.42578125" style="337" customWidth="1"/>
    <col min="2595" max="2595" width="50" style="337" customWidth="1"/>
    <col min="2596" max="2596" width="14" style="337" customWidth="1"/>
    <col min="2597" max="2597" width="11" style="337" customWidth="1"/>
    <col min="2598" max="2598" width="10.5703125" style="337" customWidth="1"/>
    <col min="2599" max="2599" width="13.5703125" style="337" customWidth="1"/>
    <col min="2600" max="2600" width="10.5703125" style="337" customWidth="1"/>
    <col min="2601" max="2601" width="13.140625" style="337" customWidth="1"/>
    <col min="2602" max="2602" width="15.5703125" style="337" customWidth="1"/>
    <col min="2603" max="2603" width="14.5703125" style="337" customWidth="1"/>
    <col min="2604" max="2604" width="9" style="337" customWidth="1"/>
    <col min="2605" max="2605" width="17.7109375" style="337" customWidth="1"/>
    <col min="2606" max="2836" width="9.140625" style="337"/>
    <col min="2837" max="2837" width="11.140625" style="337" customWidth="1"/>
    <col min="2838" max="2838" width="50.7109375" style="337" customWidth="1"/>
    <col min="2839" max="2839" width="6.85546875" style="337" customWidth="1"/>
    <col min="2840" max="2840" width="7.85546875" style="337" customWidth="1"/>
    <col min="2841" max="2841" width="15.85546875" style="337" customWidth="1"/>
    <col min="2842" max="2842" width="15.28515625" style="337" customWidth="1"/>
    <col min="2843" max="2843" width="17" style="337" customWidth="1"/>
    <col min="2844" max="2844" width="14" style="337" customWidth="1"/>
    <col min="2845" max="2845" width="12.28515625" style="337" customWidth="1"/>
    <col min="2846" max="2846" width="17.42578125" style="337" customWidth="1"/>
    <col min="2847" max="2847" width="14.140625" style="337" customWidth="1"/>
    <col min="2848" max="2848" width="15.42578125" style="337" customWidth="1"/>
    <col min="2849" max="2850" width="9.42578125" style="337" customWidth="1"/>
    <col min="2851" max="2851" width="50" style="337" customWidth="1"/>
    <col min="2852" max="2852" width="14" style="337" customWidth="1"/>
    <col min="2853" max="2853" width="11" style="337" customWidth="1"/>
    <col min="2854" max="2854" width="10.5703125" style="337" customWidth="1"/>
    <col min="2855" max="2855" width="13.5703125" style="337" customWidth="1"/>
    <col min="2856" max="2856" width="10.5703125" style="337" customWidth="1"/>
    <col min="2857" max="2857" width="13.140625" style="337" customWidth="1"/>
    <col min="2858" max="2858" width="15.5703125" style="337" customWidth="1"/>
    <col min="2859" max="2859" width="14.5703125" style="337" customWidth="1"/>
    <col min="2860" max="2860" width="9" style="337" customWidth="1"/>
    <col min="2861" max="2861" width="17.7109375" style="337" customWidth="1"/>
    <col min="2862" max="3092" width="9.140625" style="337"/>
    <col min="3093" max="3093" width="11.140625" style="337" customWidth="1"/>
    <col min="3094" max="3094" width="50.7109375" style="337" customWidth="1"/>
    <col min="3095" max="3095" width="6.85546875" style="337" customWidth="1"/>
    <col min="3096" max="3096" width="7.85546875" style="337" customWidth="1"/>
    <col min="3097" max="3097" width="15.85546875" style="337" customWidth="1"/>
    <col min="3098" max="3098" width="15.28515625" style="337" customWidth="1"/>
    <col min="3099" max="3099" width="17" style="337" customWidth="1"/>
    <col min="3100" max="3100" width="14" style="337" customWidth="1"/>
    <col min="3101" max="3101" width="12.28515625" style="337" customWidth="1"/>
    <col min="3102" max="3102" width="17.42578125" style="337" customWidth="1"/>
    <col min="3103" max="3103" width="14.140625" style="337" customWidth="1"/>
    <col min="3104" max="3104" width="15.42578125" style="337" customWidth="1"/>
    <col min="3105" max="3106" width="9.42578125" style="337" customWidth="1"/>
    <col min="3107" max="3107" width="50" style="337" customWidth="1"/>
    <col min="3108" max="3108" width="14" style="337" customWidth="1"/>
    <col min="3109" max="3109" width="11" style="337" customWidth="1"/>
    <col min="3110" max="3110" width="10.5703125" style="337" customWidth="1"/>
    <col min="3111" max="3111" width="13.5703125" style="337" customWidth="1"/>
    <col min="3112" max="3112" width="10.5703125" style="337" customWidth="1"/>
    <col min="3113" max="3113" width="13.140625" style="337" customWidth="1"/>
    <col min="3114" max="3114" width="15.5703125" style="337" customWidth="1"/>
    <col min="3115" max="3115" width="14.5703125" style="337" customWidth="1"/>
    <col min="3116" max="3116" width="9" style="337" customWidth="1"/>
    <col min="3117" max="3117" width="17.7109375" style="337" customWidth="1"/>
    <col min="3118" max="3348" width="9.140625" style="337"/>
    <col min="3349" max="3349" width="11.140625" style="337" customWidth="1"/>
    <col min="3350" max="3350" width="50.7109375" style="337" customWidth="1"/>
    <col min="3351" max="3351" width="6.85546875" style="337" customWidth="1"/>
    <col min="3352" max="3352" width="7.85546875" style="337" customWidth="1"/>
    <col min="3353" max="3353" width="15.85546875" style="337" customWidth="1"/>
    <col min="3354" max="3354" width="15.28515625" style="337" customWidth="1"/>
    <col min="3355" max="3355" width="17" style="337" customWidth="1"/>
    <col min="3356" max="3356" width="14" style="337" customWidth="1"/>
    <col min="3357" max="3357" width="12.28515625" style="337" customWidth="1"/>
    <col min="3358" max="3358" width="17.42578125" style="337" customWidth="1"/>
    <col min="3359" max="3359" width="14.140625" style="337" customWidth="1"/>
    <col min="3360" max="3360" width="15.42578125" style="337" customWidth="1"/>
    <col min="3361" max="3362" width="9.42578125" style="337" customWidth="1"/>
    <col min="3363" max="3363" width="50" style="337" customWidth="1"/>
    <col min="3364" max="3364" width="14" style="337" customWidth="1"/>
    <col min="3365" max="3365" width="11" style="337" customWidth="1"/>
    <col min="3366" max="3366" width="10.5703125" style="337" customWidth="1"/>
    <col min="3367" max="3367" width="13.5703125" style="337" customWidth="1"/>
    <col min="3368" max="3368" width="10.5703125" style="337" customWidth="1"/>
    <col min="3369" max="3369" width="13.140625" style="337" customWidth="1"/>
    <col min="3370" max="3370" width="15.5703125" style="337" customWidth="1"/>
    <col min="3371" max="3371" width="14.5703125" style="337" customWidth="1"/>
    <col min="3372" max="3372" width="9" style="337" customWidth="1"/>
    <col min="3373" max="3373" width="17.7109375" style="337" customWidth="1"/>
    <col min="3374" max="3604" width="9.140625" style="337"/>
    <col min="3605" max="3605" width="11.140625" style="337" customWidth="1"/>
    <col min="3606" max="3606" width="50.7109375" style="337" customWidth="1"/>
    <col min="3607" max="3607" width="6.85546875" style="337" customWidth="1"/>
    <col min="3608" max="3608" width="7.85546875" style="337" customWidth="1"/>
    <col min="3609" max="3609" width="15.85546875" style="337" customWidth="1"/>
    <col min="3610" max="3610" width="15.28515625" style="337" customWidth="1"/>
    <col min="3611" max="3611" width="17" style="337" customWidth="1"/>
    <col min="3612" max="3612" width="14" style="337" customWidth="1"/>
    <col min="3613" max="3613" width="12.28515625" style="337" customWidth="1"/>
    <col min="3614" max="3614" width="17.42578125" style="337" customWidth="1"/>
    <col min="3615" max="3615" width="14.140625" style="337" customWidth="1"/>
    <col min="3616" max="3616" width="15.42578125" style="337" customWidth="1"/>
    <col min="3617" max="3618" width="9.42578125" style="337" customWidth="1"/>
    <col min="3619" max="3619" width="50" style="337" customWidth="1"/>
    <col min="3620" max="3620" width="14" style="337" customWidth="1"/>
    <col min="3621" max="3621" width="11" style="337" customWidth="1"/>
    <col min="3622" max="3622" width="10.5703125" style="337" customWidth="1"/>
    <col min="3623" max="3623" width="13.5703125" style="337" customWidth="1"/>
    <col min="3624" max="3624" width="10.5703125" style="337" customWidth="1"/>
    <col min="3625" max="3625" width="13.140625" style="337" customWidth="1"/>
    <col min="3626" max="3626" width="15.5703125" style="337" customWidth="1"/>
    <col min="3627" max="3627" width="14.5703125" style="337" customWidth="1"/>
    <col min="3628" max="3628" width="9" style="337" customWidth="1"/>
    <col min="3629" max="3629" width="17.7109375" style="337" customWidth="1"/>
    <col min="3630" max="3860" width="9.140625" style="337"/>
    <col min="3861" max="3861" width="11.140625" style="337" customWidth="1"/>
    <col min="3862" max="3862" width="50.7109375" style="337" customWidth="1"/>
    <col min="3863" max="3863" width="6.85546875" style="337" customWidth="1"/>
    <col min="3864" max="3864" width="7.85546875" style="337" customWidth="1"/>
    <col min="3865" max="3865" width="15.85546875" style="337" customWidth="1"/>
    <col min="3866" max="3866" width="15.28515625" style="337" customWidth="1"/>
    <col min="3867" max="3867" width="17" style="337" customWidth="1"/>
    <col min="3868" max="3868" width="14" style="337" customWidth="1"/>
    <col min="3869" max="3869" width="12.28515625" style="337" customWidth="1"/>
    <col min="3870" max="3870" width="17.42578125" style="337" customWidth="1"/>
    <col min="3871" max="3871" width="14.140625" style="337" customWidth="1"/>
    <col min="3872" max="3872" width="15.42578125" style="337" customWidth="1"/>
    <col min="3873" max="3874" width="9.42578125" style="337" customWidth="1"/>
    <col min="3875" max="3875" width="50" style="337" customWidth="1"/>
    <col min="3876" max="3876" width="14" style="337" customWidth="1"/>
    <col min="3877" max="3877" width="11" style="337" customWidth="1"/>
    <col min="3878" max="3878" width="10.5703125" style="337" customWidth="1"/>
    <col min="3879" max="3879" width="13.5703125" style="337" customWidth="1"/>
    <col min="3880" max="3880" width="10.5703125" style="337" customWidth="1"/>
    <col min="3881" max="3881" width="13.140625" style="337" customWidth="1"/>
    <col min="3882" max="3882" width="15.5703125" style="337" customWidth="1"/>
    <col min="3883" max="3883" width="14.5703125" style="337" customWidth="1"/>
    <col min="3884" max="3884" width="9" style="337" customWidth="1"/>
    <col min="3885" max="3885" width="17.7109375" style="337" customWidth="1"/>
    <col min="3886" max="4116" width="9.140625" style="337"/>
    <col min="4117" max="4117" width="11.140625" style="337" customWidth="1"/>
    <col min="4118" max="4118" width="50.7109375" style="337" customWidth="1"/>
    <col min="4119" max="4119" width="6.85546875" style="337" customWidth="1"/>
    <col min="4120" max="4120" width="7.85546875" style="337" customWidth="1"/>
    <col min="4121" max="4121" width="15.85546875" style="337" customWidth="1"/>
    <col min="4122" max="4122" width="15.28515625" style="337" customWidth="1"/>
    <col min="4123" max="4123" width="17" style="337" customWidth="1"/>
    <col min="4124" max="4124" width="14" style="337" customWidth="1"/>
    <col min="4125" max="4125" width="12.28515625" style="337" customWidth="1"/>
    <col min="4126" max="4126" width="17.42578125" style="337" customWidth="1"/>
    <col min="4127" max="4127" width="14.140625" style="337" customWidth="1"/>
    <col min="4128" max="4128" width="15.42578125" style="337" customWidth="1"/>
    <col min="4129" max="4130" width="9.42578125" style="337" customWidth="1"/>
    <col min="4131" max="4131" width="50" style="337" customWidth="1"/>
    <col min="4132" max="4132" width="14" style="337" customWidth="1"/>
    <col min="4133" max="4133" width="11" style="337" customWidth="1"/>
    <col min="4134" max="4134" width="10.5703125" style="337" customWidth="1"/>
    <col min="4135" max="4135" width="13.5703125" style="337" customWidth="1"/>
    <col min="4136" max="4136" width="10.5703125" style="337" customWidth="1"/>
    <col min="4137" max="4137" width="13.140625" style="337" customWidth="1"/>
    <col min="4138" max="4138" width="15.5703125" style="337" customWidth="1"/>
    <col min="4139" max="4139" width="14.5703125" style="337" customWidth="1"/>
    <col min="4140" max="4140" width="9" style="337" customWidth="1"/>
    <col min="4141" max="4141" width="17.7109375" style="337" customWidth="1"/>
    <col min="4142" max="4372" width="9.140625" style="337"/>
    <col min="4373" max="4373" width="11.140625" style="337" customWidth="1"/>
    <col min="4374" max="4374" width="50.7109375" style="337" customWidth="1"/>
    <col min="4375" max="4375" width="6.85546875" style="337" customWidth="1"/>
    <col min="4376" max="4376" width="7.85546875" style="337" customWidth="1"/>
    <col min="4377" max="4377" width="15.85546875" style="337" customWidth="1"/>
    <col min="4378" max="4378" width="15.28515625" style="337" customWidth="1"/>
    <col min="4379" max="4379" width="17" style="337" customWidth="1"/>
    <col min="4380" max="4380" width="14" style="337" customWidth="1"/>
    <col min="4381" max="4381" width="12.28515625" style="337" customWidth="1"/>
    <col min="4382" max="4382" width="17.42578125" style="337" customWidth="1"/>
    <col min="4383" max="4383" width="14.140625" style="337" customWidth="1"/>
    <col min="4384" max="4384" width="15.42578125" style="337" customWidth="1"/>
    <col min="4385" max="4386" width="9.42578125" style="337" customWidth="1"/>
    <col min="4387" max="4387" width="50" style="337" customWidth="1"/>
    <col min="4388" max="4388" width="14" style="337" customWidth="1"/>
    <col min="4389" max="4389" width="11" style="337" customWidth="1"/>
    <col min="4390" max="4390" width="10.5703125" style="337" customWidth="1"/>
    <col min="4391" max="4391" width="13.5703125" style="337" customWidth="1"/>
    <col min="4392" max="4392" width="10.5703125" style="337" customWidth="1"/>
    <col min="4393" max="4393" width="13.140625" style="337" customWidth="1"/>
    <col min="4394" max="4394" width="15.5703125" style="337" customWidth="1"/>
    <col min="4395" max="4395" width="14.5703125" style="337" customWidth="1"/>
    <col min="4396" max="4396" width="9" style="337" customWidth="1"/>
    <col min="4397" max="4397" width="17.7109375" style="337" customWidth="1"/>
    <col min="4398" max="4628" width="9.140625" style="337"/>
    <col min="4629" max="4629" width="11.140625" style="337" customWidth="1"/>
    <col min="4630" max="4630" width="50.7109375" style="337" customWidth="1"/>
    <col min="4631" max="4631" width="6.85546875" style="337" customWidth="1"/>
    <col min="4632" max="4632" width="7.85546875" style="337" customWidth="1"/>
    <col min="4633" max="4633" width="15.85546875" style="337" customWidth="1"/>
    <col min="4634" max="4634" width="15.28515625" style="337" customWidth="1"/>
    <col min="4635" max="4635" width="17" style="337" customWidth="1"/>
    <col min="4636" max="4636" width="14" style="337" customWidth="1"/>
    <col min="4637" max="4637" width="12.28515625" style="337" customWidth="1"/>
    <col min="4638" max="4638" width="17.42578125" style="337" customWidth="1"/>
    <col min="4639" max="4639" width="14.140625" style="337" customWidth="1"/>
    <col min="4640" max="4640" width="15.42578125" style="337" customWidth="1"/>
    <col min="4641" max="4642" width="9.42578125" style="337" customWidth="1"/>
    <col min="4643" max="4643" width="50" style="337" customWidth="1"/>
    <col min="4644" max="4644" width="14" style="337" customWidth="1"/>
    <col min="4645" max="4645" width="11" style="337" customWidth="1"/>
    <col min="4646" max="4646" width="10.5703125" style="337" customWidth="1"/>
    <col min="4647" max="4647" width="13.5703125" style="337" customWidth="1"/>
    <col min="4648" max="4648" width="10.5703125" style="337" customWidth="1"/>
    <col min="4649" max="4649" width="13.140625" style="337" customWidth="1"/>
    <col min="4650" max="4650" width="15.5703125" style="337" customWidth="1"/>
    <col min="4651" max="4651" width="14.5703125" style="337" customWidth="1"/>
    <col min="4652" max="4652" width="9" style="337" customWidth="1"/>
    <col min="4653" max="4653" width="17.7109375" style="337" customWidth="1"/>
    <col min="4654" max="4884" width="9.140625" style="337"/>
    <col min="4885" max="4885" width="11.140625" style="337" customWidth="1"/>
    <col min="4886" max="4886" width="50.7109375" style="337" customWidth="1"/>
    <col min="4887" max="4887" width="6.85546875" style="337" customWidth="1"/>
    <col min="4888" max="4888" width="7.85546875" style="337" customWidth="1"/>
    <col min="4889" max="4889" width="15.85546875" style="337" customWidth="1"/>
    <col min="4890" max="4890" width="15.28515625" style="337" customWidth="1"/>
    <col min="4891" max="4891" width="17" style="337" customWidth="1"/>
    <col min="4892" max="4892" width="14" style="337" customWidth="1"/>
    <col min="4893" max="4893" width="12.28515625" style="337" customWidth="1"/>
    <col min="4894" max="4894" width="17.42578125" style="337" customWidth="1"/>
    <col min="4895" max="4895" width="14.140625" style="337" customWidth="1"/>
    <col min="4896" max="4896" width="15.42578125" style="337" customWidth="1"/>
    <col min="4897" max="4898" width="9.42578125" style="337" customWidth="1"/>
    <col min="4899" max="4899" width="50" style="337" customWidth="1"/>
    <col min="4900" max="4900" width="14" style="337" customWidth="1"/>
    <col min="4901" max="4901" width="11" style="337" customWidth="1"/>
    <col min="4902" max="4902" width="10.5703125" style="337" customWidth="1"/>
    <col min="4903" max="4903" width="13.5703125" style="337" customWidth="1"/>
    <col min="4904" max="4904" width="10.5703125" style="337" customWidth="1"/>
    <col min="4905" max="4905" width="13.140625" style="337" customWidth="1"/>
    <col min="4906" max="4906" width="15.5703125" style="337" customWidth="1"/>
    <col min="4907" max="4907" width="14.5703125" style="337" customWidth="1"/>
    <col min="4908" max="4908" width="9" style="337" customWidth="1"/>
    <col min="4909" max="4909" width="17.7109375" style="337" customWidth="1"/>
    <col min="4910" max="5140" width="9.140625" style="337"/>
    <col min="5141" max="5141" width="11.140625" style="337" customWidth="1"/>
    <col min="5142" max="5142" width="50.7109375" style="337" customWidth="1"/>
    <col min="5143" max="5143" width="6.85546875" style="337" customWidth="1"/>
    <col min="5144" max="5144" width="7.85546875" style="337" customWidth="1"/>
    <col min="5145" max="5145" width="15.85546875" style="337" customWidth="1"/>
    <col min="5146" max="5146" width="15.28515625" style="337" customWidth="1"/>
    <col min="5147" max="5147" width="17" style="337" customWidth="1"/>
    <col min="5148" max="5148" width="14" style="337" customWidth="1"/>
    <col min="5149" max="5149" width="12.28515625" style="337" customWidth="1"/>
    <col min="5150" max="5150" width="17.42578125" style="337" customWidth="1"/>
    <col min="5151" max="5151" width="14.140625" style="337" customWidth="1"/>
    <col min="5152" max="5152" width="15.42578125" style="337" customWidth="1"/>
    <col min="5153" max="5154" width="9.42578125" style="337" customWidth="1"/>
    <col min="5155" max="5155" width="50" style="337" customWidth="1"/>
    <col min="5156" max="5156" width="14" style="337" customWidth="1"/>
    <col min="5157" max="5157" width="11" style="337" customWidth="1"/>
    <col min="5158" max="5158" width="10.5703125" style="337" customWidth="1"/>
    <col min="5159" max="5159" width="13.5703125" style="337" customWidth="1"/>
    <col min="5160" max="5160" width="10.5703125" style="337" customWidth="1"/>
    <col min="5161" max="5161" width="13.140625" style="337" customWidth="1"/>
    <col min="5162" max="5162" width="15.5703125" style="337" customWidth="1"/>
    <col min="5163" max="5163" width="14.5703125" style="337" customWidth="1"/>
    <col min="5164" max="5164" width="9" style="337" customWidth="1"/>
    <col min="5165" max="5165" width="17.7109375" style="337" customWidth="1"/>
    <col min="5166" max="5396" width="9.140625" style="337"/>
    <col min="5397" max="5397" width="11.140625" style="337" customWidth="1"/>
    <col min="5398" max="5398" width="50.7109375" style="337" customWidth="1"/>
    <col min="5399" max="5399" width="6.85546875" style="337" customWidth="1"/>
    <col min="5400" max="5400" width="7.85546875" style="337" customWidth="1"/>
    <col min="5401" max="5401" width="15.85546875" style="337" customWidth="1"/>
    <col min="5402" max="5402" width="15.28515625" style="337" customWidth="1"/>
    <col min="5403" max="5403" width="17" style="337" customWidth="1"/>
    <col min="5404" max="5404" width="14" style="337" customWidth="1"/>
    <col min="5405" max="5405" width="12.28515625" style="337" customWidth="1"/>
    <col min="5406" max="5406" width="17.42578125" style="337" customWidth="1"/>
    <col min="5407" max="5407" width="14.140625" style="337" customWidth="1"/>
    <col min="5408" max="5408" width="15.42578125" style="337" customWidth="1"/>
    <col min="5409" max="5410" width="9.42578125" style="337" customWidth="1"/>
    <col min="5411" max="5411" width="50" style="337" customWidth="1"/>
    <col min="5412" max="5412" width="14" style="337" customWidth="1"/>
    <col min="5413" max="5413" width="11" style="337" customWidth="1"/>
    <col min="5414" max="5414" width="10.5703125" style="337" customWidth="1"/>
    <col min="5415" max="5415" width="13.5703125" style="337" customWidth="1"/>
    <col min="5416" max="5416" width="10.5703125" style="337" customWidth="1"/>
    <col min="5417" max="5417" width="13.140625" style="337" customWidth="1"/>
    <col min="5418" max="5418" width="15.5703125" style="337" customWidth="1"/>
    <col min="5419" max="5419" width="14.5703125" style="337" customWidth="1"/>
    <col min="5420" max="5420" width="9" style="337" customWidth="1"/>
    <col min="5421" max="5421" width="17.7109375" style="337" customWidth="1"/>
    <col min="5422" max="5652" width="9.140625" style="337"/>
    <col min="5653" max="5653" width="11.140625" style="337" customWidth="1"/>
    <col min="5654" max="5654" width="50.7109375" style="337" customWidth="1"/>
    <col min="5655" max="5655" width="6.85546875" style="337" customWidth="1"/>
    <col min="5656" max="5656" width="7.85546875" style="337" customWidth="1"/>
    <col min="5657" max="5657" width="15.85546875" style="337" customWidth="1"/>
    <col min="5658" max="5658" width="15.28515625" style="337" customWidth="1"/>
    <col min="5659" max="5659" width="17" style="337" customWidth="1"/>
    <col min="5660" max="5660" width="14" style="337" customWidth="1"/>
    <col min="5661" max="5661" width="12.28515625" style="337" customWidth="1"/>
    <col min="5662" max="5662" width="17.42578125" style="337" customWidth="1"/>
    <col min="5663" max="5663" width="14.140625" style="337" customWidth="1"/>
    <col min="5664" max="5664" width="15.42578125" style="337" customWidth="1"/>
    <col min="5665" max="5666" width="9.42578125" style="337" customWidth="1"/>
    <col min="5667" max="5667" width="50" style="337" customWidth="1"/>
    <col min="5668" max="5668" width="14" style="337" customWidth="1"/>
    <col min="5669" max="5669" width="11" style="337" customWidth="1"/>
    <col min="5670" max="5670" width="10.5703125" style="337" customWidth="1"/>
    <col min="5671" max="5671" width="13.5703125" style="337" customWidth="1"/>
    <col min="5672" max="5672" width="10.5703125" style="337" customWidth="1"/>
    <col min="5673" max="5673" width="13.140625" style="337" customWidth="1"/>
    <col min="5674" max="5674" width="15.5703125" style="337" customWidth="1"/>
    <col min="5675" max="5675" width="14.5703125" style="337" customWidth="1"/>
    <col min="5676" max="5676" width="9" style="337" customWidth="1"/>
    <col min="5677" max="5677" width="17.7109375" style="337" customWidth="1"/>
    <col min="5678" max="5908" width="9.140625" style="337"/>
    <col min="5909" max="5909" width="11.140625" style="337" customWidth="1"/>
    <col min="5910" max="5910" width="50.7109375" style="337" customWidth="1"/>
    <col min="5911" max="5911" width="6.85546875" style="337" customWidth="1"/>
    <col min="5912" max="5912" width="7.85546875" style="337" customWidth="1"/>
    <col min="5913" max="5913" width="15.85546875" style="337" customWidth="1"/>
    <col min="5914" max="5914" width="15.28515625" style="337" customWidth="1"/>
    <col min="5915" max="5915" width="17" style="337" customWidth="1"/>
    <col min="5916" max="5916" width="14" style="337" customWidth="1"/>
    <col min="5917" max="5917" width="12.28515625" style="337" customWidth="1"/>
    <col min="5918" max="5918" width="17.42578125" style="337" customWidth="1"/>
    <col min="5919" max="5919" width="14.140625" style="337" customWidth="1"/>
    <col min="5920" max="5920" width="15.42578125" style="337" customWidth="1"/>
    <col min="5921" max="5922" width="9.42578125" style="337" customWidth="1"/>
    <col min="5923" max="5923" width="50" style="337" customWidth="1"/>
    <col min="5924" max="5924" width="14" style="337" customWidth="1"/>
    <col min="5925" max="5925" width="11" style="337" customWidth="1"/>
    <col min="5926" max="5926" width="10.5703125" style="337" customWidth="1"/>
    <col min="5927" max="5927" width="13.5703125" style="337" customWidth="1"/>
    <col min="5928" max="5928" width="10.5703125" style="337" customWidth="1"/>
    <col min="5929" max="5929" width="13.140625" style="337" customWidth="1"/>
    <col min="5930" max="5930" width="15.5703125" style="337" customWidth="1"/>
    <col min="5931" max="5931" width="14.5703125" style="337" customWidth="1"/>
    <col min="5932" max="5932" width="9" style="337" customWidth="1"/>
    <col min="5933" max="5933" width="17.7109375" style="337" customWidth="1"/>
    <col min="5934" max="6164" width="9.140625" style="337"/>
    <col min="6165" max="6165" width="11.140625" style="337" customWidth="1"/>
    <col min="6166" max="6166" width="50.7109375" style="337" customWidth="1"/>
    <col min="6167" max="6167" width="6.85546875" style="337" customWidth="1"/>
    <col min="6168" max="6168" width="7.85546875" style="337" customWidth="1"/>
    <col min="6169" max="6169" width="15.85546875" style="337" customWidth="1"/>
    <col min="6170" max="6170" width="15.28515625" style="337" customWidth="1"/>
    <col min="6171" max="6171" width="17" style="337" customWidth="1"/>
    <col min="6172" max="6172" width="14" style="337" customWidth="1"/>
    <col min="6173" max="6173" width="12.28515625" style="337" customWidth="1"/>
    <col min="6174" max="6174" width="17.42578125" style="337" customWidth="1"/>
    <col min="6175" max="6175" width="14.140625" style="337" customWidth="1"/>
    <col min="6176" max="6176" width="15.42578125" style="337" customWidth="1"/>
    <col min="6177" max="6178" width="9.42578125" style="337" customWidth="1"/>
    <col min="6179" max="6179" width="50" style="337" customWidth="1"/>
    <col min="6180" max="6180" width="14" style="337" customWidth="1"/>
    <col min="6181" max="6181" width="11" style="337" customWidth="1"/>
    <col min="6182" max="6182" width="10.5703125" style="337" customWidth="1"/>
    <col min="6183" max="6183" width="13.5703125" style="337" customWidth="1"/>
    <col min="6184" max="6184" width="10.5703125" style="337" customWidth="1"/>
    <col min="6185" max="6185" width="13.140625" style="337" customWidth="1"/>
    <col min="6186" max="6186" width="15.5703125" style="337" customWidth="1"/>
    <col min="6187" max="6187" width="14.5703125" style="337" customWidth="1"/>
    <col min="6188" max="6188" width="9" style="337" customWidth="1"/>
    <col min="6189" max="6189" width="17.7109375" style="337" customWidth="1"/>
    <col min="6190" max="6420" width="9.140625" style="337"/>
    <col min="6421" max="6421" width="11.140625" style="337" customWidth="1"/>
    <col min="6422" max="6422" width="50.7109375" style="337" customWidth="1"/>
    <col min="6423" max="6423" width="6.85546875" style="337" customWidth="1"/>
    <col min="6424" max="6424" width="7.85546875" style="337" customWidth="1"/>
    <col min="6425" max="6425" width="15.85546875" style="337" customWidth="1"/>
    <col min="6426" max="6426" width="15.28515625" style="337" customWidth="1"/>
    <col min="6427" max="6427" width="17" style="337" customWidth="1"/>
    <col min="6428" max="6428" width="14" style="337" customWidth="1"/>
    <col min="6429" max="6429" width="12.28515625" style="337" customWidth="1"/>
    <col min="6430" max="6430" width="17.42578125" style="337" customWidth="1"/>
    <col min="6431" max="6431" width="14.140625" style="337" customWidth="1"/>
    <col min="6432" max="6432" width="15.42578125" style="337" customWidth="1"/>
    <col min="6433" max="6434" width="9.42578125" style="337" customWidth="1"/>
    <col min="6435" max="6435" width="50" style="337" customWidth="1"/>
    <col min="6436" max="6436" width="14" style="337" customWidth="1"/>
    <col min="6437" max="6437" width="11" style="337" customWidth="1"/>
    <col min="6438" max="6438" width="10.5703125" style="337" customWidth="1"/>
    <col min="6439" max="6439" width="13.5703125" style="337" customWidth="1"/>
    <col min="6440" max="6440" width="10.5703125" style="337" customWidth="1"/>
    <col min="6441" max="6441" width="13.140625" style="337" customWidth="1"/>
    <col min="6442" max="6442" width="15.5703125" style="337" customWidth="1"/>
    <col min="6443" max="6443" width="14.5703125" style="337" customWidth="1"/>
    <col min="6444" max="6444" width="9" style="337" customWidth="1"/>
    <col min="6445" max="6445" width="17.7109375" style="337" customWidth="1"/>
    <col min="6446" max="6676" width="9.140625" style="337"/>
    <col min="6677" max="6677" width="11.140625" style="337" customWidth="1"/>
    <col min="6678" max="6678" width="50.7109375" style="337" customWidth="1"/>
    <col min="6679" max="6679" width="6.85546875" style="337" customWidth="1"/>
    <col min="6680" max="6680" width="7.85546875" style="337" customWidth="1"/>
    <col min="6681" max="6681" width="15.85546875" style="337" customWidth="1"/>
    <col min="6682" max="6682" width="15.28515625" style="337" customWidth="1"/>
    <col min="6683" max="6683" width="17" style="337" customWidth="1"/>
    <col min="6684" max="6684" width="14" style="337" customWidth="1"/>
    <col min="6685" max="6685" width="12.28515625" style="337" customWidth="1"/>
    <col min="6686" max="6686" width="17.42578125" style="337" customWidth="1"/>
    <col min="6687" max="6687" width="14.140625" style="337" customWidth="1"/>
    <col min="6688" max="6688" width="15.42578125" style="337" customWidth="1"/>
    <col min="6689" max="6690" width="9.42578125" style="337" customWidth="1"/>
    <col min="6691" max="6691" width="50" style="337" customWidth="1"/>
    <col min="6692" max="6692" width="14" style="337" customWidth="1"/>
    <col min="6693" max="6693" width="11" style="337" customWidth="1"/>
    <col min="6694" max="6694" width="10.5703125" style="337" customWidth="1"/>
    <col min="6695" max="6695" width="13.5703125" style="337" customWidth="1"/>
    <col min="6696" max="6696" width="10.5703125" style="337" customWidth="1"/>
    <col min="6697" max="6697" width="13.140625" style="337" customWidth="1"/>
    <col min="6698" max="6698" width="15.5703125" style="337" customWidth="1"/>
    <col min="6699" max="6699" width="14.5703125" style="337" customWidth="1"/>
    <col min="6700" max="6700" width="9" style="337" customWidth="1"/>
    <col min="6701" max="6701" width="17.7109375" style="337" customWidth="1"/>
    <col min="6702" max="6932" width="9.140625" style="337"/>
    <col min="6933" max="6933" width="11.140625" style="337" customWidth="1"/>
    <col min="6934" max="6934" width="50.7109375" style="337" customWidth="1"/>
    <col min="6935" max="6935" width="6.85546875" style="337" customWidth="1"/>
    <col min="6936" max="6936" width="7.85546875" style="337" customWidth="1"/>
    <col min="6937" max="6937" width="15.85546875" style="337" customWidth="1"/>
    <col min="6938" max="6938" width="15.28515625" style="337" customWidth="1"/>
    <col min="6939" max="6939" width="17" style="337" customWidth="1"/>
    <col min="6940" max="6940" width="14" style="337" customWidth="1"/>
    <col min="6941" max="6941" width="12.28515625" style="337" customWidth="1"/>
    <col min="6942" max="6942" width="17.42578125" style="337" customWidth="1"/>
    <col min="6943" max="6943" width="14.140625" style="337" customWidth="1"/>
    <col min="6944" max="6944" width="15.42578125" style="337" customWidth="1"/>
    <col min="6945" max="6946" width="9.42578125" style="337" customWidth="1"/>
    <col min="6947" max="6947" width="50" style="337" customWidth="1"/>
    <col min="6948" max="6948" width="14" style="337" customWidth="1"/>
    <col min="6949" max="6949" width="11" style="337" customWidth="1"/>
    <col min="6950" max="6950" width="10.5703125" style="337" customWidth="1"/>
    <col min="6951" max="6951" width="13.5703125" style="337" customWidth="1"/>
    <col min="6952" max="6952" width="10.5703125" style="337" customWidth="1"/>
    <col min="6953" max="6953" width="13.140625" style="337" customWidth="1"/>
    <col min="6954" max="6954" width="15.5703125" style="337" customWidth="1"/>
    <col min="6955" max="6955" width="14.5703125" style="337" customWidth="1"/>
    <col min="6956" max="6956" width="9" style="337" customWidth="1"/>
    <col min="6957" max="6957" width="17.7109375" style="337" customWidth="1"/>
    <col min="6958" max="7188" width="9.140625" style="337"/>
    <col min="7189" max="7189" width="11.140625" style="337" customWidth="1"/>
    <col min="7190" max="7190" width="50.7109375" style="337" customWidth="1"/>
    <col min="7191" max="7191" width="6.85546875" style="337" customWidth="1"/>
    <col min="7192" max="7192" width="7.85546875" style="337" customWidth="1"/>
    <col min="7193" max="7193" width="15.85546875" style="337" customWidth="1"/>
    <col min="7194" max="7194" width="15.28515625" style="337" customWidth="1"/>
    <col min="7195" max="7195" width="17" style="337" customWidth="1"/>
    <col min="7196" max="7196" width="14" style="337" customWidth="1"/>
    <col min="7197" max="7197" width="12.28515625" style="337" customWidth="1"/>
    <col min="7198" max="7198" width="17.42578125" style="337" customWidth="1"/>
    <col min="7199" max="7199" width="14.140625" style="337" customWidth="1"/>
    <col min="7200" max="7200" width="15.42578125" style="337" customWidth="1"/>
    <col min="7201" max="7202" width="9.42578125" style="337" customWidth="1"/>
    <col min="7203" max="7203" width="50" style="337" customWidth="1"/>
    <col min="7204" max="7204" width="14" style="337" customWidth="1"/>
    <col min="7205" max="7205" width="11" style="337" customWidth="1"/>
    <col min="7206" max="7206" width="10.5703125" style="337" customWidth="1"/>
    <col min="7207" max="7207" width="13.5703125" style="337" customWidth="1"/>
    <col min="7208" max="7208" width="10.5703125" style="337" customWidth="1"/>
    <col min="7209" max="7209" width="13.140625" style="337" customWidth="1"/>
    <col min="7210" max="7210" width="15.5703125" style="337" customWidth="1"/>
    <col min="7211" max="7211" width="14.5703125" style="337" customWidth="1"/>
    <col min="7212" max="7212" width="9" style="337" customWidth="1"/>
    <col min="7213" max="7213" width="17.7109375" style="337" customWidth="1"/>
    <col min="7214" max="7444" width="9.140625" style="337"/>
    <col min="7445" max="7445" width="11.140625" style="337" customWidth="1"/>
    <col min="7446" max="7446" width="50.7109375" style="337" customWidth="1"/>
    <col min="7447" max="7447" width="6.85546875" style="337" customWidth="1"/>
    <col min="7448" max="7448" width="7.85546875" style="337" customWidth="1"/>
    <col min="7449" max="7449" width="15.85546875" style="337" customWidth="1"/>
    <col min="7450" max="7450" width="15.28515625" style="337" customWidth="1"/>
    <col min="7451" max="7451" width="17" style="337" customWidth="1"/>
    <col min="7452" max="7452" width="14" style="337" customWidth="1"/>
    <col min="7453" max="7453" width="12.28515625" style="337" customWidth="1"/>
    <col min="7454" max="7454" width="17.42578125" style="337" customWidth="1"/>
    <col min="7455" max="7455" width="14.140625" style="337" customWidth="1"/>
    <col min="7456" max="7456" width="15.42578125" style="337" customWidth="1"/>
    <col min="7457" max="7458" width="9.42578125" style="337" customWidth="1"/>
    <col min="7459" max="7459" width="50" style="337" customWidth="1"/>
    <col min="7460" max="7460" width="14" style="337" customWidth="1"/>
    <col min="7461" max="7461" width="11" style="337" customWidth="1"/>
    <col min="7462" max="7462" width="10.5703125" style="337" customWidth="1"/>
    <col min="7463" max="7463" width="13.5703125" style="337" customWidth="1"/>
    <col min="7464" max="7464" width="10.5703125" style="337" customWidth="1"/>
    <col min="7465" max="7465" width="13.140625" style="337" customWidth="1"/>
    <col min="7466" max="7466" width="15.5703125" style="337" customWidth="1"/>
    <col min="7467" max="7467" width="14.5703125" style="337" customWidth="1"/>
    <col min="7468" max="7468" width="9" style="337" customWidth="1"/>
    <col min="7469" max="7469" width="17.7109375" style="337" customWidth="1"/>
    <col min="7470" max="7700" width="9.140625" style="337"/>
    <col min="7701" max="7701" width="11.140625" style="337" customWidth="1"/>
    <col min="7702" max="7702" width="50.7109375" style="337" customWidth="1"/>
    <col min="7703" max="7703" width="6.85546875" style="337" customWidth="1"/>
    <col min="7704" max="7704" width="7.85546875" style="337" customWidth="1"/>
    <col min="7705" max="7705" width="15.85546875" style="337" customWidth="1"/>
    <col min="7706" max="7706" width="15.28515625" style="337" customWidth="1"/>
    <col min="7707" max="7707" width="17" style="337" customWidth="1"/>
    <col min="7708" max="7708" width="14" style="337" customWidth="1"/>
    <col min="7709" max="7709" width="12.28515625" style="337" customWidth="1"/>
    <col min="7710" max="7710" width="17.42578125" style="337" customWidth="1"/>
    <col min="7711" max="7711" width="14.140625" style="337" customWidth="1"/>
    <col min="7712" max="7712" width="15.42578125" style="337" customWidth="1"/>
    <col min="7713" max="7714" width="9.42578125" style="337" customWidth="1"/>
    <col min="7715" max="7715" width="50" style="337" customWidth="1"/>
    <col min="7716" max="7716" width="14" style="337" customWidth="1"/>
    <col min="7717" max="7717" width="11" style="337" customWidth="1"/>
    <col min="7718" max="7718" width="10.5703125" style="337" customWidth="1"/>
    <col min="7719" max="7719" width="13.5703125" style="337" customWidth="1"/>
    <col min="7720" max="7720" width="10.5703125" style="337" customWidth="1"/>
    <col min="7721" max="7721" width="13.140625" style="337" customWidth="1"/>
    <col min="7722" max="7722" width="15.5703125" style="337" customWidth="1"/>
    <col min="7723" max="7723" width="14.5703125" style="337" customWidth="1"/>
    <col min="7724" max="7724" width="9" style="337" customWidth="1"/>
    <col min="7725" max="7725" width="17.7109375" style="337" customWidth="1"/>
    <col min="7726" max="7956" width="9.140625" style="337"/>
    <col min="7957" max="7957" width="11.140625" style="337" customWidth="1"/>
    <col min="7958" max="7958" width="50.7109375" style="337" customWidth="1"/>
    <col min="7959" max="7959" width="6.85546875" style="337" customWidth="1"/>
    <col min="7960" max="7960" width="7.85546875" style="337" customWidth="1"/>
    <col min="7961" max="7961" width="15.85546875" style="337" customWidth="1"/>
    <col min="7962" max="7962" width="15.28515625" style="337" customWidth="1"/>
    <col min="7963" max="7963" width="17" style="337" customWidth="1"/>
    <col min="7964" max="7964" width="14" style="337" customWidth="1"/>
    <col min="7965" max="7965" width="12.28515625" style="337" customWidth="1"/>
    <col min="7966" max="7966" width="17.42578125" style="337" customWidth="1"/>
    <col min="7967" max="7967" width="14.140625" style="337" customWidth="1"/>
    <col min="7968" max="7968" width="15.42578125" style="337" customWidth="1"/>
    <col min="7969" max="7970" width="9.42578125" style="337" customWidth="1"/>
    <col min="7971" max="7971" width="50" style="337" customWidth="1"/>
    <col min="7972" max="7972" width="14" style="337" customWidth="1"/>
    <col min="7973" max="7973" width="11" style="337" customWidth="1"/>
    <col min="7974" max="7974" width="10.5703125" style="337" customWidth="1"/>
    <col min="7975" max="7975" width="13.5703125" style="337" customWidth="1"/>
    <col min="7976" max="7976" width="10.5703125" style="337" customWidth="1"/>
    <col min="7977" max="7977" width="13.140625" style="337" customWidth="1"/>
    <col min="7978" max="7978" width="15.5703125" style="337" customWidth="1"/>
    <col min="7979" max="7979" width="14.5703125" style="337" customWidth="1"/>
    <col min="7980" max="7980" width="9" style="337" customWidth="1"/>
    <col min="7981" max="7981" width="17.7109375" style="337" customWidth="1"/>
    <col min="7982" max="8212" width="9.140625" style="337"/>
    <col min="8213" max="8213" width="11.140625" style="337" customWidth="1"/>
    <col min="8214" max="8214" width="50.7109375" style="337" customWidth="1"/>
    <col min="8215" max="8215" width="6.85546875" style="337" customWidth="1"/>
    <col min="8216" max="8216" width="7.85546875" style="337" customWidth="1"/>
    <col min="8217" max="8217" width="15.85546875" style="337" customWidth="1"/>
    <col min="8218" max="8218" width="15.28515625" style="337" customWidth="1"/>
    <col min="8219" max="8219" width="17" style="337" customWidth="1"/>
    <col min="8220" max="8220" width="14" style="337" customWidth="1"/>
    <col min="8221" max="8221" width="12.28515625" style="337" customWidth="1"/>
    <col min="8222" max="8222" width="17.42578125" style="337" customWidth="1"/>
    <col min="8223" max="8223" width="14.140625" style="337" customWidth="1"/>
    <col min="8224" max="8224" width="15.42578125" style="337" customWidth="1"/>
    <col min="8225" max="8226" width="9.42578125" style="337" customWidth="1"/>
    <col min="8227" max="8227" width="50" style="337" customWidth="1"/>
    <col min="8228" max="8228" width="14" style="337" customWidth="1"/>
    <col min="8229" max="8229" width="11" style="337" customWidth="1"/>
    <col min="8230" max="8230" width="10.5703125" style="337" customWidth="1"/>
    <col min="8231" max="8231" width="13.5703125" style="337" customWidth="1"/>
    <col min="8232" max="8232" width="10.5703125" style="337" customWidth="1"/>
    <col min="8233" max="8233" width="13.140625" style="337" customWidth="1"/>
    <col min="8234" max="8234" width="15.5703125" style="337" customWidth="1"/>
    <col min="8235" max="8235" width="14.5703125" style="337" customWidth="1"/>
    <col min="8236" max="8236" width="9" style="337" customWidth="1"/>
    <col min="8237" max="8237" width="17.7109375" style="337" customWidth="1"/>
    <col min="8238" max="8468" width="9.140625" style="337"/>
    <col min="8469" max="8469" width="11.140625" style="337" customWidth="1"/>
    <col min="8470" max="8470" width="50.7109375" style="337" customWidth="1"/>
    <col min="8471" max="8471" width="6.85546875" style="337" customWidth="1"/>
    <col min="8472" max="8472" width="7.85546875" style="337" customWidth="1"/>
    <col min="8473" max="8473" width="15.85546875" style="337" customWidth="1"/>
    <col min="8474" max="8474" width="15.28515625" style="337" customWidth="1"/>
    <col min="8475" max="8475" width="17" style="337" customWidth="1"/>
    <col min="8476" max="8476" width="14" style="337" customWidth="1"/>
    <col min="8477" max="8477" width="12.28515625" style="337" customWidth="1"/>
    <col min="8478" max="8478" width="17.42578125" style="337" customWidth="1"/>
    <col min="8479" max="8479" width="14.140625" style="337" customWidth="1"/>
    <col min="8480" max="8480" width="15.42578125" style="337" customWidth="1"/>
    <col min="8481" max="8482" width="9.42578125" style="337" customWidth="1"/>
    <col min="8483" max="8483" width="50" style="337" customWidth="1"/>
    <col min="8484" max="8484" width="14" style="337" customWidth="1"/>
    <col min="8485" max="8485" width="11" style="337" customWidth="1"/>
    <col min="8486" max="8486" width="10.5703125" style="337" customWidth="1"/>
    <col min="8487" max="8487" width="13.5703125" style="337" customWidth="1"/>
    <col min="8488" max="8488" width="10.5703125" style="337" customWidth="1"/>
    <col min="8489" max="8489" width="13.140625" style="337" customWidth="1"/>
    <col min="8490" max="8490" width="15.5703125" style="337" customWidth="1"/>
    <col min="8491" max="8491" width="14.5703125" style="337" customWidth="1"/>
    <col min="8492" max="8492" width="9" style="337" customWidth="1"/>
    <col min="8493" max="8493" width="17.7109375" style="337" customWidth="1"/>
    <col min="8494" max="8724" width="9.140625" style="337"/>
    <col min="8725" max="8725" width="11.140625" style="337" customWidth="1"/>
    <col min="8726" max="8726" width="50.7109375" style="337" customWidth="1"/>
    <col min="8727" max="8727" width="6.85546875" style="337" customWidth="1"/>
    <col min="8728" max="8728" width="7.85546875" style="337" customWidth="1"/>
    <col min="8729" max="8729" width="15.85546875" style="337" customWidth="1"/>
    <col min="8730" max="8730" width="15.28515625" style="337" customWidth="1"/>
    <col min="8731" max="8731" width="17" style="337" customWidth="1"/>
    <col min="8732" max="8732" width="14" style="337" customWidth="1"/>
    <col min="8733" max="8733" width="12.28515625" style="337" customWidth="1"/>
    <col min="8734" max="8734" width="17.42578125" style="337" customWidth="1"/>
    <col min="8735" max="8735" width="14.140625" style="337" customWidth="1"/>
    <col min="8736" max="8736" width="15.42578125" style="337" customWidth="1"/>
    <col min="8737" max="8738" width="9.42578125" style="337" customWidth="1"/>
    <col min="8739" max="8739" width="50" style="337" customWidth="1"/>
    <col min="8740" max="8740" width="14" style="337" customWidth="1"/>
    <col min="8741" max="8741" width="11" style="337" customWidth="1"/>
    <col min="8742" max="8742" width="10.5703125" style="337" customWidth="1"/>
    <col min="8743" max="8743" width="13.5703125" style="337" customWidth="1"/>
    <col min="8744" max="8744" width="10.5703125" style="337" customWidth="1"/>
    <col min="8745" max="8745" width="13.140625" style="337" customWidth="1"/>
    <col min="8746" max="8746" width="15.5703125" style="337" customWidth="1"/>
    <col min="8747" max="8747" width="14.5703125" style="337" customWidth="1"/>
    <col min="8748" max="8748" width="9" style="337" customWidth="1"/>
    <col min="8749" max="8749" width="17.7109375" style="337" customWidth="1"/>
    <col min="8750" max="8980" width="9.140625" style="337"/>
    <col min="8981" max="8981" width="11.140625" style="337" customWidth="1"/>
    <col min="8982" max="8982" width="50.7109375" style="337" customWidth="1"/>
    <col min="8983" max="8983" width="6.85546875" style="337" customWidth="1"/>
    <col min="8984" max="8984" width="7.85546875" style="337" customWidth="1"/>
    <col min="8985" max="8985" width="15.85546875" style="337" customWidth="1"/>
    <col min="8986" max="8986" width="15.28515625" style="337" customWidth="1"/>
    <col min="8987" max="8987" width="17" style="337" customWidth="1"/>
    <col min="8988" max="8988" width="14" style="337" customWidth="1"/>
    <col min="8989" max="8989" width="12.28515625" style="337" customWidth="1"/>
    <col min="8990" max="8990" width="17.42578125" style="337" customWidth="1"/>
    <col min="8991" max="8991" width="14.140625" style="337" customWidth="1"/>
    <col min="8992" max="8992" width="15.42578125" style="337" customWidth="1"/>
    <col min="8993" max="8994" width="9.42578125" style="337" customWidth="1"/>
    <col min="8995" max="8995" width="50" style="337" customWidth="1"/>
    <col min="8996" max="8996" width="14" style="337" customWidth="1"/>
    <col min="8997" max="8997" width="11" style="337" customWidth="1"/>
    <col min="8998" max="8998" width="10.5703125" style="337" customWidth="1"/>
    <col min="8999" max="8999" width="13.5703125" style="337" customWidth="1"/>
    <col min="9000" max="9000" width="10.5703125" style="337" customWidth="1"/>
    <col min="9001" max="9001" width="13.140625" style="337" customWidth="1"/>
    <col min="9002" max="9002" width="15.5703125" style="337" customWidth="1"/>
    <col min="9003" max="9003" width="14.5703125" style="337" customWidth="1"/>
    <col min="9004" max="9004" width="9" style="337" customWidth="1"/>
    <col min="9005" max="9005" width="17.7109375" style="337" customWidth="1"/>
    <col min="9006" max="9236" width="9.140625" style="337"/>
    <col min="9237" max="9237" width="11.140625" style="337" customWidth="1"/>
    <col min="9238" max="9238" width="50.7109375" style="337" customWidth="1"/>
    <col min="9239" max="9239" width="6.85546875" style="337" customWidth="1"/>
    <col min="9240" max="9240" width="7.85546875" style="337" customWidth="1"/>
    <col min="9241" max="9241" width="15.85546875" style="337" customWidth="1"/>
    <col min="9242" max="9242" width="15.28515625" style="337" customWidth="1"/>
    <col min="9243" max="9243" width="17" style="337" customWidth="1"/>
    <col min="9244" max="9244" width="14" style="337" customWidth="1"/>
    <col min="9245" max="9245" width="12.28515625" style="337" customWidth="1"/>
    <col min="9246" max="9246" width="17.42578125" style="337" customWidth="1"/>
    <col min="9247" max="9247" width="14.140625" style="337" customWidth="1"/>
    <col min="9248" max="9248" width="15.42578125" style="337" customWidth="1"/>
    <col min="9249" max="9250" width="9.42578125" style="337" customWidth="1"/>
    <col min="9251" max="9251" width="50" style="337" customWidth="1"/>
    <col min="9252" max="9252" width="14" style="337" customWidth="1"/>
    <col min="9253" max="9253" width="11" style="337" customWidth="1"/>
    <col min="9254" max="9254" width="10.5703125" style="337" customWidth="1"/>
    <col min="9255" max="9255" width="13.5703125" style="337" customWidth="1"/>
    <col min="9256" max="9256" width="10.5703125" style="337" customWidth="1"/>
    <col min="9257" max="9257" width="13.140625" style="337" customWidth="1"/>
    <col min="9258" max="9258" width="15.5703125" style="337" customWidth="1"/>
    <col min="9259" max="9259" width="14.5703125" style="337" customWidth="1"/>
    <col min="9260" max="9260" width="9" style="337" customWidth="1"/>
    <col min="9261" max="9261" width="17.7109375" style="337" customWidth="1"/>
    <col min="9262" max="9492" width="9.140625" style="337"/>
    <col min="9493" max="9493" width="11.140625" style="337" customWidth="1"/>
    <col min="9494" max="9494" width="50.7109375" style="337" customWidth="1"/>
    <col min="9495" max="9495" width="6.85546875" style="337" customWidth="1"/>
    <col min="9496" max="9496" width="7.85546875" style="337" customWidth="1"/>
    <col min="9497" max="9497" width="15.85546875" style="337" customWidth="1"/>
    <col min="9498" max="9498" width="15.28515625" style="337" customWidth="1"/>
    <col min="9499" max="9499" width="17" style="337" customWidth="1"/>
    <col min="9500" max="9500" width="14" style="337" customWidth="1"/>
    <col min="9501" max="9501" width="12.28515625" style="337" customWidth="1"/>
    <col min="9502" max="9502" width="17.42578125" style="337" customWidth="1"/>
    <col min="9503" max="9503" width="14.140625" style="337" customWidth="1"/>
    <col min="9504" max="9504" width="15.42578125" style="337" customWidth="1"/>
    <col min="9505" max="9506" width="9.42578125" style="337" customWidth="1"/>
    <col min="9507" max="9507" width="50" style="337" customWidth="1"/>
    <col min="9508" max="9508" width="14" style="337" customWidth="1"/>
    <col min="9509" max="9509" width="11" style="337" customWidth="1"/>
    <col min="9510" max="9510" width="10.5703125" style="337" customWidth="1"/>
    <col min="9511" max="9511" width="13.5703125" style="337" customWidth="1"/>
    <col min="9512" max="9512" width="10.5703125" style="337" customWidth="1"/>
    <col min="9513" max="9513" width="13.140625" style="337" customWidth="1"/>
    <col min="9514" max="9514" width="15.5703125" style="337" customWidth="1"/>
    <col min="9515" max="9515" width="14.5703125" style="337" customWidth="1"/>
    <col min="9516" max="9516" width="9" style="337" customWidth="1"/>
    <col min="9517" max="9517" width="17.7109375" style="337" customWidth="1"/>
    <col min="9518" max="9748" width="9.140625" style="337"/>
    <col min="9749" max="9749" width="11.140625" style="337" customWidth="1"/>
    <col min="9750" max="9750" width="50.7109375" style="337" customWidth="1"/>
    <col min="9751" max="9751" width="6.85546875" style="337" customWidth="1"/>
    <col min="9752" max="9752" width="7.85546875" style="337" customWidth="1"/>
    <col min="9753" max="9753" width="15.85546875" style="337" customWidth="1"/>
    <col min="9754" max="9754" width="15.28515625" style="337" customWidth="1"/>
    <col min="9755" max="9755" width="17" style="337" customWidth="1"/>
    <col min="9756" max="9756" width="14" style="337" customWidth="1"/>
    <col min="9757" max="9757" width="12.28515625" style="337" customWidth="1"/>
    <col min="9758" max="9758" width="17.42578125" style="337" customWidth="1"/>
    <col min="9759" max="9759" width="14.140625" style="337" customWidth="1"/>
    <col min="9760" max="9760" width="15.42578125" style="337" customWidth="1"/>
    <col min="9761" max="9762" width="9.42578125" style="337" customWidth="1"/>
    <col min="9763" max="9763" width="50" style="337" customWidth="1"/>
    <col min="9764" max="9764" width="14" style="337" customWidth="1"/>
    <col min="9765" max="9765" width="11" style="337" customWidth="1"/>
    <col min="9766" max="9766" width="10.5703125" style="337" customWidth="1"/>
    <col min="9767" max="9767" width="13.5703125" style="337" customWidth="1"/>
    <col min="9768" max="9768" width="10.5703125" style="337" customWidth="1"/>
    <col min="9769" max="9769" width="13.140625" style="337" customWidth="1"/>
    <col min="9770" max="9770" width="15.5703125" style="337" customWidth="1"/>
    <col min="9771" max="9771" width="14.5703125" style="337" customWidth="1"/>
    <col min="9772" max="9772" width="9" style="337" customWidth="1"/>
    <col min="9773" max="9773" width="17.7109375" style="337" customWidth="1"/>
    <col min="9774" max="10004" width="9.140625" style="337"/>
    <col min="10005" max="10005" width="11.140625" style="337" customWidth="1"/>
    <col min="10006" max="10006" width="50.7109375" style="337" customWidth="1"/>
    <col min="10007" max="10007" width="6.85546875" style="337" customWidth="1"/>
    <col min="10008" max="10008" width="7.85546875" style="337" customWidth="1"/>
    <col min="10009" max="10009" width="15.85546875" style="337" customWidth="1"/>
    <col min="10010" max="10010" width="15.28515625" style="337" customWidth="1"/>
    <col min="10011" max="10011" width="17" style="337" customWidth="1"/>
    <col min="10012" max="10012" width="14" style="337" customWidth="1"/>
    <col min="10013" max="10013" width="12.28515625" style="337" customWidth="1"/>
    <col min="10014" max="10014" width="17.42578125" style="337" customWidth="1"/>
    <col min="10015" max="10015" width="14.140625" style="337" customWidth="1"/>
    <col min="10016" max="10016" width="15.42578125" style="337" customWidth="1"/>
    <col min="10017" max="10018" width="9.42578125" style="337" customWidth="1"/>
    <col min="10019" max="10019" width="50" style="337" customWidth="1"/>
    <col min="10020" max="10020" width="14" style="337" customWidth="1"/>
    <col min="10021" max="10021" width="11" style="337" customWidth="1"/>
    <col min="10022" max="10022" width="10.5703125" style="337" customWidth="1"/>
    <col min="10023" max="10023" width="13.5703125" style="337" customWidth="1"/>
    <col min="10024" max="10024" width="10.5703125" style="337" customWidth="1"/>
    <col min="10025" max="10025" width="13.140625" style="337" customWidth="1"/>
    <col min="10026" max="10026" width="15.5703125" style="337" customWidth="1"/>
    <col min="10027" max="10027" width="14.5703125" style="337" customWidth="1"/>
    <col min="10028" max="10028" width="9" style="337" customWidth="1"/>
    <col min="10029" max="10029" width="17.7109375" style="337" customWidth="1"/>
    <col min="10030" max="10260" width="9.140625" style="337"/>
    <col min="10261" max="10261" width="11.140625" style="337" customWidth="1"/>
    <col min="10262" max="10262" width="50.7109375" style="337" customWidth="1"/>
    <col min="10263" max="10263" width="6.85546875" style="337" customWidth="1"/>
    <col min="10264" max="10264" width="7.85546875" style="337" customWidth="1"/>
    <col min="10265" max="10265" width="15.85546875" style="337" customWidth="1"/>
    <col min="10266" max="10266" width="15.28515625" style="337" customWidth="1"/>
    <col min="10267" max="10267" width="17" style="337" customWidth="1"/>
    <col min="10268" max="10268" width="14" style="337" customWidth="1"/>
    <col min="10269" max="10269" width="12.28515625" style="337" customWidth="1"/>
    <col min="10270" max="10270" width="17.42578125" style="337" customWidth="1"/>
    <col min="10271" max="10271" width="14.140625" style="337" customWidth="1"/>
    <col min="10272" max="10272" width="15.42578125" style="337" customWidth="1"/>
    <col min="10273" max="10274" width="9.42578125" style="337" customWidth="1"/>
    <col min="10275" max="10275" width="50" style="337" customWidth="1"/>
    <col min="10276" max="10276" width="14" style="337" customWidth="1"/>
    <col min="10277" max="10277" width="11" style="337" customWidth="1"/>
    <col min="10278" max="10278" width="10.5703125" style="337" customWidth="1"/>
    <col min="10279" max="10279" width="13.5703125" style="337" customWidth="1"/>
    <col min="10280" max="10280" width="10.5703125" style="337" customWidth="1"/>
    <col min="10281" max="10281" width="13.140625" style="337" customWidth="1"/>
    <col min="10282" max="10282" width="15.5703125" style="337" customWidth="1"/>
    <col min="10283" max="10283" width="14.5703125" style="337" customWidth="1"/>
    <col min="10284" max="10284" width="9" style="337" customWidth="1"/>
    <col min="10285" max="10285" width="17.7109375" style="337" customWidth="1"/>
    <col min="10286" max="10516" width="9.140625" style="337"/>
    <col min="10517" max="10517" width="11.140625" style="337" customWidth="1"/>
    <col min="10518" max="10518" width="50.7109375" style="337" customWidth="1"/>
    <col min="10519" max="10519" width="6.85546875" style="337" customWidth="1"/>
    <col min="10520" max="10520" width="7.85546875" style="337" customWidth="1"/>
    <col min="10521" max="10521" width="15.85546875" style="337" customWidth="1"/>
    <col min="10522" max="10522" width="15.28515625" style="337" customWidth="1"/>
    <col min="10523" max="10523" width="17" style="337" customWidth="1"/>
    <col min="10524" max="10524" width="14" style="337" customWidth="1"/>
    <col min="10525" max="10525" width="12.28515625" style="337" customWidth="1"/>
    <col min="10526" max="10526" width="17.42578125" style="337" customWidth="1"/>
    <col min="10527" max="10527" width="14.140625" style="337" customWidth="1"/>
    <col min="10528" max="10528" width="15.42578125" style="337" customWidth="1"/>
    <col min="10529" max="10530" width="9.42578125" style="337" customWidth="1"/>
    <col min="10531" max="10531" width="50" style="337" customWidth="1"/>
    <col min="10532" max="10532" width="14" style="337" customWidth="1"/>
    <col min="10533" max="10533" width="11" style="337" customWidth="1"/>
    <col min="10534" max="10534" width="10.5703125" style="337" customWidth="1"/>
    <col min="10535" max="10535" width="13.5703125" style="337" customWidth="1"/>
    <col min="10536" max="10536" width="10.5703125" style="337" customWidth="1"/>
    <col min="10537" max="10537" width="13.140625" style="337" customWidth="1"/>
    <col min="10538" max="10538" width="15.5703125" style="337" customWidth="1"/>
    <col min="10539" max="10539" width="14.5703125" style="337" customWidth="1"/>
    <col min="10540" max="10540" width="9" style="337" customWidth="1"/>
    <col min="10541" max="10541" width="17.7109375" style="337" customWidth="1"/>
    <col min="10542" max="10772" width="9.140625" style="337"/>
    <col min="10773" max="10773" width="11.140625" style="337" customWidth="1"/>
    <col min="10774" max="10774" width="50.7109375" style="337" customWidth="1"/>
    <col min="10775" max="10775" width="6.85546875" style="337" customWidth="1"/>
    <col min="10776" max="10776" width="7.85546875" style="337" customWidth="1"/>
    <col min="10777" max="10777" width="15.85546875" style="337" customWidth="1"/>
    <col min="10778" max="10778" width="15.28515625" style="337" customWidth="1"/>
    <col min="10779" max="10779" width="17" style="337" customWidth="1"/>
    <col min="10780" max="10780" width="14" style="337" customWidth="1"/>
    <col min="10781" max="10781" width="12.28515625" style="337" customWidth="1"/>
    <col min="10782" max="10782" width="17.42578125" style="337" customWidth="1"/>
    <col min="10783" max="10783" width="14.140625" style="337" customWidth="1"/>
    <col min="10784" max="10784" width="15.42578125" style="337" customWidth="1"/>
    <col min="10785" max="10786" width="9.42578125" style="337" customWidth="1"/>
    <col min="10787" max="10787" width="50" style="337" customWidth="1"/>
    <col min="10788" max="10788" width="14" style="337" customWidth="1"/>
    <col min="10789" max="10789" width="11" style="337" customWidth="1"/>
    <col min="10790" max="10790" width="10.5703125" style="337" customWidth="1"/>
    <col min="10791" max="10791" width="13.5703125" style="337" customWidth="1"/>
    <col min="10792" max="10792" width="10.5703125" style="337" customWidth="1"/>
    <col min="10793" max="10793" width="13.140625" style="337" customWidth="1"/>
    <col min="10794" max="10794" width="15.5703125" style="337" customWidth="1"/>
    <col min="10795" max="10795" width="14.5703125" style="337" customWidth="1"/>
    <col min="10796" max="10796" width="9" style="337" customWidth="1"/>
    <col min="10797" max="10797" width="17.7109375" style="337" customWidth="1"/>
    <col min="10798" max="11028" width="9.140625" style="337"/>
    <col min="11029" max="11029" width="11.140625" style="337" customWidth="1"/>
    <col min="11030" max="11030" width="50.7109375" style="337" customWidth="1"/>
    <col min="11031" max="11031" width="6.85546875" style="337" customWidth="1"/>
    <col min="11032" max="11032" width="7.85546875" style="337" customWidth="1"/>
    <col min="11033" max="11033" width="15.85546875" style="337" customWidth="1"/>
    <col min="11034" max="11034" width="15.28515625" style="337" customWidth="1"/>
    <col min="11035" max="11035" width="17" style="337" customWidth="1"/>
    <col min="11036" max="11036" width="14" style="337" customWidth="1"/>
    <col min="11037" max="11037" width="12.28515625" style="337" customWidth="1"/>
    <col min="11038" max="11038" width="17.42578125" style="337" customWidth="1"/>
    <col min="11039" max="11039" width="14.140625" style="337" customWidth="1"/>
    <col min="11040" max="11040" width="15.42578125" style="337" customWidth="1"/>
    <col min="11041" max="11042" width="9.42578125" style="337" customWidth="1"/>
    <col min="11043" max="11043" width="50" style="337" customWidth="1"/>
    <col min="11044" max="11044" width="14" style="337" customWidth="1"/>
    <col min="11045" max="11045" width="11" style="337" customWidth="1"/>
    <col min="11046" max="11046" width="10.5703125" style="337" customWidth="1"/>
    <col min="11047" max="11047" width="13.5703125" style="337" customWidth="1"/>
    <col min="11048" max="11048" width="10.5703125" style="337" customWidth="1"/>
    <col min="11049" max="11049" width="13.140625" style="337" customWidth="1"/>
    <col min="11050" max="11050" width="15.5703125" style="337" customWidth="1"/>
    <col min="11051" max="11051" width="14.5703125" style="337" customWidth="1"/>
    <col min="11052" max="11052" width="9" style="337" customWidth="1"/>
    <col min="11053" max="11053" width="17.7109375" style="337" customWidth="1"/>
    <col min="11054" max="11284" width="9.140625" style="337"/>
    <col min="11285" max="11285" width="11.140625" style="337" customWidth="1"/>
    <col min="11286" max="11286" width="50.7109375" style="337" customWidth="1"/>
    <col min="11287" max="11287" width="6.85546875" style="337" customWidth="1"/>
    <col min="11288" max="11288" width="7.85546875" style="337" customWidth="1"/>
    <col min="11289" max="11289" width="15.85546875" style="337" customWidth="1"/>
    <col min="11290" max="11290" width="15.28515625" style="337" customWidth="1"/>
    <col min="11291" max="11291" width="17" style="337" customWidth="1"/>
    <col min="11292" max="11292" width="14" style="337" customWidth="1"/>
    <col min="11293" max="11293" width="12.28515625" style="337" customWidth="1"/>
    <col min="11294" max="11294" width="17.42578125" style="337" customWidth="1"/>
    <col min="11295" max="11295" width="14.140625" style="337" customWidth="1"/>
    <col min="11296" max="11296" width="15.42578125" style="337" customWidth="1"/>
    <col min="11297" max="11298" width="9.42578125" style="337" customWidth="1"/>
    <col min="11299" max="11299" width="50" style="337" customWidth="1"/>
    <col min="11300" max="11300" width="14" style="337" customWidth="1"/>
    <col min="11301" max="11301" width="11" style="337" customWidth="1"/>
    <col min="11302" max="11302" width="10.5703125" style="337" customWidth="1"/>
    <col min="11303" max="11303" width="13.5703125" style="337" customWidth="1"/>
    <col min="11304" max="11304" width="10.5703125" style="337" customWidth="1"/>
    <col min="11305" max="11305" width="13.140625" style="337" customWidth="1"/>
    <col min="11306" max="11306" width="15.5703125" style="337" customWidth="1"/>
    <col min="11307" max="11307" width="14.5703125" style="337" customWidth="1"/>
    <col min="11308" max="11308" width="9" style="337" customWidth="1"/>
    <col min="11309" max="11309" width="17.7109375" style="337" customWidth="1"/>
    <col min="11310" max="11540" width="9.140625" style="337"/>
    <col min="11541" max="11541" width="11.140625" style="337" customWidth="1"/>
    <col min="11542" max="11542" width="50.7109375" style="337" customWidth="1"/>
    <col min="11543" max="11543" width="6.85546875" style="337" customWidth="1"/>
    <col min="11544" max="11544" width="7.85546875" style="337" customWidth="1"/>
    <col min="11545" max="11545" width="15.85546875" style="337" customWidth="1"/>
    <col min="11546" max="11546" width="15.28515625" style="337" customWidth="1"/>
    <col min="11547" max="11547" width="17" style="337" customWidth="1"/>
    <col min="11548" max="11548" width="14" style="337" customWidth="1"/>
    <col min="11549" max="11549" width="12.28515625" style="337" customWidth="1"/>
    <col min="11550" max="11550" width="17.42578125" style="337" customWidth="1"/>
    <col min="11551" max="11551" width="14.140625" style="337" customWidth="1"/>
    <col min="11552" max="11552" width="15.42578125" style="337" customWidth="1"/>
    <col min="11553" max="11554" width="9.42578125" style="337" customWidth="1"/>
    <col min="11555" max="11555" width="50" style="337" customWidth="1"/>
    <col min="11556" max="11556" width="14" style="337" customWidth="1"/>
    <col min="11557" max="11557" width="11" style="337" customWidth="1"/>
    <col min="11558" max="11558" width="10.5703125" style="337" customWidth="1"/>
    <col min="11559" max="11559" width="13.5703125" style="337" customWidth="1"/>
    <col min="11560" max="11560" width="10.5703125" style="337" customWidth="1"/>
    <col min="11561" max="11561" width="13.140625" style="337" customWidth="1"/>
    <col min="11562" max="11562" width="15.5703125" style="337" customWidth="1"/>
    <col min="11563" max="11563" width="14.5703125" style="337" customWidth="1"/>
    <col min="11564" max="11564" width="9" style="337" customWidth="1"/>
    <col min="11565" max="11565" width="17.7109375" style="337" customWidth="1"/>
    <col min="11566" max="11796" width="9.140625" style="337"/>
    <col min="11797" max="11797" width="11.140625" style="337" customWidth="1"/>
    <col min="11798" max="11798" width="50.7109375" style="337" customWidth="1"/>
    <col min="11799" max="11799" width="6.85546875" style="337" customWidth="1"/>
    <col min="11800" max="11800" width="7.85546875" style="337" customWidth="1"/>
    <col min="11801" max="11801" width="15.85546875" style="337" customWidth="1"/>
    <col min="11802" max="11802" width="15.28515625" style="337" customWidth="1"/>
    <col min="11803" max="11803" width="17" style="337" customWidth="1"/>
    <col min="11804" max="11804" width="14" style="337" customWidth="1"/>
    <col min="11805" max="11805" width="12.28515625" style="337" customWidth="1"/>
    <col min="11806" max="11806" width="17.42578125" style="337" customWidth="1"/>
    <col min="11807" max="11807" width="14.140625" style="337" customWidth="1"/>
    <col min="11808" max="11808" width="15.42578125" style="337" customWidth="1"/>
    <col min="11809" max="11810" width="9.42578125" style="337" customWidth="1"/>
    <col min="11811" max="11811" width="50" style="337" customWidth="1"/>
    <col min="11812" max="11812" width="14" style="337" customWidth="1"/>
    <col min="11813" max="11813" width="11" style="337" customWidth="1"/>
    <col min="11814" max="11814" width="10.5703125" style="337" customWidth="1"/>
    <col min="11815" max="11815" width="13.5703125" style="337" customWidth="1"/>
    <col min="11816" max="11816" width="10.5703125" style="337" customWidth="1"/>
    <col min="11817" max="11817" width="13.140625" style="337" customWidth="1"/>
    <col min="11818" max="11818" width="15.5703125" style="337" customWidth="1"/>
    <col min="11819" max="11819" width="14.5703125" style="337" customWidth="1"/>
    <col min="11820" max="11820" width="9" style="337" customWidth="1"/>
    <col min="11821" max="11821" width="17.7109375" style="337" customWidth="1"/>
    <col min="11822" max="12052" width="9.140625" style="337"/>
    <col min="12053" max="12053" width="11.140625" style="337" customWidth="1"/>
    <col min="12054" max="12054" width="50.7109375" style="337" customWidth="1"/>
    <col min="12055" max="12055" width="6.85546875" style="337" customWidth="1"/>
    <col min="12056" max="12056" width="7.85546875" style="337" customWidth="1"/>
    <col min="12057" max="12057" width="15.85546875" style="337" customWidth="1"/>
    <col min="12058" max="12058" width="15.28515625" style="337" customWidth="1"/>
    <col min="12059" max="12059" width="17" style="337" customWidth="1"/>
    <col min="12060" max="12060" width="14" style="337" customWidth="1"/>
    <col min="12061" max="12061" width="12.28515625" style="337" customWidth="1"/>
    <col min="12062" max="12062" width="17.42578125" style="337" customWidth="1"/>
    <col min="12063" max="12063" width="14.140625" style="337" customWidth="1"/>
    <col min="12064" max="12064" width="15.42578125" style="337" customWidth="1"/>
    <col min="12065" max="12066" width="9.42578125" style="337" customWidth="1"/>
    <col min="12067" max="12067" width="50" style="337" customWidth="1"/>
    <col min="12068" max="12068" width="14" style="337" customWidth="1"/>
    <col min="12069" max="12069" width="11" style="337" customWidth="1"/>
    <col min="12070" max="12070" width="10.5703125" style="337" customWidth="1"/>
    <col min="12071" max="12071" width="13.5703125" style="337" customWidth="1"/>
    <col min="12072" max="12072" width="10.5703125" style="337" customWidth="1"/>
    <col min="12073" max="12073" width="13.140625" style="337" customWidth="1"/>
    <col min="12074" max="12074" width="15.5703125" style="337" customWidth="1"/>
    <col min="12075" max="12075" width="14.5703125" style="337" customWidth="1"/>
    <col min="12076" max="12076" width="9" style="337" customWidth="1"/>
    <col min="12077" max="12077" width="17.7109375" style="337" customWidth="1"/>
    <col min="12078" max="12308" width="9.140625" style="337"/>
    <col min="12309" max="12309" width="11.140625" style="337" customWidth="1"/>
    <col min="12310" max="12310" width="50.7109375" style="337" customWidth="1"/>
    <col min="12311" max="12311" width="6.85546875" style="337" customWidth="1"/>
    <col min="12312" max="12312" width="7.85546875" style="337" customWidth="1"/>
    <col min="12313" max="12313" width="15.85546875" style="337" customWidth="1"/>
    <col min="12314" max="12314" width="15.28515625" style="337" customWidth="1"/>
    <col min="12315" max="12315" width="17" style="337" customWidth="1"/>
    <col min="12316" max="12316" width="14" style="337" customWidth="1"/>
    <col min="12317" max="12317" width="12.28515625" style="337" customWidth="1"/>
    <col min="12318" max="12318" width="17.42578125" style="337" customWidth="1"/>
    <col min="12319" max="12319" width="14.140625" style="337" customWidth="1"/>
    <col min="12320" max="12320" width="15.42578125" style="337" customWidth="1"/>
    <col min="12321" max="12322" width="9.42578125" style="337" customWidth="1"/>
    <col min="12323" max="12323" width="50" style="337" customWidth="1"/>
    <col min="12324" max="12324" width="14" style="337" customWidth="1"/>
    <col min="12325" max="12325" width="11" style="337" customWidth="1"/>
    <col min="12326" max="12326" width="10.5703125" style="337" customWidth="1"/>
    <col min="12327" max="12327" width="13.5703125" style="337" customWidth="1"/>
    <col min="12328" max="12328" width="10.5703125" style="337" customWidth="1"/>
    <col min="12329" max="12329" width="13.140625" style="337" customWidth="1"/>
    <col min="12330" max="12330" width="15.5703125" style="337" customWidth="1"/>
    <col min="12331" max="12331" width="14.5703125" style="337" customWidth="1"/>
    <col min="12332" max="12332" width="9" style="337" customWidth="1"/>
    <col min="12333" max="12333" width="17.7109375" style="337" customWidth="1"/>
    <col min="12334" max="12564" width="9.140625" style="337"/>
    <col min="12565" max="12565" width="11.140625" style="337" customWidth="1"/>
    <col min="12566" max="12566" width="50.7109375" style="337" customWidth="1"/>
    <col min="12567" max="12567" width="6.85546875" style="337" customWidth="1"/>
    <col min="12568" max="12568" width="7.85546875" style="337" customWidth="1"/>
    <col min="12569" max="12569" width="15.85546875" style="337" customWidth="1"/>
    <col min="12570" max="12570" width="15.28515625" style="337" customWidth="1"/>
    <col min="12571" max="12571" width="17" style="337" customWidth="1"/>
    <col min="12572" max="12572" width="14" style="337" customWidth="1"/>
    <col min="12573" max="12573" width="12.28515625" style="337" customWidth="1"/>
    <col min="12574" max="12574" width="17.42578125" style="337" customWidth="1"/>
    <col min="12575" max="12575" width="14.140625" style="337" customWidth="1"/>
    <col min="12576" max="12576" width="15.42578125" style="337" customWidth="1"/>
    <col min="12577" max="12578" width="9.42578125" style="337" customWidth="1"/>
    <col min="12579" max="12579" width="50" style="337" customWidth="1"/>
    <col min="12580" max="12580" width="14" style="337" customWidth="1"/>
    <col min="12581" max="12581" width="11" style="337" customWidth="1"/>
    <col min="12582" max="12582" width="10.5703125" style="337" customWidth="1"/>
    <col min="12583" max="12583" width="13.5703125" style="337" customWidth="1"/>
    <col min="12584" max="12584" width="10.5703125" style="337" customWidth="1"/>
    <col min="12585" max="12585" width="13.140625" style="337" customWidth="1"/>
    <col min="12586" max="12586" width="15.5703125" style="337" customWidth="1"/>
    <col min="12587" max="12587" width="14.5703125" style="337" customWidth="1"/>
    <col min="12588" max="12588" width="9" style="337" customWidth="1"/>
    <col min="12589" max="12589" width="17.7109375" style="337" customWidth="1"/>
    <col min="12590" max="12820" width="9.140625" style="337"/>
    <col min="12821" max="12821" width="11.140625" style="337" customWidth="1"/>
    <col min="12822" max="12822" width="50.7109375" style="337" customWidth="1"/>
    <col min="12823" max="12823" width="6.85546875" style="337" customWidth="1"/>
    <col min="12824" max="12824" width="7.85546875" style="337" customWidth="1"/>
    <col min="12825" max="12825" width="15.85546875" style="337" customWidth="1"/>
    <col min="12826" max="12826" width="15.28515625" style="337" customWidth="1"/>
    <col min="12827" max="12827" width="17" style="337" customWidth="1"/>
    <col min="12828" max="12828" width="14" style="337" customWidth="1"/>
    <col min="12829" max="12829" width="12.28515625" style="337" customWidth="1"/>
    <col min="12830" max="12830" width="17.42578125" style="337" customWidth="1"/>
    <col min="12831" max="12831" width="14.140625" style="337" customWidth="1"/>
    <col min="12832" max="12832" width="15.42578125" style="337" customWidth="1"/>
    <col min="12833" max="12834" width="9.42578125" style="337" customWidth="1"/>
    <col min="12835" max="12835" width="50" style="337" customWidth="1"/>
    <col min="12836" max="12836" width="14" style="337" customWidth="1"/>
    <col min="12837" max="12837" width="11" style="337" customWidth="1"/>
    <col min="12838" max="12838" width="10.5703125" style="337" customWidth="1"/>
    <col min="12839" max="12839" width="13.5703125" style="337" customWidth="1"/>
    <col min="12840" max="12840" width="10.5703125" style="337" customWidth="1"/>
    <col min="12841" max="12841" width="13.140625" style="337" customWidth="1"/>
    <col min="12842" max="12842" width="15.5703125" style="337" customWidth="1"/>
    <col min="12843" max="12843" width="14.5703125" style="337" customWidth="1"/>
    <col min="12844" max="12844" width="9" style="337" customWidth="1"/>
    <col min="12845" max="12845" width="17.7109375" style="337" customWidth="1"/>
    <col min="12846" max="13076" width="9.140625" style="337"/>
    <col min="13077" max="13077" width="11.140625" style="337" customWidth="1"/>
    <col min="13078" max="13078" width="50.7109375" style="337" customWidth="1"/>
    <col min="13079" max="13079" width="6.85546875" style="337" customWidth="1"/>
    <col min="13080" max="13080" width="7.85546875" style="337" customWidth="1"/>
    <col min="13081" max="13081" width="15.85546875" style="337" customWidth="1"/>
    <col min="13082" max="13082" width="15.28515625" style="337" customWidth="1"/>
    <col min="13083" max="13083" width="17" style="337" customWidth="1"/>
    <col min="13084" max="13084" width="14" style="337" customWidth="1"/>
    <col min="13085" max="13085" width="12.28515625" style="337" customWidth="1"/>
    <col min="13086" max="13086" width="17.42578125" style="337" customWidth="1"/>
    <col min="13087" max="13087" width="14.140625" style="337" customWidth="1"/>
    <col min="13088" max="13088" width="15.42578125" style="337" customWidth="1"/>
    <col min="13089" max="13090" width="9.42578125" style="337" customWidth="1"/>
    <col min="13091" max="13091" width="50" style="337" customWidth="1"/>
    <col min="13092" max="13092" width="14" style="337" customWidth="1"/>
    <col min="13093" max="13093" width="11" style="337" customWidth="1"/>
    <col min="13094" max="13094" width="10.5703125" style="337" customWidth="1"/>
    <col min="13095" max="13095" width="13.5703125" style="337" customWidth="1"/>
    <col min="13096" max="13096" width="10.5703125" style="337" customWidth="1"/>
    <col min="13097" max="13097" width="13.140625" style="337" customWidth="1"/>
    <col min="13098" max="13098" width="15.5703125" style="337" customWidth="1"/>
    <col min="13099" max="13099" width="14.5703125" style="337" customWidth="1"/>
    <col min="13100" max="13100" width="9" style="337" customWidth="1"/>
    <col min="13101" max="13101" width="17.7109375" style="337" customWidth="1"/>
    <col min="13102" max="13332" width="9.140625" style="337"/>
    <col min="13333" max="13333" width="11.140625" style="337" customWidth="1"/>
    <col min="13334" max="13334" width="50.7109375" style="337" customWidth="1"/>
    <col min="13335" max="13335" width="6.85546875" style="337" customWidth="1"/>
    <col min="13336" max="13336" width="7.85546875" style="337" customWidth="1"/>
    <col min="13337" max="13337" width="15.85546875" style="337" customWidth="1"/>
    <col min="13338" max="13338" width="15.28515625" style="337" customWidth="1"/>
    <col min="13339" max="13339" width="17" style="337" customWidth="1"/>
    <col min="13340" max="13340" width="14" style="337" customWidth="1"/>
    <col min="13341" max="13341" width="12.28515625" style="337" customWidth="1"/>
    <col min="13342" max="13342" width="17.42578125" style="337" customWidth="1"/>
    <col min="13343" max="13343" width="14.140625" style="337" customWidth="1"/>
    <col min="13344" max="13344" width="15.42578125" style="337" customWidth="1"/>
    <col min="13345" max="13346" width="9.42578125" style="337" customWidth="1"/>
    <col min="13347" max="13347" width="50" style="337" customWidth="1"/>
    <col min="13348" max="13348" width="14" style="337" customWidth="1"/>
    <col min="13349" max="13349" width="11" style="337" customWidth="1"/>
    <col min="13350" max="13350" width="10.5703125" style="337" customWidth="1"/>
    <col min="13351" max="13351" width="13.5703125" style="337" customWidth="1"/>
    <col min="13352" max="13352" width="10.5703125" style="337" customWidth="1"/>
    <col min="13353" max="13353" width="13.140625" style="337" customWidth="1"/>
    <col min="13354" max="13354" width="15.5703125" style="337" customWidth="1"/>
    <col min="13355" max="13355" width="14.5703125" style="337" customWidth="1"/>
    <col min="13356" max="13356" width="9" style="337" customWidth="1"/>
    <col min="13357" max="13357" width="17.7109375" style="337" customWidth="1"/>
    <col min="13358" max="13588" width="9.140625" style="337"/>
    <col min="13589" max="13589" width="11.140625" style="337" customWidth="1"/>
    <col min="13590" max="13590" width="50.7109375" style="337" customWidth="1"/>
    <col min="13591" max="13591" width="6.85546875" style="337" customWidth="1"/>
    <col min="13592" max="13592" width="7.85546875" style="337" customWidth="1"/>
    <col min="13593" max="13593" width="15.85546875" style="337" customWidth="1"/>
    <col min="13594" max="13594" width="15.28515625" style="337" customWidth="1"/>
    <col min="13595" max="13595" width="17" style="337" customWidth="1"/>
    <col min="13596" max="13596" width="14" style="337" customWidth="1"/>
    <col min="13597" max="13597" width="12.28515625" style="337" customWidth="1"/>
    <col min="13598" max="13598" width="17.42578125" style="337" customWidth="1"/>
    <col min="13599" max="13599" width="14.140625" style="337" customWidth="1"/>
    <col min="13600" max="13600" width="15.42578125" style="337" customWidth="1"/>
    <col min="13601" max="13602" width="9.42578125" style="337" customWidth="1"/>
    <col min="13603" max="13603" width="50" style="337" customWidth="1"/>
    <col min="13604" max="13604" width="14" style="337" customWidth="1"/>
    <col min="13605" max="13605" width="11" style="337" customWidth="1"/>
    <col min="13606" max="13606" width="10.5703125" style="337" customWidth="1"/>
    <col min="13607" max="13607" width="13.5703125" style="337" customWidth="1"/>
    <col min="13608" max="13608" width="10.5703125" style="337" customWidth="1"/>
    <col min="13609" max="13609" width="13.140625" style="337" customWidth="1"/>
    <col min="13610" max="13610" width="15.5703125" style="337" customWidth="1"/>
    <col min="13611" max="13611" width="14.5703125" style="337" customWidth="1"/>
    <col min="13612" max="13612" width="9" style="337" customWidth="1"/>
    <col min="13613" max="13613" width="17.7109375" style="337" customWidth="1"/>
    <col min="13614" max="13844" width="9.140625" style="337"/>
    <col min="13845" max="13845" width="11.140625" style="337" customWidth="1"/>
    <col min="13846" max="13846" width="50.7109375" style="337" customWidth="1"/>
    <col min="13847" max="13847" width="6.85546875" style="337" customWidth="1"/>
    <col min="13848" max="13848" width="7.85546875" style="337" customWidth="1"/>
    <col min="13849" max="13849" width="15.85546875" style="337" customWidth="1"/>
    <col min="13850" max="13850" width="15.28515625" style="337" customWidth="1"/>
    <col min="13851" max="13851" width="17" style="337" customWidth="1"/>
    <col min="13852" max="13852" width="14" style="337" customWidth="1"/>
    <col min="13853" max="13853" width="12.28515625" style="337" customWidth="1"/>
    <col min="13854" max="13854" width="17.42578125" style="337" customWidth="1"/>
    <col min="13855" max="13855" width="14.140625" style="337" customWidth="1"/>
    <col min="13856" max="13856" width="15.42578125" style="337" customWidth="1"/>
    <col min="13857" max="13858" width="9.42578125" style="337" customWidth="1"/>
    <col min="13859" max="13859" width="50" style="337" customWidth="1"/>
    <col min="13860" max="13860" width="14" style="337" customWidth="1"/>
    <col min="13861" max="13861" width="11" style="337" customWidth="1"/>
    <col min="13862" max="13862" width="10.5703125" style="337" customWidth="1"/>
    <col min="13863" max="13863" width="13.5703125" style="337" customWidth="1"/>
    <col min="13864" max="13864" width="10.5703125" style="337" customWidth="1"/>
    <col min="13865" max="13865" width="13.140625" style="337" customWidth="1"/>
    <col min="13866" max="13866" width="15.5703125" style="337" customWidth="1"/>
    <col min="13867" max="13867" width="14.5703125" style="337" customWidth="1"/>
    <col min="13868" max="13868" width="9" style="337" customWidth="1"/>
    <col min="13869" max="13869" width="17.7109375" style="337" customWidth="1"/>
    <col min="13870" max="14100" width="9.140625" style="337"/>
    <col min="14101" max="14101" width="11.140625" style="337" customWidth="1"/>
    <col min="14102" max="14102" width="50.7109375" style="337" customWidth="1"/>
    <col min="14103" max="14103" width="6.85546875" style="337" customWidth="1"/>
    <col min="14104" max="14104" width="7.85546875" style="337" customWidth="1"/>
    <col min="14105" max="14105" width="15.85546875" style="337" customWidth="1"/>
    <col min="14106" max="14106" width="15.28515625" style="337" customWidth="1"/>
    <col min="14107" max="14107" width="17" style="337" customWidth="1"/>
    <col min="14108" max="14108" width="14" style="337" customWidth="1"/>
    <col min="14109" max="14109" width="12.28515625" style="337" customWidth="1"/>
    <col min="14110" max="14110" width="17.42578125" style="337" customWidth="1"/>
    <col min="14111" max="14111" width="14.140625" style="337" customWidth="1"/>
    <col min="14112" max="14112" width="15.42578125" style="337" customWidth="1"/>
    <col min="14113" max="14114" width="9.42578125" style="337" customWidth="1"/>
    <col min="14115" max="14115" width="50" style="337" customWidth="1"/>
    <col min="14116" max="14116" width="14" style="337" customWidth="1"/>
    <col min="14117" max="14117" width="11" style="337" customWidth="1"/>
    <col min="14118" max="14118" width="10.5703125" style="337" customWidth="1"/>
    <col min="14119" max="14119" width="13.5703125" style="337" customWidth="1"/>
    <col min="14120" max="14120" width="10.5703125" style="337" customWidth="1"/>
    <col min="14121" max="14121" width="13.140625" style="337" customWidth="1"/>
    <col min="14122" max="14122" width="15.5703125" style="337" customWidth="1"/>
    <col min="14123" max="14123" width="14.5703125" style="337" customWidth="1"/>
    <col min="14124" max="14124" width="9" style="337" customWidth="1"/>
    <col min="14125" max="14125" width="17.7109375" style="337" customWidth="1"/>
    <col min="14126" max="14356" width="9.140625" style="337"/>
    <col min="14357" max="14357" width="11.140625" style="337" customWidth="1"/>
    <col min="14358" max="14358" width="50.7109375" style="337" customWidth="1"/>
    <col min="14359" max="14359" width="6.85546875" style="337" customWidth="1"/>
    <col min="14360" max="14360" width="7.85546875" style="337" customWidth="1"/>
    <col min="14361" max="14361" width="15.85546875" style="337" customWidth="1"/>
    <col min="14362" max="14362" width="15.28515625" style="337" customWidth="1"/>
    <col min="14363" max="14363" width="17" style="337" customWidth="1"/>
    <col min="14364" max="14364" width="14" style="337" customWidth="1"/>
    <col min="14365" max="14365" width="12.28515625" style="337" customWidth="1"/>
    <col min="14366" max="14366" width="17.42578125" style="337" customWidth="1"/>
    <col min="14367" max="14367" width="14.140625" style="337" customWidth="1"/>
    <col min="14368" max="14368" width="15.42578125" style="337" customWidth="1"/>
    <col min="14369" max="14370" width="9.42578125" style="337" customWidth="1"/>
    <col min="14371" max="14371" width="50" style="337" customWidth="1"/>
    <col min="14372" max="14372" width="14" style="337" customWidth="1"/>
    <col min="14373" max="14373" width="11" style="337" customWidth="1"/>
    <col min="14374" max="14374" width="10.5703125" style="337" customWidth="1"/>
    <col min="14375" max="14375" width="13.5703125" style="337" customWidth="1"/>
    <col min="14376" max="14376" width="10.5703125" style="337" customWidth="1"/>
    <col min="14377" max="14377" width="13.140625" style="337" customWidth="1"/>
    <col min="14378" max="14378" width="15.5703125" style="337" customWidth="1"/>
    <col min="14379" max="14379" width="14.5703125" style="337" customWidth="1"/>
    <col min="14380" max="14380" width="9" style="337" customWidth="1"/>
    <col min="14381" max="14381" width="17.7109375" style="337" customWidth="1"/>
    <col min="14382" max="14612" width="9.140625" style="337"/>
    <col min="14613" max="14613" width="11.140625" style="337" customWidth="1"/>
    <col min="14614" max="14614" width="50.7109375" style="337" customWidth="1"/>
    <col min="14615" max="14615" width="6.85546875" style="337" customWidth="1"/>
    <col min="14616" max="14616" width="7.85546875" style="337" customWidth="1"/>
    <col min="14617" max="14617" width="15.85546875" style="337" customWidth="1"/>
    <col min="14618" max="14618" width="15.28515625" style="337" customWidth="1"/>
    <col min="14619" max="14619" width="17" style="337" customWidth="1"/>
    <col min="14620" max="14620" width="14" style="337" customWidth="1"/>
    <col min="14621" max="14621" width="12.28515625" style="337" customWidth="1"/>
    <col min="14622" max="14622" width="17.42578125" style="337" customWidth="1"/>
    <col min="14623" max="14623" width="14.140625" style="337" customWidth="1"/>
    <col min="14624" max="14624" width="15.42578125" style="337" customWidth="1"/>
    <col min="14625" max="14626" width="9.42578125" style="337" customWidth="1"/>
    <col min="14627" max="14627" width="50" style="337" customWidth="1"/>
    <col min="14628" max="14628" width="14" style="337" customWidth="1"/>
    <col min="14629" max="14629" width="11" style="337" customWidth="1"/>
    <col min="14630" max="14630" width="10.5703125" style="337" customWidth="1"/>
    <col min="14631" max="14631" width="13.5703125" style="337" customWidth="1"/>
    <col min="14632" max="14632" width="10.5703125" style="337" customWidth="1"/>
    <col min="14633" max="14633" width="13.140625" style="337" customWidth="1"/>
    <col min="14634" max="14634" width="15.5703125" style="337" customWidth="1"/>
    <col min="14635" max="14635" width="14.5703125" style="337" customWidth="1"/>
    <col min="14636" max="14636" width="9" style="337" customWidth="1"/>
    <col min="14637" max="14637" width="17.7109375" style="337" customWidth="1"/>
    <col min="14638" max="14868" width="9.140625" style="337"/>
    <col min="14869" max="14869" width="11.140625" style="337" customWidth="1"/>
    <col min="14870" max="14870" width="50.7109375" style="337" customWidth="1"/>
    <col min="14871" max="14871" width="6.85546875" style="337" customWidth="1"/>
    <col min="14872" max="14872" width="7.85546875" style="337" customWidth="1"/>
    <col min="14873" max="14873" width="15.85546875" style="337" customWidth="1"/>
    <col min="14874" max="14874" width="15.28515625" style="337" customWidth="1"/>
    <col min="14875" max="14875" width="17" style="337" customWidth="1"/>
    <col min="14876" max="14876" width="14" style="337" customWidth="1"/>
    <col min="14877" max="14877" width="12.28515625" style="337" customWidth="1"/>
    <col min="14878" max="14878" width="17.42578125" style="337" customWidth="1"/>
    <col min="14879" max="14879" width="14.140625" style="337" customWidth="1"/>
    <col min="14880" max="14880" width="15.42578125" style="337" customWidth="1"/>
    <col min="14881" max="14882" width="9.42578125" style="337" customWidth="1"/>
    <col min="14883" max="14883" width="50" style="337" customWidth="1"/>
    <col min="14884" max="14884" width="14" style="337" customWidth="1"/>
    <col min="14885" max="14885" width="11" style="337" customWidth="1"/>
    <col min="14886" max="14886" width="10.5703125" style="337" customWidth="1"/>
    <col min="14887" max="14887" width="13.5703125" style="337" customWidth="1"/>
    <col min="14888" max="14888" width="10.5703125" style="337" customWidth="1"/>
    <col min="14889" max="14889" width="13.140625" style="337" customWidth="1"/>
    <col min="14890" max="14890" width="15.5703125" style="337" customWidth="1"/>
    <col min="14891" max="14891" width="14.5703125" style="337" customWidth="1"/>
    <col min="14892" max="14892" width="9" style="337" customWidth="1"/>
    <col min="14893" max="14893" width="17.7109375" style="337" customWidth="1"/>
    <col min="14894" max="15124" width="9.140625" style="337"/>
    <col min="15125" max="15125" width="11.140625" style="337" customWidth="1"/>
    <col min="15126" max="15126" width="50.7109375" style="337" customWidth="1"/>
    <col min="15127" max="15127" width="6.85546875" style="337" customWidth="1"/>
    <col min="15128" max="15128" width="7.85546875" style="337" customWidth="1"/>
    <col min="15129" max="15129" width="15.85546875" style="337" customWidth="1"/>
    <col min="15130" max="15130" width="15.28515625" style="337" customWidth="1"/>
    <col min="15131" max="15131" width="17" style="337" customWidth="1"/>
    <col min="15132" max="15132" width="14" style="337" customWidth="1"/>
    <col min="15133" max="15133" width="12.28515625" style="337" customWidth="1"/>
    <col min="15134" max="15134" width="17.42578125" style="337" customWidth="1"/>
    <col min="15135" max="15135" width="14.140625" style="337" customWidth="1"/>
    <col min="15136" max="15136" width="15.42578125" style="337" customWidth="1"/>
    <col min="15137" max="15138" width="9.42578125" style="337" customWidth="1"/>
    <col min="15139" max="15139" width="50" style="337" customWidth="1"/>
    <col min="15140" max="15140" width="14" style="337" customWidth="1"/>
    <col min="15141" max="15141" width="11" style="337" customWidth="1"/>
    <col min="15142" max="15142" width="10.5703125" style="337" customWidth="1"/>
    <col min="15143" max="15143" width="13.5703125" style="337" customWidth="1"/>
    <col min="15144" max="15144" width="10.5703125" style="337" customWidth="1"/>
    <col min="15145" max="15145" width="13.140625" style="337" customWidth="1"/>
    <col min="15146" max="15146" width="15.5703125" style="337" customWidth="1"/>
    <col min="15147" max="15147" width="14.5703125" style="337" customWidth="1"/>
    <col min="15148" max="15148" width="9" style="337" customWidth="1"/>
    <col min="15149" max="15149" width="17.7109375" style="337" customWidth="1"/>
    <col min="15150" max="15380" width="9.140625" style="337"/>
    <col min="15381" max="15381" width="11.140625" style="337" customWidth="1"/>
    <col min="15382" max="15382" width="50.7109375" style="337" customWidth="1"/>
    <col min="15383" max="15383" width="6.85546875" style="337" customWidth="1"/>
    <col min="15384" max="15384" width="7.85546875" style="337" customWidth="1"/>
    <col min="15385" max="15385" width="15.85546875" style="337" customWidth="1"/>
    <col min="15386" max="15386" width="15.28515625" style="337" customWidth="1"/>
    <col min="15387" max="15387" width="17" style="337" customWidth="1"/>
    <col min="15388" max="15388" width="14" style="337" customWidth="1"/>
    <col min="15389" max="15389" width="12.28515625" style="337" customWidth="1"/>
    <col min="15390" max="15390" width="17.42578125" style="337" customWidth="1"/>
    <col min="15391" max="15391" width="14.140625" style="337" customWidth="1"/>
    <col min="15392" max="15392" width="15.42578125" style="337" customWidth="1"/>
    <col min="15393" max="15394" width="9.42578125" style="337" customWidth="1"/>
    <col min="15395" max="15395" width="50" style="337" customWidth="1"/>
    <col min="15396" max="15396" width="14" style="337" customWidth="1"/>
    <col min="15397" max="15397" width="11" style="337" customWidth="1"/>
    <col min="15398" max="15398" width="10.5703125" style="337" customWidth="1"/>
    <col min="15399" max="15399" width="13.5703125" style="337" customWidth="1"/>
    <col min="15400" max="15400" width="10.5703125" style="337" customWidth="1"/>
    <col min="15401" max="15401" width="13.140625" style="337" customWidth="1"/>
    <col min="15402" max="15402" width="15.5703125" style="337" customWidth="1"/>
    <col min="15403" max="15403" width="14.5703125" style="337" customWidth="1"/>
    <col min="15404" max="15404" width="9" style="337" customWidth="1"/>
    <col min="15405" max="15405" width="17.7109375" style="337" customWidth="1"/>
    <col min="15406" max="15636" width="9.140625" style="337"/>
    <col min="15637" max="15637" width="11.140625" style="337" customWidth="1"/>
    <col min="15638" max="15638" width="50.7109375" style="337" customWidth="1"/>
    <col min="15639" max="15639" width="6.85546875" style="337" customWidth="1"/>
    <col min="15640" max="15640" width="7.85546875" style="337" customWidth="1"/>
    <col min="15641" max="15641" width="15.85546875" style="337" customWidth="1"/>
    <col min="15642" max="15642" width="15.28515625" style="337" customWidth="1"/>
    <col min="15643" max="15643" width="17" style="337" customWidth="1"/>
    <col min="15644" max="15644" width="14" style="337" customWidth="1"/>
    <col min="15645" max="15645" width="12.28515625" style="337" customWidth="1"/>
    <col min="15646" max="15646" width="17.42578125" style="337" customWidth="1"/>
    <col min="15647" max="15647" width="14.140625" style="337" customWidth="1"/>
    <col min="15648" max="15648" width="15.42578125" style="337" customWidth="1"/>
    <col min="15649" max="15650" width="9.42578125" style="337" customWidth="1"/>
    <col min="15651" max="15651" width="50" style="337" customWidth="1"/>
    <col min="15652" max="15652" width="14" style="337" customWidth="1"/>
    <col min="15653" max="15653" width="11" style="337" customWidth="1"/>
    <col min="15654" max="15654" width="10.5703125" style="337" customWidth="1"/>
    <col min="15655" max="15655" width="13.5703125" style="337" customWidth="1"/>
    <col min="15656" max="15656" width="10.5703125" style="337" customWidth="1"/>
    <col min="15657" max="15657" width="13.140625" style="337" customWidth="1"/>
    <col min="15658" max="15658" width="15.5703125" style="337" customWidth="1"/>
    <col min="15659" max="15659" width="14.5703125" style="337" customWidth="1"/>
    <col min="15660" max="15660" width="9" style="337" customWidth="1"/>
    <col min="15661" max="15661" width="17.7109375" style="337" customWidth="1"/>
    <col min="15662" max="15892" width="9.140625" style="337"/>
    <col min="15893" max="15893" width="11.140625" style="337" customWidth="1"/>
    <col min="15894" max="15894" width="50.7109375" style="337" customWidth="1"/>
    <col min="15895" max="15895" width="6.85546875" style="337" customWidth="1"/>
    <col min="15896" max="15896" width="7.85546875" style="337" customWidth="1"/>
    <col min="15897" max="15897" width="15.85546875" style="337" customWidth="1"/>
    <col min="15898" max="15898" width="15.28515625" style="337" customWidth="1"/>
    <col min="15899" max="15899" width="17" style="337" customWidth="1"/>
    <col min="15900" max="15900" width="14" style="337" customWidth="1"/>
    <col min="15901" max="15901" width="12.28515625" style="337" customWidth="1"/>
    <col min="15902" max="15902" width="17.42578125" style="337" customWidth="1"/>
    <col min="15903" max="15903" width="14.140625" style="337" customWidth="1"/>
    <col min="15904" max="15904" width="15.42578125" style="337" customWidth="1"/>
    <col min="15905" max="15906" width="9.42578125" style="337" customWidth="1"/>
    <col min="15907" max="15907" width="50" style="337" customWidth="1"/>
    <col min="15908" max="15908" width="14" style="337" customWidth="1"/>
    <col min="15909" max="15909" width="11" style="337" customWidth="1"/>
    <col min="15910" max="15910" width="10.5703125" style="337" customWidth="1"/>
    <col min="15911" max="15911" width="13.5703125" style="337" customWidth="1"/>
    <col min="15912" max="15912" width="10.5703125" style="337" customWidth="1"/>
    <col min="15913" max="15913" width="13.140625" style="337" customWidth="1"/>
    <col min="15914" max="15914" width="15.5703125" style="337" customWidth="1"/>
    <col min="15915" max="15915" width="14.5703125" style="337" customWidth="1"/>
    <col min="15916" max="15916" width="9" style="337" customWidth="1"/>
    <col min="15917" max="15917" width="17.7109375" style="337" customWidth="1"/>
    <col min="15918" max="16148" width="9.140625" style="337"/>
    <col min="16149" max="16149" width="11.140625" style="337" customWidth="1"/>
    <col min="16150" max="16150" width="50.7109375" style="337" customWidth="1"/>
    <col min="16151" max="16151" width="6.85546875" style="337" customWidth="1"/>
    <col min="16152" max="16152" width="7.85546875" style="337" customWidth="1"/>
    <col min="16153" max="16153" width="15.85546875" style="337" customWidth="1"/>
    <col min="16154" max="16154" width="15.28515625" style="337" customWidth="1"/>
    <col min="16155" max="16155" width="17" style="337" customWidth="1"/>
    <col min="16156" max="16156" width="14" style="337" customWidth="1"/>
    <col min="16157" max="16157" width="12.28515625" style="337" customWidth="1"/>
    <col min="16158" max="16158" width="17.42578125" style="337" customWidth="1"/>
    <col min="16159" max="16159" width="14.140625" style="337" customWidth="1"/>
    <col min="16160" max="16160" width="15.42578125" style="337" customWidth="1"/>
    <col min="16161" max="16162" width="9.42578125" style="337" customWidth="1"/>
    <col min="16163" max="16163" width="50" style="337" customWidth="1"/>
    <col min="16164" max="16164" width="14" style="337" customWidth="1"/>
    <col min="16165" max="16165" width="11" style="337" customWidth="1"/>
    <col min="16166" max="16166" width="10.5703125" style="337" customWidth="1"/>
    <col min="16167" max="16167" width="13.5703125" style="337" customWidth="1"/>
    <col min="16168" max="16168" width="10.5703125" style="337" customWidth="1"/>
    <col min="16169" max="16169" width="13.140625" style="337" customWidth="1"/>
    <col min="16170" max="16170" width="15.5703125" style="337" customWidth="1"/>
    <col min="16171" max="16171" width="14.5703125" style="337" customWidth="1"/>
    <col min="16172" max="16172" width="9" style="337" customWidth="1"/>
    <col min="16173" max="16173" width="17.7109375" style="337" customWidth="1"/>
    <col min="16174" max="16384" width="9.140625" style="337"/>
  </cols>
  <sheetData>
    <row r="1" spans="1:45" ht="28.5" customHeight="1" x14ac:dyDescent="0.2">
      <c r="A1" s="661" t="s">
        <v>596</v>
      </c>
      <c r="B1" s="661" t="s">
        <v>15</v>
      </c>
      <c r="C1" s="336" t="s">
        <v>598</v>
      </c>
      <c r="D1" s="661" t="s">
        <v>542</v>
      </c>
      <c r="E1" s="663" t="s">
        <v>656</v>
      </c>
      <c r="F1" s="664"/>
      <c r="G1" s="663" t="s">
        <v>657</v>
      </c>
      <c r="H1" s="664"/>
      <c r="I1" s="663" t="s">
        <v>658</v>
      </c>
      <c r="J1" s="664"/>
      <c r="K1" s="663" t="s">
        <v>543</v>
      </c>
      <c r="L1" s="664"/>
      <c r="M1" s="667" t="s">
        <v>661</v>
      </c>
      <c r="N1" s="668"/>
      <c r="O1" s="668"/>
      <c r="P1" s="668"/>
      <c r="Q1" s="668"/>
      <c r="R1" s="668"/>
      <c r="S1" s="668"/>
      <c r="T1" s="668"/>
      <c r="U1" s="668"/>
      <c r="V1" s="669"/>
      <c r="W1" s="661" t="s">
        <v>596</v>
      </c>
      <c r="X1" s="661" t="s">
        <v>15</v>
      </c>
      <c r="Y1" s="663" t="s">
        <v>665</v>
      </c>
      <c r="Z1" s="664"/>
      <c r="AA1" s="663" t="s">
        <v>666</v>
      </c>
      <c r="AB1" s="664"/>
      <c r="AC1" s="663" t="s">
        <v>667</v>
      </c>
      <c r="AD1" s="673"/>
      <c r="AE1" s="673"/>
      <c r="AF1" s="673"/>
      <c r="AG1" s="673"/>
      <c r="AH1" s="673"/>
      <c r="AI1" s="673"/>
      <c r="AJ1" s="664"/>
      <c r="AK1" s="672" t="s">
        <v>595</v>
      </c>
      <c r="AL1" s="672"/>
      <c r="AM1" s="672"/>
      <c r="AN1" s="672"/>
      <c r="AO1" s="672"/>
      <c r="AP1" s="672"/>
      <c r="AQ1" s="592"/>
      <c r="AR1" s="657" t="s">
        <v>425</v>
      </c>
      <c r="AS1" s="658"/>
    </row>
    <row r="2" spans="1:45" ht="44.25" customHeight="1" x14ac:dyDescent="0.2">
      <c r="A2" s="661"/>
      <c r="B2" s="661"/>
      <c r="C2" s="661" t="s">
        <v>597</v>
      </c>
      <c r="D2" s="661"/>
      <c r="E2" s="665"/>
      <c r="F2" s="666"/>
      <c r="G2" s="665"/>
      <c r="H2" s="666"/>
      <c r="I2" s="665"/>
      <c r="J2" s="666"/>
      <c r="K2" s="665"/>
      <c r="L2" s="666"/>
      <c r="M2" s="665" t="s">
        <v>659</v>
      </c>
      <c r="N2" s="666"/>
      <c r="O2" s="667" t="s">
        <v>660</v>
      </c>
      <c r="P2" s="669"/>
      <c r="Q2" s="667" t="s">
        <v>662</v>
      </c>
      <c r="R2" s="669"/>
      <c r="S2" s="667" t="s">
        <v>663</v>
      </c>
      <c r="T2" s="669"/>
      <c r="U2" s="468"/>
      <c r="V2" s="468" t="s">
        <v>664</v>
      </c>
      <c r="W2" s="661"/>
      <c r="X2" s="661"/>
      <c r="Y2" s="665"/>
      <c r="Z2" s="666"/>
      <c r="AA2" s="665"/>
      <c r="AB2" s="666"/>
      <c r="AC2" s="665" t="s">
        <v>668</v>
      </c>
      <c r="AD2" s="666"/>
      <c r="AE2" s="667" t="s">
        <v>669</v>
      </c>
      <c r="AF2" s="669"/>
      <c r="AG2" s="667" t="s">
        <v>670</v>
      </c>
      <c r="AH2" s="669"/>
      <c r="AI2" s="667" t="s">
        <v>671</v>
      </c>
      <c r="AJ2" s="669"/>
      <c r="AK2" s="674" t="s">
        <v>672</v>
      </c>
      <c r="AL2" s="675"/>
      <c r="AM2" s="674" t="s">
        <v>776</v>
      </c>
      <c r="AN2" s="675"/>
      <c r="AO2" s="674" t="s">
        <v>614</v>
      </c>
      <c r="AP2" s="675"/>
      <c r="AQ2" s="450"/>
      <c r="AR2" s="659"/>
      <c r="AS2" s="660"/>
    </row>
    <row r="3" spans="1:45" ht="25.5" x14ac:dyDescent="0.2">
      <c r="A3" s="661"/>
      <c r="B3" s="661"/>
      <c r="C3" s="661"/>
      <c r="D3" s="336"/>
      <c r="E3" s="426" t="s">
        <v>697</v>
      </c>
      <c r="F3" s="426" t="s">
        <v>927</v>
      </c>
      <c r="G3" s="426" t="s">
        <v>697</v>
      </c>
      <c r="H3" s="426" t="s">
        <v>927</v>
      </c>
      <c r="I3" s="426" t="s">
        <v>697</v>
      </c>
      <c r="J3" s="426" t="s">
        <v>927</v>
      </c>
      <c r="K3" s="426" t="s">
        <v>697</v>
      </c>
      <c r="L3" s="426" t="s">
        <v>927</v>
      </c>
      <c r="M3" s="426" t="s">
        <v>697</v>
      </c>
      <c r="N3" s="426" t="s">
        <v>927</v>
      </c>
      <c r="O3" s="426" t="s">
        <v>697</v>
      </c>
      <c r="P3" s="426" t="s">
        <v>927</v>
      </c>
      <c r="Q3" s="426" t="s">
        <v>697</v>
      </c>
      <c r="R3" s="426" t="s">
        <v>927</v>
      </c>
      <c r="S3" s="426" t="s">
        <v>697</v>
      </c>
      <c r="T3" s="426" t="s">
        <v>927</v>
      </c>
      <c r="U3" s="426" t="s">
        <v>697</v>
      </c>
      <c r="V3" s="426" t="s">
        <v>927</v>
      </c>
      <c r="W3" s="661"/>
      <c r="X3" s="661"/>
      <c r="Y3" s="426" t="s">
        <v>697</v>
      </c>
      <c r="Z3" s="426" t="s">
        <v>927</v>
      </c>
      <c r="AA3" s="426" t="s">
        <v>697</v>
      </c>
      <c r="AB3" s="426" t="s">
        <v>927</v>
      </c>
      <c r="AC3" s="426" t="s">
        <v>697</v>
      </c>
      <c r="AD3" s="426" t="s">
        <v>927</v>
      </c>
      <c r="AE3" s="426" t="s">
        <v>697</v>
      </c>
      <c r="AF3" s="426" t="s">
        <v>927</v>
      </c>
      <c r="AG3" s="426" t="s">
        <v>697</v>
      </c>
      <c r="AH3" s="426" t="s">
        <v>927</v>
      </c>
      <c r="AI3" s="426" t="s">
        <v>697</v>
      </c>
      <c r="AJ3" s="426" t="s">
        <v>927</v>
      </c>
      <c r="AK3" s="426" t="s">
        <v>697</v>
      </c>
      <c r="AL3" s="426" t="s">
        <v>927</v>
      </c>
      <c r="AM3" s="426" t="s">
        <v>697</v>
      </c>
      <c r="AN3" s="426" t="s">
        <v>927</v>
      </c>
      <c r="AO3" s="426" t="s">
        <v>697</v>
      </c>
      <c r="AP3" s="426" t="s">
        <v>927</v>
      </c>
      <c r="AQ3" s="426" t="s">
        <v>697</v>
      </c>
      <c r="AR3" s="426" t="s">
        <v>927</v>
      </c>
      <c r="AS3" s="426" t="s">
        <v>697</v>
      </c>
    </row>
    <row r="4" spans="1:45" ht="15.75" x14ac:dyDescent="0.2">
      <c r="A4" s="338"/>
      <c r="B4" s="339" t="s">
        <v>544</v>
      </c>
      <c r="C4" s="339"/>
      <c r="D4" s="340"/>
      <c r="E4" s="341"/>
      <c r="F4" s="341"/>
      <c r="G4" s="341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38"/>
      <c r="X4" s="339" t="s">
        <v>544</v>
      </c>
      <c r="Y4" s="339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4"/>
    </row>
    <row r="5" spans="1:45" ht="15.75" x14ac:dyDescent="0.2">
      <c r="A5" s="345" t="s">
        <v>428</v>
      </c>
      <c r="B5" s="345" t="s">
        <v>429</v>
      </c>
      <c r="C5" s="345"/>
      <c r="D5" s="344"/>
      <c r="E5" s="346"/>
      <c r="F5" s="346"/>
      <c r="G5" s="346"/>
      <c r="H5" s="343"/>
      <c r="I5" s="343"/>
      <c r="J5" s="343"/>
      <c r="K5" s="343"/>
      <c r="L5" s="343"/>
      <c r="M5" s="343"/>
      <c r="N5" s="343"/>
      <c r="O5" s="343"/>
      <c r="P5" s="346"/>
      <c r="Q5" s="346"/>
      <c r="R5" s="343"/>
      <c r="S5" s="343"/>
      <c r="T5" s="346"/>
      <c r="U5" s="346"/>
      <c r="V5" s="343"/>
      <c r="W5" s="345" t="s">
        <v>428</v>
      </c>
      <c r="X5" s="345" t="s">
        <v>429</v>
      </c>
      <c r="Y5" s="351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51"/>
    </row>
    <row r="6" spans="1:45" ht="15.75" x14ac:dyDescent="0.2">
      <c r="A6" s="347" t="s">
        <v>430</v>
      </c>
      <c r="B6" s="348" t="s">
        <v>431</v>
      </c>
      <c r="C6" s="348" t="s">
        <v>194</v>
      </c>
      <c r="D6" s="349">
        <v>5</v>
      </c>
      <c r="E6" s="350">
        <v>35597754</v>
      </c>
      <c r="F6" s="350">
        <v>36830647</v>
      </c>
      <c r="G6" s="350">
        <v>7641903</v>
      </c>
      <c r="H6" s="350">
        <f>7641903+269363</f>
        <v>7911266</v>
      </c>
      <c r="I6" s="350">
        <v>30379550</v>
      </c>
      <c r="J6" s="350">
        <f>30379550-360000</f>
        <v>30019550</v>
      </c>
      <c r="K6" s="350"/>
      <c r="L6" s="350"/>
      <c r="M6" s="350"/>
      <c r="N6" s="350"/>
      <c r="O6" s="346">
        <v>150000</v>
      </c>
      <c r="P6" s="346">
        <v>150000</v>
      </c>
      <c r="Q6" s="346"/>
      <c r="R6" s="350"/>
      <c r="S6" s="350">
        <v>3000000</v>
      </c>
      <c r="T6" s="350">
        <f>'4.a.számú melléklet'!D23</f>
        <v>3000000</v>
      </c>
      <c r="U6" s="350">
        <v>255712508</v>
      </c>
      <c r="V6" s="350">
        <v>198860920</v>
      </c>
      <c r="W6" s="347" t="s">
        <v>430</v>
      </c>
      <c r="X6" s="348" t="s">
        <v>431</v>
      </c>
      <c r="Y6" s="350"/>
      <c r="Z6" s="350">
        <v>360000</v>
      </c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1">
        <f>SUM(E6+G6+I6+K6+M6+O6+Q6+S6+U6+Y6+AA6+AC6+AE6+AG6+AI6+AK6+AO6+AM6)</f>
        <v>332481715</v>
      </c>
      <c r="AS6" s="351">
        <f>SUM(F6+H6+J6+L6+N6+P6+R6+T6+V6+Z6+AB6+AD6+AF6+AH6+AJ6+AL6+AP6+AN6)</f>
        <v>277132383</v>
      </c>
    </row>
    <row r="7" spans="1:45" ht="15.75" x14ac:dyDescent="0.2">
      <c r="A7" s="347" t="s">
        <v>546</v>
      </c>
      <c r="B7" s="352" t="s">
        <v>547</v>
      </c>
      <c r="C7" s="352" t="s">
        <v>194</v>
      </c>
      <c r="D7" s="343"/>
      <c r="E7" s="350"/>
      <c r="F7" s="350"/>
      <c r="G7" s="350"/>
      <c r="H7" s="350"/>
      <c r="I7" s="350">
        <v>420000</v>
      </c>
      <c r="J7" s="350">
        <v>420000</v>
      </c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47" t="s">
        <v>546</v>
      </c>
      <c r="X7" s="352" t="s">
        <v>547</v>
      </c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1">
        <f t="shared" ref="AR7:AS70" si="0">SUM(E7+G7+I7+K7+M7+O7+Q7+S7+U7+Y7+AA7+AC7+AE7+AG7+AI7+AK7+AO7+AM7)</f>
        <v>420000</v>
      </c>
      <c r="AS7" s="351">
        <f t="shared" si="0"/>
        <v>420000</v>
      </c>
    </row>
    <row r="8" spans="1:45" ht="15.75" x14ac:dyDescent="0.2">
      <c r="A8" s="347" t="s">
        <v>432</v>
      </c>
      <c r="B8" s="353" t="s">
        <v>548</v>
      </c>
      <c r="C8" s="352" t="s">
        <v>194</v>
      </c>
      <c r="D8" s="343"/>
      <c r="E8" s="350"/>
      <c r="F8" s="350"/>
      <c r="G8" s="350"/>
      <c r="H8" s="350"/>
      <c r="I8" s="350">
        <v>6515000</v>
      </c>
      <c r="J8" s="350">
        <v>6515000</v>
      </c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47" t="s">
        <v>432</v>
      </c>
      <c r="X8" s="353" t="s">
        <v>548</v>
      </c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1">
        <f t="shared" si="0"/>
        <v>6515000</v>
      </c>
      <c r="AS8" s="351">
        <f t="shared" si="0"/>
        <v>6515000</v>
      </c>
    </row>
    <row r="9" spans="1:45" ht="15.75" x14ac:dyDescent="0.2">
      <c r="A9" s="347" t="s">
        <v>434</v>
      </c>
      <c r="B9" s="353" t="s">
        <v>599</v>
      </c>
      <c r="C9" s="352" t="s">
        <v>194</v>
      </c>
      <c r="D9" s="343"/>
      <c r="E9" s="350"/>
      <c r="F9" s="350"/>
      <c r="G9" s="350"/>
      <c r="H9" s="350"/>
      <c r="I9" s="388">
        <v>27767207</v>
      </c>
      <c r="J9" s="388">
        <f>27767207+5000000</f>
        <v>32767207</v>
      </c>
      <c r="K9" s="388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47" t="s">
        <v>434</v>
      </c>
      <c r="X9" s="353" t="s">
        <v>599</v>
      </c>
      <c r="Y9" s="350">
        <v>354165670</v>
      </c>
      <c r="Z9" s="350">
        <f>354165670+453308+1498600</f>
        <v>356117578</v>
      </c>
      <c r="AA9" s="350">
        <v>18584750</v>
      </c>
      <c r="AB9" s="350">
        <f>'5.számú melléklet '!C62+'5.számú melléklet '!C63+'5.számú melléklet '!C64+'5.számú melléklet '!C66</f>
        <v>18584750</v>
      </c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1">
        <f t="shared" si="0"/>
        <v>400517627</v>
      </c>
      <c r="AS9" s="351">
        <f t="shared" si="0"/>
        <v>407469535</v>
      </c>
    </row>
    <row r="10" spans="1:45" ht="15.75" x14ac:dyDescent="0.2">
      <c r="A10" s="347" t="s">
        <v>436</v>
      </c>
      <c r="B10" s="353" t="s">
        <v>549</v>
      </c>
      <c r="C10" s="352" t="s">
        <v>194</v>
      </c>
      <c r="D10" s="343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47" t="s">
        <v>436</v>
      </c>
      <c r="X10" s="353" t="s">
        <v>549</v>
      </c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>
        <v>14048925</v>
      </c>
      <c r="AP10" s="354">
        <v>14048925</v>
      </c>
      <c r="AQ10" s="354"/>
      <c r="AR10" s="351">
        <f t="shared" si="0"/>
        <v>14048925</v>
      </c>
      <c r="AS10" s="351">
        <f t="shared" si="0"/>
        <v>14048925</v>
      </c>
    </row>
    <row r="11" spans="1:45" ht="15.75" x14ac:dyDescent="0.2">
      <c r="A11" s="355" t="s">
        <v>438</v>
      </c>
      <c r="B11" s="356" t="s">
        <v>439</v>
      </c>
      <c r="C11" s="356" t="s">
        <v>194</v>
      </c>
      <c r="D11" s="357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0">
        <v>27482000</v>
      </c>
      <c r="P11" s="350">
        <f>27482000+123586+544631+1426639</f>
        <v>29576856</v>
      </c>
      <c r="Q11" s="350"/>
      <c r="R11" s="354"/>
      <c r="S11" s="354"/>
      <c r="T11" s="354"/>
      <c r="U11" s="354"/>
      <c r="V11" s="354"/>
      <c r="W11" s="355" t="s">
        <v>438</v>
      </c>
      <c r="X11" s="356" t="s">
        <v>439</v>
      </c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1">
        <f t="shared" si="0"/>
        <v>27482000</v>
      </c>
      <c r="AS11" s="351">
        <f t="shared" si="0"/>
        <v>29576856</v>
      </c>
    </row>
    <row r="12" spans="1:45" ht="27" customHeight="1" x14ac:dyDescent="0.2">
      <c r="A12" s="358"/>
      <c r="B12" s="359" t="s">
        <v>440</v>
      </c>
      <c r="C12" s="359"/>
      <c r="D12" s="360">
        <f t="shared" ref="D12:V12" si="1">SUM(D6:D11)</f>
        <v>5</v>
      </c>
      <c r="E12" s="361">
        <f t="shared" ref="E12" si="2">SUM(E6:E11)</f>
        <v>35597754</v>
      </c>
      <c r="F12" s="361">
        <f t="shared" si="1"/>
        <v>36830647</v>
      </c>
      <c r="G12" s="361">
        <f t="shared" ref="G12" si="3">SUM(G6:G11)</f>
        <v>7641903</v>
      </c>
      <c r="H12" s="361">
        <f t="shared" si="1"/>
        <v>7911266</v>
      </c>
      <c r="I12" s="361">
        <f t="shared" ref="I12" si="4">SUM(I6:I11)</f>
        <v>65081757</v>
      </c>
      <c r="J12" s="361">
        <f t="shared" si="1"/>
        <v>69721757</v>
      </c>
      <c r="K12" s="361">
        <f t="shared" si="1"/>
        <v>0</v>
      </c>
      <c r="L12" s="361">
        <f t="shared" si="1"/>
        <v>0</v>
      </c>
      <c r="M12" s="361">
        <f t="shared" si="1"/>
        <v>0</v>
      </c>
      <c r="N12" s="361">
        <f t="shared" si="1"/>
        <v>0</v>
      </c>
      <c r="O12" s="361">
        <f t="shared" ref="O12" si="5">SUM(O6:O11)</f>
        <v>27632000</v>
      </c>
      <c r="P12" s="361">
        <f t="shared" si="1"/>
        <v>29726856</v>
      </c>
      <c r="Q12" s="361">
        <f t="shared" si="1"/>
        <v>0</v>
      </c>
      <c r="R12" s="361">
        <f t="shared" si="1"/>
        <v>0</v>
      </c>
      <c r="S12" s="361">
        <f t="shared" si="1"/>
        <v>3000000</v>
      </c>
      <c r="T12" s="361">
        <f t="shared" si="1"/>
        <v>3000000</v>
      </c>
      <c r="U12" s="361">
        <f t="shared" si="1"/>
        <v>255712508</v>
      </c>
      <c r="V12" s="361">
        <f t="shared" si="1"/>
        <v>198860920</v>
      </c>
      <c r="W12" s="358"/>
      <c r="X12" s="359" t="s">
        <v>440</v>
      </c>
      <c r="Y12" s="361">
        <f t="shared" ref="Y12" si="6">SUM(Y6:Y11)</f>
        <v>354165670</v>
      </c>
      <c r="Z12" s="361">
        <f t="shared" ref="Z12:AP12" si="7">SUM(Z6:Z11)</f>
        <v>356477578</v>
      </c>
      <c r="AA12" s="361">
        <f t="shared" ref="AA12" si="8">SUM(AA6:AA11)</f>
        <v>18584750</v>
      </c>
      <c r="AB12" s="361">
        <f t="shared" si="7"/>
        <v>18584750</v>
      </c>
      <c r="AC12" s="361">
        <f t="shared" ref="AC12" si="9">SUM(AC6:AC11)</f>
        <v>0</v>
      </c>
      <c r="AD12" s="361">
        <f t="shared" si="7"/>
        <v>0</v>
      </c>
      <c r="AE12" s="361">
        <f t="shared" ref="AE12" si="10">SUM(AE6:AE11)</f>
        <v>0</v>
      </c>
      <c r="AF12" s="361">
        <f t="shared" si="7"/>
        <v>0</v>
      </c>
      <c r="AG12" s="361">
        <f t="shared" ref="AG12" si="11">SUM(AG6:AG11)</f>
        <v>0</v>
      </c>
      <c r="AH12" s="361">
        <f t="shared" si="7"/>
        <v>0</v>
      </c>
      <c r="AI12" s="361">
        <f t="shared" ref="AI12" si="12">SUM(AI6:AI11)</f>
        <v>0</v>
      </c>
      <c r="AJ12" s="361">
        <f t="shared" si="7"/>
        <v>0</v>
      </c>
      <c r="AK12" s="361">
        <f t="shared" ref="AK12" si="13">SUM(AK6:AK11)</f>
        <v>0</v>
      </c>
      <c r="AL12" s="361">
        <f t="shared" si="7"/>
        <v>0</v>
      </c>
      <c r="AM12" s="361">
        <f t="shared" ref="AM12" si="14">SUM(AM6:AM11)</f>
        <v>0</v>
      </c>
      <c r="AN12" s="361">
        <f t="shared" ref="AN12" si="15">SUM(AN6:AN11)</f>
        <v>0</v>
      </c>
      <c r="AO12" s="361">
        <f t="shared" ref="AO12" si="16">SUM(AO6:AO11)</f>
        <v>14048925</v>
      </c>
      <c r="AP12" s="361">
        <f t="shared" si="7"/>
        <v>14048925</v>
      </c>
      <c r="AQ12" s="361">
        <f t="shared" ref="AQ12" si="17">SUM(AQ6:AQ11)</f>
        <v>0</v>
      </c>
      <c r="AR12" s="361">
        <f t="shared" si="0"/>
        <v>781465267</v>
      </c>
      <c r="AS12" s="361">
        <f t="shared" si="0"/>
        <v>735162699</v>
      </c>
    </row>
    <row r="13" spans="1:45" ht="15.75" x14ac:dyDescent="0.2">
      <c r="A13" s="345" t="s">
        <v>441</v>
      </c>
      <c r="B13" s="362" t="s">
        <v>442</v>
      </c>
      <c r="C13" s="362"/>
      <c r="D13" s="363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45" t="s">
        <v>441</v>
      </c>
      <c r="X13" s="362" t="s">
        <v>442</v>
      </c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1">
        <f t="shared" si="0"/>
        <v>0</v>
      </c>
      <c r="AS13" s="351">
        <f t="shared" si="0"/>
        <v>0</v>
      </c>
    </row>
    <row r="14" spans="1:45" ht="15.75" x14ac:dyDescent="0.2">
      <c r="A14" s="355" t="s">
        <v>550</v>
      </c>
      <c r="B14" s="364" t="s">
        <v>551</v>
      </c>
      <c r="C14" s="364" t="s">
        <v>194</v>
      </c>
      <c r="D14" s="365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5" t="s">
        <v>550</v>
      </c>
      <c r="X14" s="364" t="s">
        <v>551</v>
      </c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1">
        <f t="shared" si="0"/>
        <v>0</v>
      </c>
      <c r="AS14" s="351">
        <f t="shared" si="0"/>
        <v>0</v>
      </c>
    </row>
    <row r="15" spans="1:45" ht="15.75" x14ac:dyDescent="0.2">
      <c r="A15" s="355" t="s">
        <v>443</v>
      </c>
      <c r="B15" s="364" t="s">
        <v>444</v>
      </c>
      <c r="C15" s="352" t="s">
        <v>194</v>
      </c>
      <c r="D15" s="343">
        <v>38</v>
      </c>
      <c r="E15" s="350">
        <v>9294420</v>
      </c>
      <c r="F15" s="350">
        <f>9294420-914800</f>
        <v>8379620</v>
      </c>
      <c r="G15" s="350">
        <v>1812420</v>
      </c>
      <c r="H15" s="350">
        <v>1812420</v>
      </c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5" t="s">
        <v>443</v>
      </c>
      <c r="X15" s="364" t="s">
        <v>444</v>
      </c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1">
        <f t="shared" si="0"/>
        <v>11106840</v>
      </c>
      <c r="AS15" s="351">
        <f t="shared" si="0"/>
        <v>10192040</v>
      </c>
    </row>
    <row r="16" spans="1:45" ht="30" customHeight="1" x14ac:dyDescent="0.2">
      <c r="A16" s="347" t="s">
        <v>445</v>
      </c>
      <c r="B16" s="352" t="s">
        <v>552</v>
      </c>
      <c r="C16" s="352" t="s">
        <v>194</v>
      </c>
      <c r="D16" s="343"/>
      <c r="E16" s="350"/>
      <c r="F16" s="350"/>
      <c r="G16" s="350"/>
      <c r="H16" s="350"/>
      <c r="I16" s="350">
        <v>31495957</v>
      </c>
      <c r="J16" s="350">
        <f>31495957+47879000+1800000</f>
        <v>81174957</v>
      </c>
      <c r="K16" s="350"/>
      <c r="L16" s="350"/>
      <c r="M16" s="350"/>
      <c r="N16" s="350"/>
      <c r="O16" s="350">
        <v>12255000</v>
      </c>
      <c r="P16" s="350">
        <f>'4.a.számú melléklet'!D15</f>
        <v>12255000</v>
      </c>
      <c r="Q16" s="350"/>
      <c r="R16" s="350"/>
      <c r="S16" s="350"/>
      <c r="T16" s="350"/>
      <c r="U16" s="350"/>
      <c r="V16" s="350"/>
      <c r="W16" s="347" t="s">
        <v>445</v>
      </c>
      <c r="X16" s="352" t="s">
        <v>552</v>
      </c>
      <c r="Y16" s="350">
        <v>210746900</v>
      </c>
      <c r="Z16" s="350">
        <f>210746900-47879000+14404533+20648295-5192500+3923360</f>
        <v>196651588</v>
      </c>
      <c r="AA16" s="350">
        <v>14258926</v>
      </c>
      <c r="AB16" s="350">
        <f>'5.számú melléklet '!C65+3075915</f>
        <v>17334841</v>
      </c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1">
        <f t="shared" si="0"/>
        <v>268756783</v>
      </c>
      <c r="AS16" s="351">
        <f t="shared" si="0"/>
        <v>307416386</v>
      </c>
    </row>
    <row r="17" spans="1:45" ht="19.5" customHeight="1" x14ac:dyDescent="0.2">
      <c r="A17" s="347" t="s">
        <v>447</v>
      </c>
      <c r="B17" s="352" t="s">
        <v>448</v>
      </c>
      <c r="C17" s="352" t="s">
        <v>194</v>
      </c>
      <c r="D17" s="343"/>
      <c r="E17" s="350"/>
      <c r="F17" s="350"/>
      <c r="G17" s="350"/>
      <c r="H17" s="350"/>
      <c r="I17" s="350">
        <v>400000</v>
      </c>
      <c r="J17" s="350">
        <v>400000</v>
      </c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47" t="s">
        <v>447</v>
      </c>
      <c r="X17" s="352" t="s">
        <v>448</v>
      </c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1">
        <f t="shared" si="0"/>
        <v>400000</v>
      </c>
      <c r="AS17" s="351">
        <f t="shared" si="0"/>
        <v>400000</v>
      </c>
    </row>
    <row r="18" spans="1:45" ht="27" customHeight="1" x14ac:dyDescent="0.2">
      <c r="A18" s="358"/>
      <c r="B18" s="366" t="s">
        <v>449</v>
      </c>
      <c r="C18" s="366"/>
      <c r="D18" s="360">
        <f t="shared" ref="D18:V18" si="18">SUM(D14:D17)</f>
        <v>38</v>
      </c>
      <c r="E18" s="361">
        <f t="shared" ref="E18" si="19">SUM(E14:E17)</f>
        <v>9294420</v>
      </c>
      <c r="F18" s="361">
        <f t="shared" si="18"/>
        <v>8379620</v>
      </c>
      <c r="G18" s="361">
        <f t="shared" ref="G18" si="20">SUM(G14:G17)</f>
        <v>1812420</v>
      </c>
      <c r="H18" s="361">
        <f t="shared" si="18"/>
        <v>1812420</v>
      </c>
      <c r="I18" s="361">
        <f t="shared" ref="I18" si="21">SUM(I14:I17)</f>
        <v>31895957</v>
      </c>
      <c r="J18" s="361">
        <f t="shared" si="18"/>
        <v>81574957</v>
      </c>
      <c r="K18" s="361">
        <f t="shared" si="18"/>
        <v>0</v>
      </c>
      <c r="L18" s="361">
        <f t="shared" si="18"/>
        <v>0</v>
      </c>
      <c r="M18" s="361">
        <f t="shared" si="18"/>
        <v>0</v>
      </c>
      <c r="N18" s="361">
        <f t="shared" si="18"/>
        <v>0</v>
      </c>
      <c r="O18" s="361">
        <f t="shared" ref="O18" si="22">SUM(O14:O17)</f>
        <v>12255000</v>
      </c>
      <c r="P18" s="361">
        <f t="shared" si="18"/>
        <v>12255000</v>
      </c>
      <c r="Q18" s="361">
        <f t="shared" si="18"/>
        <v>0</v>
      </c>
      <c r="R18" s="361">
        <f t="shared" si="18"/>
        <v>0</v>
      </c>
      <c r="S18" s="361">
        <f t="shared" si="18"/>
        <v>0</v>
      </c>
      <c r="T18" s="361">
        <f t="shared" si="18"/>
        <v>0</v>
      </c>
      <c r="U18" s="361">
        <f t="shared" si="18"/>
        <v>0</v>
      </c>
      <c r="V18" s="361">
        <f t="shared" si="18"/>
        <v>0</v>
      </c>
      <c r="W18" s="358"/>
      <c r="X18" s="366" t="s">
        <v>449</v>
      </c>
      <c r="Y18" s="361">
        <f t="shared" ref="Y18" si="23">SUM(Y14:Y17)</f>
        <v>210746900</v>
      </c>
      <c r="Z18" s="361">
        <f t="shared" ref="Z18:AP18" si="24">SUM(Z14:Z17)</f>
        <v>196651588</v>
      </c>
      <c r="AA18" s="361">
        <f t="shared" ref="AA18" si="25">SUM(AA14:AA17)</f>
        <v>14258926</v>
      </c>
      <c r="AB18" s="361">
        <f t="shared" si="24"/>
        <v>17334841</v>
      </c>
      <c r="AC18" s="361">
        <f t="shared" ref="AC18" si="26">SUM(AC14:AC17)</f>
        <v>0</v>
      </c>
      <c r="AD18" s="361">
        <f t="shared" si="24"/>
        <v>0</v>
      </c>
      <c r="AE18" s="361">
        <f t="shared" ref="AE18" si="27">SUM(AE14:AE17)</f>
        <v>0</v>
      </c>
      <c r="AF18" s="361">
        <f t="shared" si="24"/>
        <v>0</v>
      </c>
      <c r="AG18" s="361">
        <f t="shared" ref="AG18" si="28">SUM(AG14:AG17)</f>
        <v>0</v>
      </c>
      <c r="AH18" s="361">
        <f t="shared" si="24"/>
        <v>0</v>
      </c>
      <c r="AI18" s="361">
        <f t="shared" ref="AI18" si="29">SUM(AI14:AI17)</f>
        <v>0</v>
      </c>
      <c r="AJ18" s="361">
        <f t="shared" si="24"/>
        <v>0</v>
      </c>
      <c r="AK18" s="361">
        <f t="shared" ref="AK18" si="30">SUM(AK14:AK17)</f>
        <v>0</v>
      </c>
      <c r="AL18" s="361">
        <f t="shared" si="24"/>
        <v>0</v>
      </c>
      <c r="AM18" s="361">
        <f t="shared" ref="AM18" si="31">SUM(AM14:AM17)</f>
        <v>0</v>
      </c>
      <c r="AN18" s="361">
        <f t="shared" si="24"/>
        <v>0</v>
      </c>
      <c r="AO18" s="361">
        <f t="shared" ref="AO18" si="32">SUM(AO14:AO17)</f>
        <v>0</v>
      </c>
      <c r="AP18" s="361">
        <f t="shared" si="24"/>
        <v>0</v>
      </c>
      <c r="AQ18" s="361">
        <f t="shared" ref="AQ18" si="33">SUM(AQ14:AQ17)</f>
        <v>0</v>
      </c>
      <c r="AR18" s="361">
        <f t="shared" si="0"/>
        <v>280263623</v>
      </c>
      <c r="AS18" s="361">
        <f t="shared" si="0"/>
        <v>318008426</v>
      </c>
    </row>
    <row r="19" spans="1:45" ht="15.75" x14ac:dyDescent="0.2">
      <c r="A19" s="367" t="s">
        <v>450</v>
      </c>
      <c r="B19" s="345" t="s">
        <v>451</v>
      </c>
      <c r="C19" s="345"/>
      <c r="D19" s="344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67" t="s">
        <v>450</v>
      </c>
      <c r="X19" s="345" t="s">
        <v>451</v>
      </c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1">
        <f t="shared" si="0"/>
        <v>0</v>
      </c>
      <c r="AS19" s="351">
        <f t="shared" si="0"/>
        <v>0</v>
      </c>
    </row>
    <row r="20" spans="1:45" ht="15.75" x14ac:dyDescent="0.2">
      <c r="A20" s="347" t="s">
        <v>452</v>
      </c>
      <c r="B20" s="352" t="s">
        <v>453</v>
      </c>
      <c r="C20" s="352" t="s">
        <v>194</v>
      </c>
      <c r="D20" s="343"/>
      <c r="E20" s="351"/>
      <c r="F20" s="351"/>
      <c r="G20" s="351"/>
      <c r="H20" s="351"/>
      <c r="I20" s="350">
        <v>63346000</v>
      </c>
      <c r="J20" s="350">
        <v>63346000</v>
      </c>
      <c r="K20" s="350"/>
      <c r="L20" s="350"/>
      <c r="M20" s="350"/>
      <c r="N20" s="350"/>
      <c r="O20" s="351"/>
      <c r="P20" s="351"/>
      <c r="Q20" s="350"/>
      <c r="R20" s="351"/>
      <c r="S20" s="350"/>
      <c r="T20" s="351"/>
      <c r="U20" s="350"/>
      <c r="V20" s="351"/>
      <c r="W20" s="347" t="s">
        <v>452</v>
      </c>
      <c r="X20" s="352" t="s">
        <v>453</v>
      </c>
      <c r="Y20" s="350">
        <v>700000</v>
      </c>
      <c r="Z20" s="350">
        <f>'5.számú melléklet '!C11</f>
        <v>700000</v>
      </c>
      <c r="AA20" s="351"/>
      <c r="AB20" s="351"/>
      <c r="AC20" s="350"/>
      <c r="AD20" s="351"/>
      <c r="AE20" s="350"/>
      <c r="AF20" s="351"/>
      <c r="AG20" s="350"/>
      <c r="AH20" s="351"/>
      <c r="AI20" s="350"/>
      <c r="AJ20" s="351"/>
      <c r="AK20" s="350"/>
      <c r="AL20" s="351"/>
      <c r="AM20" s="350"/>
      <c r="AN20" s="351"/>
      <c r="AO20" s="350"/>
      <c r="AP20" s="351"/>
      <c r="AQ20" s="350"/>
      <c r="AR20" s="351">
        <f t="shared" si="0"/>
        <v>64046000</v>
      </c>
      <c r="AS20" s="351">
        <f t="shared" si="0"/>
        <v>64046000</v>
      </c>
    </row>
    <row r="21" spans="1:45" ht="15.75" customHeight="1" x14ac:dyDescent="0.2">
      <c r="A21" s="355" t="s">
        <v>454</v>
      </c>
      <c r="B21" s="364" t="s">
        <v>455</v>
      </c>
      <c r="C21" s="364" t="s">
        <v>194</v>
      </c>
      <c r="D21" s="365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5" t="s">
        <v>454</v>
      </c>
      <c r="X21" s="364" t="s">
        <v>455</v>
      </c>
      <c r="Y21" s="354">
        <v>5898630</v>
      </c>
      <c r="Z21" s="354">
        <f>'5.számú melléklet '!C25</f>
        <v>5898630</v>
      </c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  <c r="AL21" s="354"/>
      <c r="AM21" s="354"/>
      <c r="AN21" s="354"/>
      <c r="AO21" s="354"/>
      <c r="AP21" s="354"/>
      <c r="AQ21" s="354"/>
      <c r="AR21" s="351">
        <f t="shared" si="0"/>
        <v>5898630</v>
      </c>
      <c r="AS21" s="351">
        <f t="shared" si="0"/>
        <v>5898630</v>
      </c>
    </row>
    <row r="22" spans="1:45" ht="23.25" customHeight="1" x14ac:dyDescent="0.2">
      <c r="A22" s="358"/>
      <c r="B22" s="366" t="s">
        <v>456</v>
      </c>
      <c r="C22" s="366"/>
      <c r="D22" s="368"/>
      <c r="E22" s="361">
        <f t="shared" ref="E22" si="34">SUM(E20:E21)</f>
        <v>0</v>
      </c>
      <c r="F22" s="361">
        <f t="shared" ref="F22:V22" si="35">SUM(F20:F21)</f>
        <v>0</v>
      </c>
      <c r="G22" s="361">
        <f t="shared" ref="G22" si="36">SUM(G20:G21)</f>
        <v>0</v>
      </c>
      <c r="H22" s="361">
        <f t="shared" si="35"/>
        <v>0</v>
      </c>
      <c r="I22" s="361">
        <f t="shared" ref="I22" si="37">SUM(I20:I21)</f>
        <v>63346000</v>
      </c>
      <c r="J22" s="361">
        <f t="shared" si="35"/>
        <v>63346000</v>
      </c>
      <c r="K22" s="361">
        <f t="shared" si="35"/>
        <v>0</v>
      </c>
      <c r="L22" s="361">
        <f t="shared" si="35"/>
        <v>0</v>
      </c>
      <c r="M22" s="361">
        <f t="shared" si="35"/>
        <v>0</v>
      </c>
      <c r="N22" s="361">
        <f t="shared" si="35"/>
        <v>0</v>
      </c>
      <c r="O22" s="361">
        <f t="shared" ref="O22" si="38">SUM(O20:O21)</f>
        <v>0</v>
      </c>
      <c r="P22" s="361">
        <f t="shared" si="35"/>
        <v>0</v>
      </c>
      <c r="Q22" s="361">
        <f t="shared" si="35"/>
        <v>0</v>
      </c>
      <c r="R22" s="361">
        <f t="shared" si="35"/>
        <v>0</v>
      </c>
      <c r="S22" s="361">
        <f t="shared" si="35"/>
        <v>0</v>
      </c>
      <c r="T22" s="361">
        <f t="shared" si="35"/>
        <v>0</v>
      </c>
      <c r="U22" s="361">
        <f t="shared" si="35"/>
        <v>0</v>
      </c>
      <c r="V22" s="361">
        <f t="shared" si="35"/>
        <v>0</v>
      </c>
      <c r="W22" s="358"/>
      <c r="X22" s="366" t="s">
        <v>456</v>
      </c>
      <c r="Y22" s="361">
        <f t="shared" ref="Y22" si="39">SUM(Y20:Y21)</f>
        <v>6598630</v>
      </c>
      <c r="Z22" s="361">
        <f t="shared" ref="Z22:AQ22" si="40">SUM(Z20:Z21)</f>
        <v>6598630</v>
      </c>
      <c r="AA22" s="361">
        <f t="shared" ref="AA22" si="41">SUM(AA20:AA21)</f>
        <v>0</v>
      </c>
      <c r="AB22" s="361">
        <f t="shared" si="40"/>
        <v>0</v>
      </c>
      <c r="AC22" s="361">
        <f t="shared" si="40"/>
        <v>0</v>
      </c>
      <c r="AD22" s="361">
        <f t="shared" si="40"/>
        <v>0</v>
      </c>
      <c r="AE22" s="361">
        <f t="shared" si="40"/>
        <v>0</v>
      </c>
      <c r="AF22" s="361">
        <f t="shared" si="40"/>
        <v>0</v>
      </c>
      <c r="AG22" s="361">
        <f t="shared" si="40"/>
        <v>0</v>
      </c>
      <c r="AH22" s="361">
        <f t="shared" si="40"/>
        <v>0</v>
      </c>
      <c r="AI22" s="361">
        <f t="shared" si="40"/>
        <v>0</v>
      </c>
      <c r="AJ22" s="361">
        <f t="shared" si="40"/>
        <v>0</v>
      </c>
      <c r="AK22" s="361">
        <f t="shared" si="40"/>
        <v>0</v>
      </c>
      <c r="AL22" s="361">
        <f t="shared" si="40"/>
        <v>0</v>
      </c>
      <c r="AM22" s="361">
        <f t="shared" si="40"/>
        <v>0</v>
      </c>
      <c r="AN22" s="361">
        <f t="shared" si="40"/>
        <v>0</v>
      </c>
      <c r="AO22" s="361">
        <f t="shared" si="40"/>
        <v>0</v>
      </c>
      <c r="AP22" s="361">
        <f t="shared" si="40"/>
        <v>0</v>
      </c>
      <c r="AQ22" s="361">
        <f t="shared" si="40"/>
        <v>0</v>
      </c>
      <c r="AR22" s="361">
        <f t="shared" si="0"/>
        <v>69944630</v>
      </c>
      <c r="AS22" s="361">
        <f t="shared" si="0"/>
        <v>69944630</v>
      </c>
    </row>
    <row r="23" spans="1:45" ht="15.75" x14ac:dyDescent="0.2">
      <c r="A23" s="367" t="s">
        <v>457</v>
      </c>
      <c r="B23" s="345" t="s">
        <v>458</v>
      </c>
      <c r="C23" s="345"/>
      <c r="D23" s="344"/>
      <c r="E23" s="351"/>
      <c r="F23" s="351"/>
      <c r="G23" s="351"/>
      <c r="H23" s="351"/>
      <c r="I23" s="350"/>
      <c r="J23" s="350"/>
      <c r="K23" s="350"/>
      <c r="L23" s="350"/>
      <c r="M23" s="350"/>
      <c r="N23" s="350"/>
      <c r="O23" s="351"/>
      <c r="P23" s="351"/>
      <c r="Q23" s="350"/>
      <c r="R23" s="351"/>
      <c r="S23" s="350"/>
      <c r="T23" s="351"/>
      <c r="U23" s="350"/>
      <c r="V23" s="351"/>
      <c r="W23" s="367" t="s">
        <v>457</v>
      </c>
      <c r="X23" s="345" t="s">
        <v>458</v>
      </c>
      <c r="Y23" s="351"/>
      <c r="Z23" s="351"/>
      <c r="AA23" s="351"/>
      <c r="AB23" s="351"/>
      <c r="AC23" s="350"/>
      <c r="AD23" s="351"/>
      <c r="AE23" s="350"/>
      <c r="AF23" s="351"/>
      <c r="AG23" s="350"/>
      <c r="AH23" s="351"/>
      <c r="AI23" s="350"/>
      <c r="AJ23" s="351"/>
      <c r="AK23" s="350"/>
      <c r="AL23" s="351"/>
      <c r="AM23" s="350"/>
      <c r="AN23" s="351"/>
      <c r="AO23" s="350"/>
      <c r="AP23" s="351"/>
      <c r="AQ23" s="350"/>
      <c r="AR23" s="351">
        <f t="shared" si="0"/>
        <v>0</v>
      </c>
      <c r="AS23" s="351">
        <f t="shared" si="0"/>
        <v>0</v>
      </c>
    </row>
    <row r="24" spans="1:45" ht="15.75" x14ac:dyDescent="0.2">
      <c r="A24" s="355" t="s">
        <v>459</v>
      </c>
      <c r="B24" s="356" t="s">
        <v>460</v>
      </c>
      <c r="C24" s="356" t="s">
        <v>194</v>
      </c>
      <c r="D24" s="357"/>
      <c r="E24" s="369"/>
      <c r="F24" s="369"/>
      <c r="G24" s="369"/>
      <c r="H24" s="369"/>
      <c r="I24" s="354">
        <v>20640</v>
      </c>
      <c r="J24" s="354">
        <v>20640</v>
      </c>
      <c r="K24" s="354"/>
      <c r="L24" s="369"/>
      <c r="M24" s="354"/>
      <c r="N24" s="369"/>
      <c r="O24" s="369"/>
      <c r="P24" s="369"/>
      <c r="Q24" s="354"/>
      <c r="R24" s="369"/>
      <c r="S24" s="354"/>
      <c r="T24" s="369"/>
      <c r="U24" s="354"/>
      <c r="V24" s="369"/>
      <c r="W24" s="355" t="s">
        <v>459</v>
      </c>
      <c r="X24" s="356" t="s">
        <v>460</v>
      </c>
      <c r="Y24" s="369"/>
      <c r="Z24" s="369"/>
      <c r="AA24" s="369"/>
      <c r="AB24" s="369"/>
      <c r="AC24" s="354"/>
      <c r="AD24" s="369"/>
      <c r="AE24" s="354">
        <v>1000000</v>
      </c>
      <c r="AF24" s="354">
        <f>'4.a.számú melléklet'!D92</f>
        <v>1000000</v>
      </c>
      <c r="AG24" s="354">
        <v>600000</v>
      </c>
      <c r="AH24" s="354">
        <f>'4.a.számú melléklet'!D85</f>
        <v>600000</v>
      </c>
      <c r="AI24" s="354"/>
      <c r="AJ24" s="354"/>
      <c r="AK24" s="354"/>
      <c r="AL24" s="354"/>
      <c r="AM24" s="354"/>
      <c r="AN24" s="354"/>
      <c r="AO24" s="354"/>
      <c r="AP24" s="354"/>
      <c r="AQ24" s="354"/>
      <c r="AR24" s="351">
        <f t="shared" si="0"/>
        <v>1620640</v>
      </c>
      <c r="AS24" s="351">
        <f t="shared" si="0"/>
        <v>1620640</v>
      </c>
    </row>
    <row r="25" spans="1:45" ht="15.75" x14ac:dyDescent="0.2">
      <c r="A25" s="355" t="s">
        <v>746</v>
      </c>
      <c r="B25" s="364" t="s">
        <v>461</v>
      </c>
      <c r="C25" s="364" t="s">
        <v>194</v>
      </c>
      <c r="D25" s="365"/>
      <c r="E25" s="354"/>
      <c r="F25" s="354"/>
      <c r="G25" s="354"/>
      <c r="H25" s="354"/>
      <c r="I25" s="354">
        <v>1016000</v>
      </c>
      <c r="J25" s="354">
        <v>1016000</v>
      </c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5" t="s">
        <v>693</v>
      </c>
      <c r="X25" s="364" t="s">
        <v>461</v>
      </c>
      <c r="Y25" s="354">
        <v>30306470</v>
      </c>
      <c r="Z25" s="354">
        <f>30306470+1022350</f>
        <v>31328820</v>
      </c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P25" s="354"/>
      <c r="AQ25" s="354"/>
      <c r="AR25" s="351">
        <f t="shared" si="0"/>
        <v>31322470</v>
      </c>
      <c r="AS25" s="351">
        <f t="shared" si="0"/>
        <v>32344820</v>
      </c>
    </row>
    <row r="26" spans="1:45" ht="15.75" x14ac:dyDescent="0.2">
      <c r="A26" s="347" t="s">
        <v>462</v>
      </c>
      <c r="B26" s="352" t="s">
        <v>463</v>
      </c>
      <c r="C26" s="352" t="s">
        <v>194</v>
      </c>
      <c r="D26" s="343"/>
      <c r="E26" s="350"/>
      <c r="F26" s="350"/>
      <c r="G26" s="350"/>
      <c r="H26" s="350"/>
      <c r="I26" s="350">
        <v>14198000</v>
      </c>
      <c r="J26" s="350">
        <v>14198000</v>
      </c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47" t="s">
        <v>462</v>
      </c>
      <c r="X26" s="352" t="s">
        <v>463</v>
      </c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1">
        <f t="shared" si="0"/>
        <v>14198000</v>
      </c>
      <c r="AS26" s="351">
        <f t="shared" si="0"/>
        <v>14198000</v>
      </c>
    </row>
    <row r="27" spans="1:45" ht="15.75" x14ac:dyDescent="0.2">
      <c r="A27" s="347" t="s">
        <v>464</v>
      </c>
      <c r="B27" s="352" t="s">
        <v>465</v>
      </c>
      <c r="C27" s="352" t="s">
        <v>194</v>
      </c>
      <c r="D27" s="343"/>
      <c r="E27" s="350"/>
      <c r="F27" s="350"/>
      <c r="G27" s="350"/>
      <c r="H27" s="350"/>
      <c r="I27" s="350">
        <v>108113000</v>
      </c>
      <c r="J27" s="350">
        <v>108113000</v>
      </c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47" t="s">
        <v>464</v>
      </c>
      <c r="X27" s="352" t="s">
        <v>465</v>
      </c>
      <c r="Y27" s="350">
        <v>1905000</v>
      </c>
      <c r="Z27" s="350">
        <f>'5.számú melléklet '!C12</f>
        <v>1905000</v>
      </c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1">
        <f t="shared" si="0"/>
        <v>110018000</v>
      </c>
      <c r="AS27" s="351">
        <f t="shared" si="0"/>
        <v>110018000</v>
      </c>
    </row>
    <row r="28" spans="1:45" ht="15.75" x14ac:dyDescent="0.2">
      <c r="A28" s="347" t="s">
        <v>466</v>
      </c>
      <c r="B28" s="352" t="s">
        <v>467</v>
      </c>
      <c r="C28" s="352" t="s">
        <v>194</v>
      </c>
      <c r="D28" s="343"/>
      <c r="E28" s="350"/>
      <c r="F28" s="350"/>
      <c r="G28" s="350"/>
      <c r="H28" s="350"/>
      <c r="I28" s="382">
        <v>35598382</v>
      </c>
      <c r="J28" s="382">
        <f>35598382-236370</f>
        <v>35362012</v>
      </c>
      <c r="K28" s="382"/>
      <c r="L28" s="350"/>
      <c r="M28" s="382"/>
      <c r="N28" s="350"/>
      <c r="O28" s="350"/>
      <c r="P28" s="350"/>
      <c r="Q28" s="382"/>
      <c r="R28" s="350"/>
      <c r="S28" s="382"/>
      <c r="T28" s="350">
        <v>4819000</v>
      </c>
      <c r="U28" s="382"/>
      <c r="V28" s="350"/>
      <c r="W28" s="347" t="s">
        <v>466</v>
      </c>
      <c r="X28" s="352" t="s">
        <v>467</v>
      </c>
      <c r="Y28" s="350">
        <v>102759675</v>
      </c>
      <c r="Z28" s="350">
        <f>102759676+236370</f>
        <v>102996046</v>
      </c>
      <c r="AA28" s="350"/>
      <c r="AB28" s="350"/>
      <c r="AC28" s="382"/>
      <c r="AD28" s="350"/>
      <c r="AE28" s="382"/>
      <c r="AF28" s="350"/>
      <c r="AG28" s="382"/>
      <c r="AH28" s="350"/>
      <c r="AI28" s="382">
        <v>13820000</v>
      </c>
      <c r="AJ28" s="350">
        <f>'4.a.számú melléklet'!D88+'4.a.számú melléklet'!D89</f>
        <v>13820000</v>
      </c>
      <c r="AK28" s="382"/>
      <c r="AL28" s="350"/>
      <c r="AM28" s="382"/>
      <c r="AN28" s="350"/>
      <c r="AO28" s="382"/>
      <c r="AP28" s="350"/>
      <c r="AQ28" s="382"/>
      <c r="AR28" s="351">
        <f t="shared" si="0"/>
        <v>152178057</v>
      </c>
      <c r="AS28" s="351">
        <f t="shared" si="0"/>
        <v>156997058</v>
      </c>
    </row>
    <row r="29" spans="1:45" ht="15.75" x14ac:dyDescent="0.2">
      <c r="A29" s="347" t="s">
        <v>466</v>
      </c>
      <c r="B29" s="352" t="s">
        <v>467</v>
      </c>
      <c r="C29" s="352" t="s">
        <v>545</v>
      </c>
      <c r="D29" s="343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47" t="s">
        <v>466</v>
      </c>
      <c r="X29" s="352" t="s">
        <v>467</v>
      </c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1">
        <f t="shared" si="0"/>
        <v>0</v>
      </c>
      <c r="AS29" s="351">
        <f t="shared" si="0"/>
        <v>0</v>
      </c>
    </row>
    <row r="30" spans="1:45" ht="15.75" x14ac:dyDescent="0.2">
      <c r="A30" s="358"/>
      <c r="B30" s="366" t="s">
        <v>468</v>
      </c>
      <c r="C30" s="366"/>
      <c r="D30" s="368"/>
      <c r="E30" s="361">
        <f t="shared" ref="E30" si="42">SUM(E24:E29)</f>
        <v>0</v>
      </c>
      <c r="F30" s="361">
        <f t="shared" ref="F30:V30" si="43">SUM(F24:F29)</f>
        <v>0</v>
      </c>
      <c r="G30" s="361">
        <f t="shared" ref="G30" si="44">SUM(G24:G29)</f>
        <v>0</v>
      </c>
      <c r="H30" s="361">
        <f t="shared" si="43"/>
        <v>0</v>
      </c>
      <c r="I30" s="361">
        <f t="shared" ref="I30" si="45">SUM(I24:I29)</f>
        <v>158946022</v>
      </c>
      <c r="J30" s="361">
        <f t="shared" si="43"/>
        <v>158709652</v>
      </c>
      <c r="K30" s="361">
        <f t="shared" si="43"/>
        <v>0</v>
      </c>
      <c r="L30" s="361">
        <f t="shared" si="43"/>
        <v>0</v>
      </c>
      <c r="M30" s="361">
        <f t="shared" si="43"/>
        <v>0</v>
      </c>
      <c r="N30" s="361">
        <f t="shared" si="43"/>
        <v>0</v>
      </c>
      <c r="O30" s="361">
        <f t="shared" ref="O30" si="46">SUM(O24:O29)</f>
        <v>0</v>
      </c>
      <c r="P30" s="361">
        <f t="shared" si="43"/>
        <v>0</v>
      </c>
      <c r="Q30" s="361">
        <f t="shared" si="43"/>
        <v>0</v>
      </c>
      <c r="R30" s="361">
        <f t="shared" si="43"/>
        <v>0</v>
      </c>
      <c r="S30" s="361">
        <f t="shared" si="43"/>
        <v>0</v>
      </c>
      <c r="T30" s="361">
        <f t="shared" si="43"/>
        <v>4819000</v>
      </c>
      <c r="U30" s="361">
        <f t="shared" si="43"/>
        <v>0</v>
      </c>
      <c r="V30" s="361">
        <f t="shared" si="43"/>
        <v>0</v>
      </c>
      <c r="W30" s="358"/>
      <c r="X30" s="366" t="s">
        <v>468</v>
      </c>
      <c r="Y30" s="361">
        <f t="shared" ref="Y30" si="47">SUM(Y24:Y29)</f>
        <v>134971145</v>
      </c>
      <c r="Z30" s="361">
        <f t="shared" ref="Z30:AP30" si="48">SUM(Z24:Z29)</f>
        <v>136229866</v>
      </c>
      <c r="AA30" s="361">
        <f>SUM(AA24:AA29)</f>
        <v>0</v>
      </c>
      <c r="AB30" s="361">
        <f>SUM(AB24:AB29)</f>
        <v>0</v>
      </c>
      <c r="AC30" s="361">
        <f t="shared" ref="AC30" si="49">SUM(AC24:AC29)</f>
        <v>0</v>
      </c>
      <c r="AD30" s="361">
        <f>SUM(AD24:AD29)</f>
        <v>0</v>
      </c>
      <c r="AE30" s="361">
        <f t="shared" ref="AE30" si="50">SUM(AE24:AE29)</f>
        <v>1000000</v>
      </c>
      <c r="AF30" s="361">
        <f>SUM(AF24:AF29)</f>
        <v>1000000</v>
      </c>
      <c r="AG30" s="361">
        <f t="shared" ref="AG30" si="51">SUM(AG24:AG29)</f>
        <v>600000</v>
      </c>
      <c r="AH30" s="361">
        <f>SUM(AH24:AH29)</f>
        <v>600000</v>
      </c>
      <c r="AI30" s="361">
        <f t="shared" ref="AI30" si="52">SUM(AI24:AI29)</f>
        <v>13820000</v>
      </c>
      <c r="AJ30" s="361">
        <f>SUM(AJ24:AJ29)</f>
        <v>13820000</v>
      </c>
      <c r="AK30" s="361">
        <f t="shared" ref="AK30" si="53">SUM(AK24:AK29)</f>
        <v>0</v>
      </c>
      <c r="AL30" s="361">
        <f t="shared" si="48"/>
        <v>0</v>
      </c>
      <c r="AM30" s="361">
        <f t="shared" ref="AM30" si="54">SUM(AM24:AM29)</f>
        <v>0</v>
      </c>
      <c r="AN30" s="361">
        <f t="shared" ref="AN30" si="55">SUM(AN24:AN29)</f>
        <v>0</v>
      </c>
      <c r="AO30" s="361">
        <f t="shared" ref="AO30" si="56">SUM(AO24:AO29)</f>
        <v>0</v>
      </c>
      <c r="AP30" s="361">
        <f t="shared" si="48"/>
        <v>0</v>
      </c>
      <c r="AQ30" s="361">
        <f t="shared" ref="AQ30" si="57">SUM(AQ24:AQ29)</f>
        <v>0</v>
      </c>
      <c r="AR30" s="361">
        <f t="shared" si="0"/>
        <v>309337167</v>
      </c>
      <c r="AS30" s="361">
        <f t="shared" si="0"/>
        <v>315178518</v>
      </c>
    </row>
    <row r="31" spans="1:45" ht="15.75" x14ac:dyDescent="0.2">
      <c r="A31" s="367" t="s">
        <v>469</v>
      </c>
      <c r="B31" s="345" t="s">
        <v>470</v>
      </c>
      <c r="C31" s="345"/>
      <c r="D31" s="344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67" t="s">
        <v>469</v>
      </c>
      <c r="X31" s="345" t="s">
        <v>470</v>
      </c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1">
        <f t="shared" si="0"/>
        <v>0</v>
      </c>
      <c r="AS31" s="351">
        <f t="shared" si="0"/>
        <v>0</v>
      </c>
    </row>
    <row r="32" spans="1:45" ht="15.75" x14ac:dyDescent="0.2">
      <c r="A32" s="347" t="s">
        <v>473</v>
      </c>
      <c r="B32" s="352" t="s">
        <v>474</v>
      </c>
      <c r="C32" s="348" t="s">
        <v>194</v>
      </c>
      <c r="D32" s="349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>
        <v>11129408</v>
      </c>
      <c r="P32" s="350">
        <f>'4.a.számú melléklet'!D11</f>
        <v>11129408</v>
      </c>
      <c r="Q32" s="350"/>
      <c r="R32" s="350"/>
      <c r="S32" s="350"/>
      <c r="T32" s="350"/>
      <c r="U32" s="350"/>
      <c r="V32" s="350"/>
      <c r="W32" s="347" t="s">
        <v>473</v>
      </c>
      <c r="X32" s="352" t="s">
        <v>474</v>
      </c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1">
        <f t="shared" si="0"/>
        <v>11129408</v>
      </c>
      <c r="AS32" s="351">
        <f t="shared" si="0"/>
        <v>11129408</v>
      </c>
    </row>
    <row r="33" spans="1:45" ht="15.75" x14ac:dyDescent="0.2">
      <c r="A33" s="347" t="s">
        <v>475</v>
      </c>
      <c r="B33" s="352" t="s">
        <v>476</v>
      </c>
      <c r="C33" s="348" t="s">
        <v>194</v>
      </c>
      <c r="D33" s="349"/>
      <c r="E33" s="350"/>
      <c r="F33" s="350"/>
      <c r="G33" s="350"/>
      <c r="H33" s="350"/>
      <c r="I33" s="350">
        <v>125000</v>
      </c>
      <c r="J33" s="350">
        <v>125000</v>
      </c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47" t="s">
        <v>475</v>
      </c>
      <c r="X33" s="352" t="s">
        <v>476</v>
      </c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1">
        <f t="shared" si="0"/>
        <v>125000</v>
      </c>
      <c r="AS33" s="351">
        <f t="shared" si="0"/>
        <v>125000</v>
      </c>
    </row>
    <row r="34" spans="1:45" ht="15.75" customHeight="1" x14ac:dyDescent="0.2">
      <c r="A34" s="347" t="s">
        <v>477</v>
      </c>
      <c r="B34" s="352" t="s">
        <v>478</v>
      </c>
      <c r="C34" s="348" t="s">
        <v>194</v>
      </c>
      <c r="D34" s="349">
        <v>1</v>
      </c>
      <c r="E34" s="350">
        <v>3898132</v>
      </c>
      <c r="F34" s="350">
        <v>3898132</v>
      </c>
      <c r="G34" s="350">
        <v>791230</v>
      </c>
      <c r="H34" s="350">
        <v>791230</v>
      </c>
      <c r="I34" s="350">
        <v>695000</v>
      </c>
      <c r="J34" s="350">
        <v>695000</v>
      </c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47" t="s">
        <v>477</v>
      </c>
      <c r="X34" s="352" t="s">
        <v>478</v>
      </c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1">
        <f t="shared" si="0"/>
        <v>5384362</v>
      </c>
      <c r="AS34" s="351">
        <f t="shared" si="0"/>
        <v>5384362</v>
      </c>
    </row>
    <row r="35" spans="1:45" ht="15.75" x14ac:dyDescent="0.2">
      <c r="A35" s="347" t="s">
        <v>479</v>
      </c>
      <c r="B35" s="352" t="s">
        <v>480</v>
      </c>
      <c r="C35" s="348" t="s">
        <v>194</v>
      </c>
      <c r="D35" s="349"/>
      <c r="E35" s="350"/>
      <c r="F35" s="350"/>
      <c r="G35" s="350"/>
      <c r="H35" s="350"/>
      <c r="I35" s="350">
        <v>153600</v>
      </c>
      <c r="J35" s="350">
        <v>153600</v>
      </c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47" t="s">
        <v>479</v>
      </c>
      <c r="X35" s="352" t="s">
        <v>480</v>
      </c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1">
        <f t="shared" si="0"/>
        <v>153600</v>
      </c>
      <c r="AS35" s="351">
        <f t="shared" si="0"/>
        <v>153600</v>
      </c>
    </row>
    <row r="36" spans="1:45" ht="15.75" x14ac:dyDescent="0.2">
      <c r="A36" s="358"/>
      <c r="B36" s="366" t="s">
        <v>481</v>
      </c>
      <c r="C36" s="366"/>
      <c r="D36" s="361">
        <f t="shared" ref="D36:V36" si="58">SUM(D32:D35)</f>
        <v>1</v>
      </c>
      <c r="E36" s="361">
        <f t="shared" ref="E36" si="59">SUM(E32:E35)</f>
        <v>3898132</v>
      </c>
      <c r="F36" s="361">
        <f t="shared" si="58"/>
        <v>3898132</v>
      </c>
      <c r="G36" s="361">
        <f t="shared" ref="G36" si="60">SUM(G32:G35)</f>
        <v>791230</v>
      </c>
      <c r="H36" s="361">
        <f t="shared" si="58"/>
        <v>791230</v>
      </c>
      <c r="I36" s="361">
        <f t="shared" ref="I36" si="61">SUM(I32:I35)</f>
        <v>973600</v>
      </c>
      <c r="J36" s="361">
        <f t="shared" si="58"/>
        <v>973600</v>
      </c>
      <c r="K36" s="361">
        <f t="shared" si="58"/>
        <v>0</v>
      </c>
      <c r="L36" s="361">
        <f t="shared" si="58"/>
        <v>0</v>
      </c>
      <c r="M36" s="361">
        <f t="shared" si="58"/>
        <v>0</v>
      </c>
      <c r="N36" s="361">
        <f t="shared" si="58"/>
        <v>0</v>
      </c>
      <c r="O36" s="361">
        <f t="shared" ref="O36" si="62">SUM(O32:O35)</f>
        <v>11129408</v>
      </c>
      <c r="P36" s="361">
        <f t="shared" si="58"/>
        <v>11129408</v>
      </c>
      <c r="Q36" s="361">
        <f t="shared" si="58"/>
        <v>0</v>
      </c>
      <c r="R36" s="361">
        <f t="shared" si="58"/>
        <v>0</v>
      </c>
      <c r="S36" s="361">
        <f t="shared" si="58"/>
        <v>0</v>
      </c>
      <c r="T36" s="361">
        <f t="shared" si="58"/>
        <v>0</v>
      </c>
      <c r="U36" s="361">
        <f t="shared" si="58"/>
        <v>0</v>
      </c>
      <c r="V36" s="361">
        <f t="shared" si="58"/>
        <v>0</v>
      </c>
      <c r="W36" s="358"/>
      <c r="X36" s="366" t="s">
        <v>481</v>
      </c>
      <c r="Y36" s="361">
        <f t="shared" ref="Y36" si="63">SUM(Y32:Y35)</f>
        <v>0</v>
      </c>
      <c r="Z36" s="361">
        <f t="shared" ref="Z36:AQ36" si="64">SUM(Z32:Z35)</f>
        <v>0</v>
      </c>
      <c r="AA36" s="361">
        <f t="shared" ref="AA36" si="65">SUM(AA32:AA35)</f>
        <v>0</v>
      </c>
      <c r="AB36" s="361">
        <f t="shared" si="64"/>
        <v>0</v>
      </c>
      <c r="AC36" s="361">
        <f t="shared" si="64"/>
        <v>0</v>
      </c>
      <c r="AD36" s="361">
        <f t="shared" si="64"/>
        <v>0</v>
      </c>
      <c r="AE36" s="361">
        <f t="shared" si="64"/>
        <v>0</v>
      </c>
      <c r="AF36" s="361">
        <f t="shared" si="64"/>
        <v>0</v>
      </c>
      <c r="AG36" s="361">
        <f t="shared" si="64"/>
        <v>0</v>
      </c>
      <c r="AH36" s="361">
        <f t="shared" si="64"/>
        <v>0</v>
      </c>
      <c r="AI36" s="361">
        <f t="shared" si="64"/>
        <v>0</v>
      </c>
      <c r="AJ36" s="361">
        <f t="shared" si="64"/>
        <v>0</v>
      </c>
      <c r="AK36" s="361">
        <f t="shared" si="64"/>
        <v>0</v>
      </c>
      <c r="AL36" s="361">
        <f t="shared" si="64"/>
        <v>0</v>
      </c>
      <c r="AM36" s="361">
        <f t="shared" si="64"/>
        <v>0</v>
      </c>
      <c r="AN36" s="361">
        <f t="shared" si="64"/>
        <v>0</v>
      </c>
      <c r="AO36" s="361">
        <f t="shared" si="64"/>
        <v>0</v>
      </c>
      <c r="AP36" s="361">
        <f t="shared" si="64"/>
        <v>0</v>
      </c>
      <c r="AQ36" s="361">
        <f t="shared" si="64"/>
        <v>0</v>
      </c>
      <c r="AR36" s="361">
        <f t="shared" si="0"/>
        <v>16792370</v>
      </c>
      <c r="AS36" s="361">
        <f t="shared" si="0"/>
        <v>16792370</v>
      </c>
    </row>
    <row r="37" spans="1:45" ht="15.75" x14ac:dyDescent="0.2">
      <c r="A37" s="367" t="s">
        <v>482</v>
      </c>
      <c r="B37" s="345" t="s">
        <v>483</v>
      </c>
      <c r="C37" s="345"/>
      <c r="D37" s="344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67" t="s">
        <v>482</v>
      </c>
      <c r="X37" s="345" t="s">
        <v>483</v>
      </c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1">
        <f t="shared" si="0"/>
        <v>0</v>
      </c>
      <c r="AS37" s="351">
        <f t="shared" si="0"/>
        <v>0</v>
      </c>
    </row>
    <row r="38" spans="1:45" ht="15.75" x14ac:dyDescent="0.2">
      <c r="A38" s="347" t="s">
        <v>484</v>
      </c>
      <c r="B38" s="352" t="s">
        <v>485</v>
      </c>
      <c r="C38" s="352" t="s">
        <v>194</v>
      </c>
      <c r="D38" s="343"/>
      <c r="E38" s="350"/>
      <c r="F38" s="350"/>
      <c r="G38" s="350"/>
      <c r="H38" s="350"/>
      <c r="I38" s="350">
        <v>6373000</v>
      </c>
      <c r="J38" s="350">
        <v>6373000</v>
      </c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47" t="s">
        <v>484</v>
      </c>
      <c r="X38" s="352" t="s">
        <v>485</v>
      </c>
      <c r="Y38" s="350">
        <v>21000000</v>
      </c>
      <c r="Z38" s="350">
        <f>'5.számú melléklet '!C26</f>
        <v>21000000</v>
      </c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1">
        <f t="shared" si="0"/>
        <v>27373000</v>
      </c>
      <c r="AS38" s="351">
        <f t="shared" si="0"/>
        <v>27373000</v>
      </c>
    </row>
    <row r="39" spans="1:45" ht="15.75" x14ac:dyDescent="0.2">
      <c r="A39" s="347" t="s">
        <v>488</v>
      </c>
      <c r="B39" s="352" t="s">
        <v>489</v>
      </c>
      <c r="C39" s="352" t="s">
        <v>194</v>
      </c>
      <c r="D39" s="343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47" t="s">
        <v>488</v>
      </c>
      <c r="X39" s="352" t="s">
        <v>489</v>
      </c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1">
        <f t="shared" si="0"/>
        <v>0</v>
      </c>
      <c r="AS39" s="351">
        <f t="shared" si="0"/>
        <v>0</v>
      </c>
    </row>
    <row r="40" spans="1:45" ht="15.75" x14ac:dyDescent="0.2">
      <c r="A40" s="347" t="s">
        <v>490</v>
      </c>
      <c r="B40" s="352" t="s">
        <v>491</v>
      </c>
      <c r="C40" s="352" t="s">
        <v>545</v>
      </c>
      <c r="D40" s="343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>
        <v>3047000</v>
      </c>
      <c r="Q40" s="350"/>
      <c r="R40" s="350"/>
      <c r="S40" s="350"/>
      <c r="T40" s="350">
        <v>15387807</v>
      </c>
      <c r="U40" s="350"/>
      <c r="V40" s="350"/>
      <c r="W40" s="347" t="s">
        <v>490</v>
      </c>
      <c r="X40" s="352" t="s">
        <v>491</v>
      </c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1">
        <f t="shared" si="0"/>
        <v>0</v>
      </c>
      <c r="AS40" s="351">
        <f t="shared" si="0"/>
        <v>18434807</v>
      </c>
    </row>
    <row r="41" spans="1:45" ht="15.75" x14ac:dyDescent="0.2">
      <c r="A41" s="347" t="s">
        <v>492</v>
      </c>
      <c r="B41" s="348" t="s">
        <v>493</v>
      </c>
      <c r="C41" s="356" t="s">
        <v>194</v>
      </c>
      <c r="D41" s="357"/>
      <c r="E41" s="354">
        <v>400000</v>
      </c>
      <c r="F41" s="354">
        <v>1420000</v>
      </c>
      <c r="G41" s="354">
        <v>40000</v>
      </c>
      <c r="H41" s="354">
        <v>40000</v>
      </c>
      <c r="I41" s="354">
        <v>2210000</v>
      </c>
      <c r="J41" s="354">
        <f>2210000+915000</f>
        <v>3125000</v>
      </c>
      <c r="K41" s="354"/>
      <c r="L41" s="354"/>
      <c r="M41" s="354"/>
      <c r="N41" s="354"/>
      <c r="O41" s="354"/>
      <c r="P41" s="354"/>
      <c r="Q41" s="354"/>
      <c r="R41" s="354"/>
      <c r="S41" s="354">
        <v>75000000</v>
      </c>
      <c r="T41" s="354">
        <v>72866100</v>
      </c>
      <c r="U41" s="354"/>
      <c r="V41" s="354"/>
      <c r="W41" s="347" t="s">
        <v>492</v>
      </c>
      <c r="X41" s="348" t="s">
        <v>493</v>
      </c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1">
        <f t="shared" si="0"/>
        <v>77650000</v>
      </c>
      <c r="AS41" s="351">
        <f t="shared" si="0"/>
        <v>77451100</v>
      </c>
    </row>
    <row r="42" spans="1:45" ht="15.75" x14ac:dyDescent="0.2">
      <c r="A42" s="358"/>
      <c r="B42" s="359" t="s">
        <v>494</v>
      </c>
      <c r="C42" s="359"/>
      <c r="D42" s="370"/>
      <c r="E42" s="361">
        <f t="shared" ref="E42" si="66">SUM(E38:E41)</f>
        <v>400000</v>
      </c>
      <c r="F42" s="361">
        <f t="shared" ref="F42:V42" si="67">SUM(F38:F41)</f>
        <v>1420000</v>
      </c>
      <c r="G42" s="361">
        <f t="shared" ref="G42" si="68">SUM(G38:G41)</f>
        <v>40000</v>
      </c>
      <c r="H42" s="361">
        <f t="shared" si="67"/>
        <v>40000</v>
      </c>
      <c r="I42" s="361">
        <f t="shared" ref="I42" si="69">SUM(I38:I41)</f>
        <v>8583000</v>
      </c>
      <c r="J42" s="361">
        <f t="shared" si="67"/>
        <v>9498000</v>
      </c>
      <c r="K42" s="361">
        <f t="shared" si="67"/>
        <v>0</v>
      </c>
      <c r="L42" s="361">
        <f t="shared" si="67"/>
        <v>0</v>
      </c>
      <c r="M42" s="361">
        <f t="shared" si="67"/>
        <v>0</v>
      </c>
      <c r="N42" s="361">
        <f t="shared" si="67"/>
        <v>0</v>
      </c>
      <c r="O42" s="361">
        <f t="shared" ref="O42" si="70">SUM(O38:O41)</f>
        <v>0</v>
      </c>
      <c r="P42" s="361">
        <f t="shared" si="67"/>
        <v>3047000</v>
      </c>
      <c r="Q42" s="361">
        <f t="shared" si="67"/>
        <v>0</v>
      </c>
      <c r="R42" s="361">
        <f t="shared" si="67"/>
        <v>0</v>
      </c>
      <c r="S42" s="361">
        <f t="shared" si="67"/>
        <v>75000000</v>
      </c>
      <c r="T42" s="361">
        <f t="shared" si="67"/>
        <v>88253907</v>
      </c>
      <c r="U42" s="361">
        <f t="shared" si="67"/>
        <v>0</v>
      </c>
      <c r="V42" s="361">
        <f t="shared" si="67"/>
        <v>0</v>
      </c>
      <c r="W42" s="358"/>
      <c r="X42" s="359" t="s">
        <v>494</v>
      </c>
      <c r="Y42" s="361">
        <f t="shared" ref="Y42" si="71">SUM(Y38:Y41)</f>
        <v>21000000</v>
      </c>
      <c r="Z42" s="361">
        <f t="shared" ref="Z42:AP42" si="72">SUM(Z38:Z41)</f>
        <v>21000000</v>
      </c>
      <c r="AA42" s="361">
        <f>SUM(AA38:AA41)</f>
        <v>0</v>
      </c>
      <c r="AB42" s="361">
        <f>SUM(AB38:AB41)</f>
        <v>0</v>
      </c>
      <c r="AC42" s="361">
        <f t="shared" ref="AC42" si="73">SUM(AC38:AC41)</f>
        <v>0</v>
      </c>
      <c r="AD42" s="361">
        <f>SUM(AD38:AD41)</f>
        <v>0</v>
      </c>
      <c r="AE42" s="361">
        <f t="shared" ref="AE42" si="74">SUM(AE38:AE41)</f>
        <v>0</v>
      </c>
      <c r="AF42" s="361">
        <f>SUM(AF38:AF41)</f>
        <v>0</v>
      </c>
      <c r="AG42" s="361">
        <f t="shared" ref="AG42" si="75">SUM(AG38:AG41)</f>
        <v>0</v>
      </c>
      <c r="AH42" s="361">
        <f>SUM(AH38:AH41)</f>
        <v>0</v>
      </c>
      <c r="AI42" s="361">
        <f t="shared" ref="AI42" si="76">SUM(AI38:AI41)</f>
        <v>0</v>
      </c>
      <c r="AJ42" s="361">
        <f>SUM(AJ38:AJ41)</f>
        <v>0</v>
      </c>
      <c r="AK42" s="361">
        <f t="shared" ref="AK42" si="77">SUM(AK38:AK41)</f>
        <v>0</v>
      </c>
      <c r="AL42" s="361">
        <f t="shared" si="72"/>
        <v>0</v>
      </c>
      <c r="AM42" s="361">
        <f t="shared" ref="AM42" si="78">SUM(AM38:AM41)</f>
        <v>0</v>
      </c>
      <c r="AN42" s="361">
        <f t="shared" ref="AN42" si="79">SUM(AN38:AN41)</f>
        <v>0</v>
      </c>
      <c r="AO42" s="361">
        <f t="shared" ref="AO42" si="80">SUM(AO38:AO41)</f>
        <v>0</v>
      </c>
      <c r="AP42" s="361">
        <f t="shared" si="72"/>
        <v>0</v>
      </c>
      <c r="AQ42" s="361">
        <f t="shared" ref="AQ42" si="81">SUM(AQ38:AQ41)</f>
        <v>0</v>
      </c>
      <c r="AR42" s="361">
        <f t="shared" si="0"/>
        <v>105023000</v>
      </c>
      <c r="AS42" s="361">
        <f t="shared" si="0"/>
        <v>123258907</v>
      </c>
    </row>
    <row r="43" spans="1:45" ht="15.75" x14ac:dyDescent="0.2">
      <c r="A43" s="367" t="s">
        <v>18</v>
      </c>
      <c r="B43" s="345" t="s">
        <v>553</v>
      </c>
      <c r="C43" s="345"/>
      <c r="D43" s="344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67" t="s">
        <v>18</v>
      </c>
      <c r="X43" s="345" t="s">
        <v>553</v>
      </c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1">
        <f t="shared" si="0"/>
        <v>0</v>
      </c>
      <c r="AS43" s="351">
        <f t="shared" si="0"/>
        <v>0</v>
      </c>
    </row>
    <row r="44" spans="1:45" ht="20.25" customHeight="1" x14ac:dyDescent="0.2">
      <c r="A44" s="347" t="s">
        <v>554</v>
      </c>
      <c r="B44" s="348" t="s">
        <v>555</v>
      </c>
      <c r="C44" s="348" t="s">
        <v>194</v>
      </c>
      <c r="D44" s="349">
        <v>1</v>
      </c>
      <c r="E44" s="350">
        <v>2740124</v>
      </c>
      <c r="F44" s="350">
        <v>2740124</v>
      </c>
      <c r="G44" s="350">
        <v>566000</v>
      </c>
      <c r="H44" s="350">
        <v>566000</v>
      </c>
      <c r="I44" s="350">
        <v>100000</v>
      </c>
      <c r="J44" s="350">
        <v>100000</v>
      </c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47" t="s">
        <v>554</v>
      </c>
      <c r="X44" s="348" t="s">
        <v>555</v>
      </c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1">
        <f t="shared" si="0"/>
        <v>3406124</v>
      </c>
      <c r="AS44" s="351">
        <f t="shared" si="0"/>
        <v>3406124</v>
      </c>
    </row>
    <row r="45" spans="1:45" ht="15.75" x14ac:dyDescent="0.2">
      <c r="A45" s="347" t="s">
        <v>556</v>
      </c>
      <c r="B45" s="348" t="s">
        <v>557</v>
      </c>
      <c r="C45" s="348" t="s">
        <v>194</v>
      </c>
      <c r="D45" s="349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47" t="s">
        <v>556</v>
      </c>
      <c r="X45" s="348" t="s">
        <v>557</v>
      </c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1">
        <f t="shared" si="0"/>
        <v>0</v>
      </c>
      <c r="AS45" s="351">
        <f t="shared" si="0"/>
        <v>0</v>
      </c>
    </row>
    <row r="46" spans="1:45" ht="15.75" x14ac:dyDescent="0.2">
      <c r="A46" s="348">
        <v>107051</v>
      </c>
      <c r="B46" s="352" t="s">
        <v>511</v>
      </c>
      <c r="C46" s="352" t="s">
        <v>194</v>
      </c>
      <c r="D46" s="343">
        <v>1</v>
      </c>
      <c r="E46" s="350">
        <v>2445000</v>
      </c>
      <c r="F46" s="350">
        <v>2555631</v>
      </c>
      <c r="G46" s="350">
        <v>513800</v>
      </c>
      <c r="H46" s="350">
        <v>513800</v>
      </c>
      <c r="I46" s="350">
        <v>11225911</v>
      </c>
      <c r="J46" s="350">
        <v>11225911</v>
      </c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48">
        <v>107051</v>
      </c>
      <c r="X46" s="352" t="s">
        <v>511</v>
      </c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1">
        <f t="shared" si="0"/>
        <v>14184711</v>
      </c>
      <c r="AS46" s="351">
        <f t="shared" si="0"/>
        <v>14295342</v>
      </c>
    </row>
    <row r="47" spans="1:45" ht="15.75" x14ac:dyDescent="0.2">
      <c r="A47" s="347" t="s">
        <v>558</v>
      </c>
      <c r="B47" s="348" t="s">
        <v>512</v>
      </c>
      <c r="C47" s="352" t="s">
        <v>194</v>
      </c>
      <c r="D47" s="343"/>
      <c r="E47" s="350"/>
      <c r="F47" s="350"/>
      <c r="G47" s="350"/>
      <c r="H47" s="350"/>
      <c r="I47" s="350">
        <v>1755000</v>
      </c>
      <c r="J47" s="350">
        <v>1755000</v>
      </c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47" t="s">
        <v>558</v>
      </c>
      <c r="X47" s="348" t="s">
        <v>512</v>
      </c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0"/>
      <c r="AQ47" s="350"/>
      <c r="AR47" s="351">
        <f t="shared" si="0"/>
        <v>1755000</v>
      </c>
      <c r="AS47" s="351">
        <f t="shared" si="0"/>
        <v>1755000</v>
      </c>
    </row>
    <row r="48" spans="1:45" ht="30" x14ac:dyDescent="0.2">
      <c r="A48" s="356">
        <v>107060</v>
      </c>
      <c r="B48" s="352" t="s">
        <v>559</v>
      </c>
      <c r="C48" s="352" t="s">
        <v>194</v>
      </c>
      <c r="D48" s="343"/>
      <c r="E48" s="350"/>
      <c r="F48" s="350"/>
      <c r="G48" s="350"/>
      <c r="H48" s="350"/>
      <c r="I48" s="350"/>
      <c r="J48" s="350">
        <v>817880</v>
      </c>
      <c r="K48" s="350">
        <v>7500000</v>
      </c>
      <c r="L48" s="350">
        <f>'4.b.számú melléklet  '!D23</f>
        <v>7500000</v>
      </c>
      <c r="M48" s="350"/>
      <c r="N48" s="350"/>
      <c r="O48" s="350">
        <v>300000</v>
      </c>
      <c r="P48" s="350">
        <v>300000</v>
      </c>
      <c r="Q48" s="350">
        <v>1000000</v>
      </c>
      <c r="R48" s="350">
        <f>'4.a.számú melléklet'!D39</f>
        <v>1000000</v>
      </c>
      <c r="S48" s="350"/>
      <c r="T48" s="350"/>
      <c r="U48" s="350"/>
      <c r="V48" s="350"/>
      <c r="W48" s="356">
        <v>107060</v>
      </c>
      <c r="X48" s="352" t="s">
        <v>559</v>
      </c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1">
        <f t="shared" si="0"/>
        <v>8800000</v>
      </c>
      <c r="AS48" s="351">
        <f t="shared" si="0"/>
        <v>9617880</v>
      </c>
    </row>
    <row r="49" spans="1:45" ht="15.75" x14ac:dyDescent="0.2">
      <c r="A49" s="371"/>
      <c r="B49" s="366" t="s">
        <v>517</v>
      </c>
      <c r="C49" s="366"/>
      <c r="D49" s="361">
        <f t="shared" ref="D49:V49" si="82">SUM(D44:D48)</f>
        <v>2</v>
      </c>
      <c r="E49" s="361">
        <f t="shared" ref="E49" si="83">SUM(E44:E48)</f>
        <v>5185124</v>
      </c>
      <c r="F49" s="361">
        <f t="shared" si="82"/>
        <v>5295755</v>
      </c>
      <c r="G49" s="361">
        <f t="shared" ref="G49" si="84">SUM(G44:G48)</f>
        <v>1079800</v>
      </c>
      <c r="H49" s="361">
        <f t="shared" si="82"/>
        <v>1079800</v>
      </c>
      <c r="I49" s="361">
        <f t="shared" ref="I49" si="85">SUM(I44:I48)</f>
        <v>13080911</v>
      </c>
      <c r="J49" s="361">
        <f t="shared" si="82"/>
        <v>13898791</v>
      </c>
      <c r="K49" s="361">
        <f t="shared" si="82"/>
        <v>7500000</v>
      </c>
      <c r="L49" s="361">
        <f t="shared" si="82"/>
        <v>7500000</v>
      </c>
      <c r="M49" s="361">
        <f t="shared" si="82"/>
        <v>0</v>
      </c>
      <c r="N49" s="361">
        <f t="shared" si="82"/>
        <v>0</v>
      </c>
      <c r="O49" s="361">
        <f t="shared" ref="O49" si="86">SUM(O44:O48)</f>
        <v>300000</v>
      </c>
      <c r="P49" s="361">
        <f t="shared" si="82"/>
        <v>300000</v>
      </c>
      <c r="Q49" s="361">
        <f t="shared" si="82"/>
        <v>1000000</v>
      </c>
      <c r="R49" s="361">
        <f t="shared" si="82"/>
        <v>1000000</v>
      </c>
      <c r="S49" s="361">
        <f t="shared" si="82"/>
        <v>0</v>
      </c>
      <c r="T49" s="361">
        <f t="shared" si="82"/>
        <v>0</v>
      </c>
      <c r="U49" s="361">
        <f t="shared" si="82"/>
        <v>0</v>
      </c>
      <c r="V49" s="361">
        <f t="shared" si="82"/>
        <v>0</v>
      </c>
      <c r="W49" s="371"/>
      <c r="X49" s="366" t="s">
        <v>517</v>
      </c>
      <c r="Y49" s="361">
        <f t="shared" ref="Y49" si="87">SUM(Y44:Y48)</f>
        <v>0</v>
      </c>
      <c r="Z49" s="361">
        <f t="shared" ref="Z49:AQ49" si="88">SUM(Z44:Z48)</f>
        <v>0</v>
      </c>
      <c r="AA49" s="361">
        <f t="shared" ref="AA49" si="89">SUM(AA44:AA48)</f>
        <v>0</v>
      </c>
      <c r="AB49" s="361">
        <f t="shared" si="88"/>
        <v>0</v>
      </c>
      <c r="AC49" s="361">
        <f t="shared" si="88"/>
        <v>0</v>
      </c>
      <c r="AD49" s="361">
        <f t="shared" si="88"/>
        <v>0</v>
      </c>
      <c r="AE49" s="361">
        <f t="shared" si="88"/>
        <v>0</v>
      </c>
      <c r="AF49" s="361">
        <f t="shared" si="88"/>
        <v>0</v>
      </c>
      <c r="AG49" s="361">
        <f t="shared" si="88"/>
        <v>0</v>
      </c>
      <c r="AH49" s="361">
        <f t="shared" si="88"/>
        <v>0</v>
      </c>
      <c r="AI49" s="361">
        <f t="shared" si="88"/>
        <v>0</v>
      </c>
      <c r="AJ49" s="361">
        <f t="shared" si="88"/>
        <v>0</v>
      </c>
      <c r="AK49" s="361">
        <f t="shared" si="88"/>
        <v>0</v>
      </c>
      <c r="AL49" s="361">
        <f t="shared" si="88"/>
        <v>0</v>
      </c>
      <c r="AM49" s="361">
        <f t="shared" si="88"/>
        <v>0</v>
      </c>
      <c r="AN49" s="361">
        <f t="shared" ref="AN49:AO49" si="90">SUM(AN44:AN48)</f>
        <v>0</v>
      </c>
      <c r="AO49" s="361">
        <f t="shared" si="90"/>
        <v>0</v>
      </c>
      <c r="AP49" s="361">
        <f t="shared" si="88"/>
        <v>0</v>
      </c>
      <c r="AQ49" s="361">
        <f t="shared" si="88"/>
        <v>0</v>
      </c>
      <c r="AR49" s="361">
        <f t="shared" si="0"/>
        <v>28145835</v>
      </c>
      <c r="AS49" s="361">
        <f t="shared" si="0"/>
        <v>29074346</v>
      </c>
    </row>
    <row r="50" spans="1:45" ht="15.75" x14ac:dyDescent="0.2">
      <c r="A50" s="347" t="s">
        <v>560</v>
      </c>
      <c r="B50" s="348" t="s">
        <v>561</v>
      </c>
      <c r="C50" s="372"/>
      <c r="D50" s="373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47" t="s">
        <v>560</v>
      </c>
      <c r="X50" s="348" t="s">
        <v>561</v>
      </c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51">
        <f t="shared" si="0"/>
        <v>0</v>
      </c>
      <c r="AS50" s="351">
        <f t="shared" si="0"/>
        <v>0</v>
      </c>
    </row>
    <row r="51" spans="1:45" ht="15.75" x14ac:dyDescent="0.2">
      <c r="A51" s="375" t="s">
        <v>588</v>
      </c>
      <c r="B51" s="356" t="s">
        <v>592</v>
      </c>
      <c r="C51" s="372"/>
      <c r="D51" s="373"/>
      <c r="E51" s="374"/>
      <c r="F51" s="374"/>
      <c r="G51" s="374"/>
      <c r="H51" s="374"/>
      <c r="I51" s="382">
        <v>1943764</v>
      </c>
      <c r="J51" s="382">
        <v>1943764</v>
      </c>
      <c r="K51" s="382"/>
      <c r="L51" s="374"/>
      <c r="M51" s="382"/>
      <c r="N51" s="374"/>
      <c r="O51" s="374"/>
      <c r="P51" s="374"/>
      <c r="Q51" s="382"/>
      <c r="R51" s="374"/>
      <c r="S51" s="382"/>
      <c r="T51" s="374"/>
      <c r="U51" s="382"/>
      <c r="V51" s="374"/>
      <c r="W51" s="375" t="s">
        <v>588</v>
      </c>
      <c r="X51" s="356" t="s">
        <v>592</v>
      </c>
      <c r="Y51" s="374"/>
      <c r="Z51" s="374"/>
      <c r="AA51" s="374"/>
      <c r="AB51" s="374"/>
      <c r="AC51" s="382"/>
      <c r="AD51" s="374"/>
      <c r="AE51" s="382"/>
      <c r="AF51" s="374"/>
      <c r="AG51" s="382"/>
      <c r="AH51" s="374"/>
      <c r="AI51" s="382"/>
      <c r="AJ51" s="374"/>
      <c r="AK51" s="382">
        <v>10000000</v>
      </c>
      <c r="AL51" s="382">
        <v>10000000</v>
      </c>
      <c r="AM51" s="382">
        <v>100000000</v>
      </c>
      <c r="AN51" s="382">
        <v>100000000</v>
      </c>
      <c r="AO51" s="382"/>
      <c r="AP51" s="374"/>
      <c r="AQ51" s="382"/>
      <c r="AR51" s="351">
        <f t="shared" si="0"/>
        <v>111943764</v>
      </c>
      <c r="AS51" s="351">
        <f t="shared" si="0"/>
        <v>111943764</v>
      </c>
    </row>
    <row r="52" spans="1:45" ht="15.75" customHeight="1" x14ac:dyDescent="0.2">
      <c r="A52" s="662" t="s">
        <v>562</v>
      </c>
      <c r="B52" s="662"/>
      <c r="C52" s="376"/>
      <c r="D52" s="377">
        <f>SUM(D12,D18,D22,D30,D36,D42,D49,D50)</f>
        <v>46</v>
      </c>
      <c r="E52" s="377">
        <f t="shared" ref="E52" si="91">SUM(E12,E18,E22,E30,E36,E42,E49,E50+E51)</f>
        <v>54375430</v>
      </c>
      <c r="F52" s="377">
        <f t="shared" ref="F52:V52" si="92">SUM(F12,F18,F22,F30,F36,F42,F49,F50+F51)</f>
        <v>55824154</v>
      </c>
      <c r="G52" s="377">
        <f t="shared" ref="G52" si="93">SUM(G12,G18,G22,G30,G36,G42,G49,G50+G51)</f>
        <v>11365353</v>
      </c>
      <c r="H52" s="377">
        <f t="shared" si="92"/>
        <v>11634716</v>
      </c>
      <c r="I52" s="377">
        <f t="shared" ref="I52" si="94">SUM(I12,I18,I22,I30,I36,I42,I49,I50+I51)</f>
        <v>343851011</v>
      </c>
      <c r="J52" s="377">
        <f t="shared" si="92"/>
        <v>399666521</v>
      </c>
      <c r="K52" s="377">
        <f t="shared" si="92"/>
        <v>7500000</v>
      </c>
      <c r="L52" s="377">
        <f t="shared" si="92"/>
        <v>7500000</v>
      </c>
      <c r="M52" s="377">
        <f t="shared" si="92"/>
        <v>0</v>
      </c>
      <c r="N52" s="377">
        <f t="shared" si="92"/>
        <v>0</v>
      </c>
      <c r="O52" s="377">
        <f t="shared" ref="O52" si="95">SUM(O12,O18,O22,O30,O36,O42,O49,O50+O51)</f>
        <v>51316408</v>
      </c>
      <c r="P52" s="377">
        <f t="shared" si="92"/>
        <v>56458264</v>
      </c>
      <c r="Q52" s="377">
        <f t="shared" si="92"/>
        <v>1000000</v>
      </c>
      <c r="R52" s="377">
        <f t="shared" si="92"/>
        <v>1000000</v>
      </c>
      <c r="S52" s="377">
        <f t="shared" si="92"/>
        <v>78000000</v>
      </c>
      <c r="T52" s="377">
        <f t="shared" si="92"/>
        <v>96072907</v>
      </c>
      <c r="U52" s="377">
        <f t="shared" si="92"/>
        <v>255712508</v>
      </c>
      <c r="V52" s="377">
        <f t="shared" si="92"/>
        <v>198860920</v>
      </c>
      <c r="W52" s="662" t="s">
        <v>562</v>
      </c>
      <c r="X52" s="662"/>
      <c r="Y52" s="377">
        <f t="shared" ref="Y52" si="96">SUM(Y12,Y18,Y22,Y30,Y36,Y42,Y49,Y50+Y51)</f>
        <v>727482345</v>
      </c>
      <c r="Z52" s="377">
        <f t="shared" ref="Z52:AQ52" si="97">SUM(Z12,Z18,Z22,Z30,Z36,Z42,Z49,Z50+Z51)</f>
        <v>716957662</v>
      </c>
      <c r="AA52" s="377">
        <f t="shared" ref="AA52" si="98">SUM(AA12,AA18,AA22,AA30,AA36,AA42,AA49,AA50+AA51)</f>
        <v>32843676</v>
      </c>
      <c r="AB52" s="377">
        <f t="shared" si="97"/>
        <v>35919591</v>
      </c>
      <c r="AC52" s="377">
        <f t="shared" si="97"/>
        <v>0</v>
      </c>
      <c r="AD52" s="377">
        <f t="shared" si="97"/>
        <v>0</v>
      </c>
      <c r="AE52" s="377">
        <f t="shared" si="97"/>
        <v>1000000</v>
      </c>
      <c r="AF52" s="377">
        <f t="shared" si="97"/>
        <v>1000000</v>
      </c>
      <c r="AG52" s="377">
        <f t="shared" si="97"/>
        <v>600000</v>
      </c>
      <c r="AH52" s="377">
        <f t="shared" si="97"/>
        <v>600000</v>
      </c>
      <c r="AI52" s="377">
        <f t="shared" si="97"/>
        <v>13820000</v>
      </c>
      <c r="AJ52" s="377">
        <f t="shared" si="97"/>
        <v>13820000</v>
      </c>
      <c r="AK52" s="377">
        <f t="shared" si="97"/>
        <v>10000000</v>
      </c>
      <c r="AL52" s="377">
        <f t="shared" si="97"/>
        <v>10000000</v>
      </c>
      <c r="AM52" s="377">
        <f t="shared" si="97"/>
        <v>100000000</v>
      </c>
      <c r="AN52" s="377">
        <f t="shared" si="97"/>
        <v>100000000</v>
      </c>
      <c r="AO52" s="377">
        <f t="shared" si="97"/>
        <v>14048925</v>
      </c>
      <c r="AP52" s="377">
        <f t="shared" si="97"/>
        <v>14048925</v>
      </c>
      <c r="AQ52" s="377">
        <f t="shared" si="97"/>
        <v>0</v>
      </c>
      <c r="AR52" s="377">
        <f t="shared" si="0"/>
        <v>1702915656</v>
      </c>
      <c r="AS52" s="377">
        <f t="shared" si="0"/>
        <v>1719363660</v>
      </c>
    </row>
    <row r="53" spans="1:45" ht="15.75" x14ac:dyDescent="0.2">
      <c r="A53" s="378"/>
      <c r="B53" s="339" t="s">
        <v>563</v>
      </c>
      <c r="C53" s="339"/>
      <c r="D53" s="379"/>
      <c r="E53" s="351"/>
      <c r="F53" s="351"/>
      <c r="G53" s="351"/>
      <c r="H53" s="351"/>
      <c r="I53" s="351"/>
      <c r="J53" s="351"/>
      <c r="K53" s="351"/>
      <c r="L53" s="350"/>
      <c r="M53" s="351"/>
      <c r="N53" s="350"/>
      <c r="O53" s="351"/>
      <c r="P53" s="351"/>
      <c r="Q53" s="351"/>
      <c r="R53" s="351"/>
      <c r="S53" s="351"/>
      <c r="T53" s="351"/>
      <c r="U53" s="351"/>
      <c r="V53" s="351"/>
      <c r="W53" s="378"/>
      <c r="X53" s="339" t="s">
        <v>563</v>
      </c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>
        <f t="shared" si="0"/>
        <v>0</v>
      </c>
      <c r="AS53" s="351">
        <f t="shared" si="0"/>
        <v>0</v>
      </c>
    </row>
    <row r="54" spans="1:45" ht="15.75" x14ac:dyDescent="0.2">
      <c r="A54" s="378"/>
      <c r="B54" s="380" t="s">
        <v>522</v>
      </c>
      <c r="C54" s="380"/>
      <c r="D54" s="381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78"/>
      <c r="X54" s="380" t="s">
        <v>522</v>
      </c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350"/>
      <c r="AN54" s="350"/>
      <c r="AO54" s="350"/>
      <c r="AP54" s="350"/>
      <c r="AQ54" s="350"/>
      <c r="AR54" s="351">
        <f t="shared" si="0"/>
        <v>0</v>
      </c>
      <c r="AS54" s="351">
        <f t="shared" si="0"/>
        <v>0</v>
      </c>
    </row>
    <row r="55" spans="1:45" ht="24.75" customHeight="1" x14ac:dyDescent="0.2">
      <c r="A55" s="347" t="s">
        <v>430</v>
      </c>
      <c r="B55" s="348" t="s">
        <v>431</v>
      </c>
      <c r="C55" s="348" t="s">
        <v>194</v>
      </c>
      <c r="D55" s="349">
        <v>21</v>
      </c>
      <c r="E55" s="350">
        <f>89008600+1462000</f>
        <v>90470600</v>
      </c>
      <c r="F55" s="350">
        <f>89008600+1462000+56151+167107</f>
        <v>90693858</v>
      </c>
      <c r="G55" s="350">
        <f>17713744+285000</f>
        <v>17998744</v>
      </c>
      <c r="H55" s="350">
        <f>17713744+285000+43535</f>
        <v>18042279</v>
      </c>
      <c r="I55" s="350">
        <f>18443000-590000</f>
        <v>17853000</v>
      </c>
      <c r="J55" s="350">
        <f>18443000-590000</f>
        <v>17853000</v>
      </c>
      <c r="K55" s="350"/>
      <c r="L55" s="350"/>
      <c r="M55" s="350"/>
      <c r="N55" s="350"/>
      <c r="O55" s="350">
        <v>1200000</v>
      </c>
      <c r="P55" s="350">
        <v>1200000</v>
      </c>
      <c r="Q55" s="350"/>
      <c r="R55" s="350"/>
      <c r="S55" s="350"/>
      <c r="T55" s="350"/>
      <c r="U55" s="350"/>
      <c r="V55" s="350"/>
      <c r="W55" s="347" t="s">
        <v>430</v>
      </c>
      <c r="X55" s="348" t="s">
        <v>431</v>
      </c>
      <c r="Y55" s="350">
        <v>1000000</v>
      </c>
      <c r="Z55" s="350">
        <v>1000000</v>
      </c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1">
        <f t="shared" si="0"/>
        <v>128522344</v>
      </c>
      <c r="AS55" s="351">
        <f t="shared" si="0"/>
        <v>128789137</v>
      </c>
    </row>
    <row r="56" spans="1:45" ht="24.75" customHeight="1" x14ac:dyDescent="0.2">
      <c r="A56" s="347" t="s">
        <v>438</v>
      </c>
      <c r="B56" s="348" t="s">
        <v>928</v>
      </c>
      <c r="C56" s="348"/>
      <c r="D56" s="349"/>
      <c r="E56" s="350"/>
      <c r="F56" s="350"/>
      <c r="G56" s="350"/>
      <c r="H56" s="350"/>
      <c r="I56" s="350"/>
      <c r="J56" s="350"/>
      <c r="K56" s="350"/>
      <c r="L56" s="350"/>
      <c r="M56" s="350"/>
      <c r="N56" s="350">
        <v>5918207</v>
      </c>
      <c r="O56" s="350"/>
      <c r="P56" s="350"/>
      <c r="Q56" s="350"/>
      <c r="R56" s="350"/>
      <c r="S56" s="350"/>
      <c r="T56" s="350"/>
      <c r="U56" s="350"/>
      <c r="V56" s="350"/>
      <c r="W56" s="347" t="s">
        <v>438</v>
      </c>
      <c r="X56" s="348" t="s">
        <v>928</v>
      </c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1">
        <f t="shared" si="0"/>
        <v>0</v>
      </c>
      <c r="AS56" s="351">
        <f t="shared" si="0"/>
        <v>5918207</v>
      </c>
    </row>
    <row r="57" spans="1:45" ht="15.75" x14ac:dyDescent="0.2">
      <c r="A57" s="347" t="s">
        <v>673</v>
      </c>
      <c r="B57" s="348" t="s">
        <v>674</v>
      </c>
      <c r="C57" s="348" t="s">
        <v>194</v>
      </c>
      <c r="D57" s="349"/>
      <c r="E57" s="350"/>
      <c r="F57" s="350">
        <v>1134690</v>
      </c>
      <c r="G57" s="350"/>
      <c r="H57" s="350">
        <v>221804</v>
      </c>
      <c r="I57" s="350"/>
      <c r="J57" s="350">
        <v>95165</v>
      </c>
      <c r="K57" s="350"/>
      <c r="L57" s="350"/>
      <c r="M57" s="350"/>
      <c r="N57" s="350"/>
      <c r="O57" s="350"/>
      <c r="P57" s="350"/>
      <c r="Q57" s="350"/>
      <c r="R57" s="350"/>
      <c r="S57" s="350"/>
      <c r="T57" s="350">
        <v>10429</v>
      </c>
      <c r="U57" s="350"/>
      <c r="V57" s="350"/>
      <c r="W57" s="347" t="s">
        <v>673</v>
      </c>
      <c r="X57" s="348" t="s">
        <v>674</v>
      </c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1">
        <f t="shared" si="0"/>
        <v>0</v>
      </c>
      <c r="AS57" s="351">
        <f t="shared" si="0"/>
        <v>1462088</v>
      </c>
    </row>
    <row r="58" spans="1:45" ht="15.75" x14ac:dyDescent="0.2">
      <c r="A58" s="347"/>
      <c r="B58" s="348"/>
      <c r="C58" s="348"/>
      <c r="D58" s="349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47"/>
      <c r="X58" s="348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1">
        <f t="shared" si="0"/>
        <v>0</v>
      </c>
      <c r="AS58" s="351">
        <f t="shared" si="0"/>
        <v>0</v>
      </c>
    </row>
    <row r="59" spans="1:45" ht="15.75" customHeight="1" x14ac:dyDescent="0.2">
      <c r="A59" s="662" t="s">
        <v>564</v>
      </c>
      <c r="B59" s="662"/>
      <c r="C59" s="376"/>
      <c r="D59" s="377">
        <f t="shared" ref="D59:V59" si="99">SUM(D55:D58)</f>
        <v>21</v>
      </c>
      <c r="E59" s="377">
        <f t="shared" ref="E59" si="100">SUM(E55:E58)</f>
        <v>90470600</v>
      </c>
      <c r="F59" s="377">
        <f t="shared" si="99"/>
        <v>91828548</v>
      </c>
      <c r="G59" s="377">
        <f t="shared" ref="G59" si="101">SUM(G55:G58)</f>
        <v>17998744</v>
      </c>
      <c r="H59" s="377">
        <f t="shared" si="99"/>
        <v>18264083</v>
      </c>
      <c r="I59" s="377">
        <f t="shared" ref="I59" si="102">SUM(I55:I58)</f>
        <v>17853000</v>
      </c>
      <c r="J59" s="377">
        <f t="shared" si="99"/>
        <v>17948165</v>
      </c>
      <c r="K59" s="377">
        <f t="shared" si="99"/>
        <v>0</v>
      </c>
      <c r="L59" s="377">
        <f t="shared" si="99"/>
        <v>0</v>
      </c>
      <c r="M59" s="377">
        <f t="shared" si="99"/>
        <v>0</v>
      </c>
      <c r="N59" s="377">
        <f t="shared" si="99"/>
        <v>5918207</v>
      </c>
      <c r="O59" s="377">
        <f t="shared" ref="O59" si="103">SUM(O55:O58)</f>
        <v>1200000</v>
      </c>
      <c r="P59" s="377">
        <f t="shared" si="99"/>
        <v>1200000</v>
      </c>
      <c r="Q59" s="377">
        <f t="shared" si="99"/>
        <v>0</v>
      </c>
      <c r="R59" s="377">
        <f t="shared" si="99"/>
        <v>0</v>
      </c>
      <c r="S59" s="377">
        <f t="shared" si="99"/>
        <v>0</v>
      </c>
      <c r="T59" s="377">
        <f t="shared" si="99"/>
        <v>10429</v>
      </c>
      <c r="U59" s="377">
        <f t="shared" si="99"/>
        <v>0</v>
      </c>
      <c r="V59" s="377">
        <f t="shared" si="99"/>
        <v>0</v>
      </c>
      <c r="W59" s="662" t="s">
        <v>564</v>
      </c>
      <c r="X59" s="662"/>
      <c r="Y59" s="377">
        <f t="shared" ref="Y59" si="104">SUM(Y55:Y58)</f>
        <v>1000000</v>
      </c>
      <c r="Z59" s="377">
        <f t="shared" ref="Z59:AQ59" si="105">SUM(Z55:Z58)</f>
        <v>1000000</v>
      </c>
      <c r="AA59" s="377">
        <f t="shared" ref="AA59" si="106">SUM(AA55:AA58)</f>
        <v>0</v>
      </c>
      <c r="AB59" s="377">
        <f t="shared" si="105"/>
        <v>0</v>
      </c>
      <c r="AC59" s="377">
        <f t="shared" si="105"/>
        <v>0</v>
      </c>
      <c r="AD59" s="377">
        <f t="shared" si="105"/>
        <v>0</v>
      </c>
      <c r="AE59" s="377">
        <f t="shared" si="105"/>
        <v>0</v>
      </c>
      <c r="AF59" s="377">
        <f t="shared" si="105"/>
        <v>0</v>
      </c>
      <c r="AG59" s="377">
        <f t="shared" si="105"/>
        <v>0</v>
      </c>
      <c r="AH59" s="377">
        <f t="shared" si="105"/>
        <v>0</v>
      </c>
      <c r="AI59" s="377">
        <f t="shared" si="105"/>
        <v>0</v>
      </c>
      <c r="AJ59" s="377">
        <f t="shared" si="105"/>
        <v>0</v>
      </c>
      <c r="AK59" s="377">
        <f t="shared" si="105"/>
        <v>0</v>
      </c>
      <c r="AL59" s="377">
        <f t="shared" si="105"/>
        <v>0</v>
      </c>
      <c r="AM59" s="377">
        <f t="shared" si="105"/>
        <v>0</v>
      </c>
      <c r="AN59" s="377">
        <f t="shared" si="105"/>
        <v>0</v>
      </c>
      <c r="AO59" s="377">
        <f t="shared" si="105"/>
        <v>0</v>
      </c>
      <c r="AP59" s="377">
        <f t="shared" si="105"/>
        <v>0</v>
      </c>
      <c r="AQ59" s="377">
        <f t="shared" si="105"/>
        <v>0</v>
      </c>
      <c r="AR59" s="377">
        <f t="shared" si="0"/>
        <v>128522344</v>
      </c>
      <c r="AS59" s="377">
        <f t="shared" si="0"/>
        <v>136169432</v>
      </c>
    </row>
    <row r="60" spans="1:45" ht="15.75" x14ac:dyDescent="0.2">
      <c r="A60" s="378"/>
      <c r="B60" s="339" t="s">
        <v>538</v>
      </c>
      <c r="C60" s="339"/>
      <c r="D60" s="340"/>
      <c r="E60" s="469"/>
      <c r="F60" s="469"/>
      <c r="G60" s="374"/>
      <c r="H60" s="374"/>
      <c r="I60" s="374"/>
      <c r="J60" s="374"/>
      <c r="K60" s="374"/>
      <c r="L60" s="374"/>
      <c r="M60" s="374"/>
      <c r="N60" s="374"/>
      <c r="O60" s="351"/>
      <c r="P60" s="351"/>
      <c r="Q60" s="374"/>
      <c r="R60" s="351"/>
      <c r="S60" s="374"/>
      <c r="T60" s="351"/>
      <c r="U60" s="374"/>
      <c r="V60" s="351"/>
      <c r="W60" s="378"/>
      <c r="X60" s="339" t="s">
        <v>538</v>
      </c>
      <c r="Y60" s="351"/>
      <c r="Z60" s="351"/>
      <c r="AA60" s="351"/>
      <c r="AB60" s="351"/>
      <c r="AC60" s="374"/>
      <c r="AD60" s="469"/>
      <c r="AE60" s="374"/>
      <c r="AF60" s="351"/>
      <c r="AG60" s="374"/>
      <c r="AH60" s="351"/>
      <c r="AI60" s="374"/>
      <c r="AJ60" s="351"/>
      <c r="AK60" s="374"/>
      <c r="AL60" s="351"/>
      <c r="AM60" s="374"/>
      <c r="AN60" s="351"/>
      <c r="AO60" s="374"/>
      <c r="AP60" s="351"/>
      <c r="AQ60" s="374"/>
      <c r="AR60" s="351">
        <f t="shared" si="0"/>
        <v>0</v>
      </c>
      <c r="AS60" s="351">
        <f t="shared" si="0"/>
        <v>0</v>
      </c>
    </row>
    <row r="61" spans="1:45" ht="15.75" x14ac:dyDescent="0.2">
      <c r="A61" s="347" t="s">
        <v>434</v>
      </c>
      <c r="B61" s="353" t="s">
        <v>435</v>
      </c>
      <c r="C61" s="348" t="s">
        <v>194</v>
      </c>
      <c r="D61" s="349"/>
      <c r="E61" s="382"/>
      <c r="F61" s="382"/>
      <c r="G61" s="382"/>
      <c r="H61" s="382"/>
      <c r="I61" s="382">
        <v>2388000</v>
      </c>
      <c r="J61" s="382">
        <v>2388000</v>
      </c>
      <c r="K61" s="382"/>
      <c r="L61" s="382"/>
      <c r="M61" s="382"/>
      <c r="N61" s="382"/>
      <c r="O61" s="350"/>
      <c r="P61" s="350"/>
      <c r="Q61" s="382"/>
      <c r="R61" s="350"/>
      <c r="S61" s="382"/>
      <c r="T61" s="350"/>
      <c r="U61" s="382"/>
      <c r="V61" s="350"/>
      <c r="W61" s="347" t="s">
        <v>434</v>
      </c>
      <c r="X61" s="353" t="s">
        <v>435</v>
      </c>
      <c r="Y61" s="388"/>
      <c r="Z61" s="388"/>
      <c r="AA61" s="386"/>
      <c r="AB61" s="386"/>
      <c r="AC61" s="388"/>
      <c r="AD61" s="386"/>
      <c r="AE61" s="388"/>
      <c r="AF61" s="386"/>
      <c r="AG61" s="388"/>
      <c r="AH61" s="386"/>
      <c r="AI61" s="388"/>
      <c r="AJ61" s="386"/>
      <c r="AK61" s="388"/>
      <c r="AL61" s="386"/>
      <c r="AM61" s="388"/>
      <c r="AN61" s="386"/>
      <c r="AO61" s="388"/>
      <c r="AP61" s="386"/>
      <c r="AQ61" s="388"/>
      <c r="AR61" s="351">
        <f t="shared" si="0"/>
        <v>2388000</v>
      </c>
      <c r="AS61" s="351">
        <f t="shared" si="0"/>
        <v>2388000</v>
      </c>
    </row>
    <row r="62" spans="1:45" ht="15.75" x14ac:dyDescent="0.2">
      <c r="A62" s="347" t="s">
        <v>525</v>
      </c>
      <c r="B62" s="348" t="s">
        <v>526</v>
      </c>
      <c r="C62" s="348" t="s">
        <v>194</v>
      </c>
      <c r="D62" s="349">
        <v>3</v>
      </c>
      <c r="E62" s="388">
        <v>6409581</v>
      </c>
      <c r="F62" s="388">
        <v>6409581</v>
      </c>
      <c r="G62" s="388">
        <v>1325138</v>
      </c>
      <c r="H62" s="388">
        <v>1325138</v>
      </c>
      <c r="I62" s="388">
        <v>23770553</v>
      </c>
      <c r="J62" s="388">
        <v>23770553</v>
      </c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50"/>
      <c r="W62" s="347" t="s">
        <v>525</v>
      </c>
      <c r="X62" s="348" t="s">
        <v>526</v>
      </c>
      <c r="Y62" s="388">
        <v>150000</v>
      </c>
      <c r="Z62" s="388">
        <f>'5.számú melléklet '!C44</f>
        <v>150000</v>
      </c>
      <c r="AA62" s="386"/>
      <c r="AB62" s="386"/>
      <c r="AC62" s="388"/>
      <c r="AD62" s="386"/>
      <c r="AE62" s="388"/>
      <c r="AF62" s="386"/>
      <c r="AG62" s="388"/>
      <c r="AH62" s="386"/>
      <c r="AI62" s="388"/>
      <c r="AJ62" s="386"/>
      <c r="AK62" s="388"/>
      <c r="AL62" s="386"/>
      <c r="AM62" s="388"/>
      <c r="AN62" s="386"/>
      <c r="AO62" s="388"/>
      <c r="AP62" s="386"/>
      <c r="AQ62" s="388"/>
      <c r="AR62" s="351">
        <f t="shared" si="0"/>
        <v>31655272</v>
      </c>
      <c r="AS62" s="351">
        <f t="shared" si="0"/>
        <v>31655272</v>
      </c>
    </row>
    <row r="63" spans="1:45" ht="15.75" x14ac:dyDescent="0.2">
      <c r="A63" s="347" t="s">
        <v>438</v>
      </c>
      <c r="B63" s="348" t="s">
        <v>439</v>
      </c>
      <c r="C63" s="352" t="s">
        <v>194</v>
      </c>
      <c r="D63" s="343"/>
      <c r="E63" s="388"/>
      <c r="F63" s="388"/>
      <c r="G63" s="388"/>
      <c r="H63" s="388"/>
      <c r="I63" s="388"/>
      <c r="J63" s="388"/>
      <c r="K63" s="388"/>
      <c r="L63" s="388"/>
      <c r="M63" s="388"/>
      <c r="N63" s="388">
        <v>2212562</v>
      </c>
      <c r="O63" s="388"/>
      <c r="P63" s="388"/>
      <c r="Q63" s="388"/>
      <c r="R63" s="388"/>
      <c r="S63" s="388"/>
      <c r="T63" s="388"/>
      <c r="U63" s="388"/>
      <c r="V63" s="350"/>
      <c r="W63" s="347" t="s">
        <v>438</v>
      </c>
      <c r="X63" s="348" t="s">
        <v>439</v>
      </c>
      <c r="Y63" s="388"/>
      <c r="Z63" s="388"/>
      <c r="AA63" s="386"/>
      <c r="AB63" s="386"/>
      <c r="AC63" s="388"/>
      <c r="AD63" s="386"/>
      <c r="AE63" s="388"/>
      <c r="AF63" s="386"/>
      <c r="AG63" s="388"/>
      <c r="AH63" s="386"/>
      <c r="AI63" s="388"/>
      <c r="AJ63" s="386"/>
      <c r="AK63" s="388"/>
      <c r="AL63" s="386"/>
      <c r="AM63" s="388"/>
      <c r="AN63" s="386"/>
      <c r="AO63" s="388"/>
      <c r="AP63" s="386"/>
      <c r="AQ63" s="388"/>
      <c r="AR63" s="351">
        <f t="shared" si="0"/>
        <v>0</v>
      </c>
      <c r="AS63" s="351">
        <f t="shared" si="0"/>
        <v>2212562</v>
      </c>
    </row>
    <row r="64" spans="1:45" ht="15.75" x14ac:dyDescent="0.2">
      <c r="A64" s="347" t="s">
        <v>529</v>
      </c>
      <c r="B64" s="348" t="s">
        <v>565</v>
      </c>
      <c r="C64" s="348" t="s">
        <v>194</v>
      </c>
      <c r="D64" s="349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50"/>
      <c r="W64" s="347" t="s">
        <v>529</v>
      </c>
      <c r="X64" s="348" t="s">
        <v>565</v>
      </c>
      <c r="Y64" s="388"/>
      <c r="Z64" s="388"/>
      <c r="AA64" s="386"/>
      <c r="AB64" s="386"/>
      <c r="AC64" s="388"/>
      <c r="AD64" s="386"/>
      <c r="AE64" s="388"/>
      <c r="AF64" s="386"/>
      <c r="AG64" s="388"/>
      <c r="AH64" s="386"/>
      <c r="AI64" s="388"/>
      <c r="AJ64" s="386"/>
      <c r="AK64" s="388"/>
      <c r="AL64" s="386"/>
      <c r="AM64" s="388"/>
      <c r="AN64" s="386"/>
      <c r="AO64" s="388"/>
      <c r="AP64" s="386"/>
      <c r="AQ64" s="388"/>
      <c r="AR64" s="351">
        <f t="shared" si="0"/>
        <v>0</v>
      </c>
      <c r="AS64" s="351">
        <f t="shared" si="0"/>
        <v>0</v>
      </c>
    </row>
    <row r="65" spans="1:45" ht="15.75" x14ac:dyDescent="0.2">
      <c r="A65" s="347" t="s">
        <v>497</v>
      </c>
      <c r="B65" s="348" t="s">
        <v>532</v>
      </c>
      <c r="C65" s="348" t="s">
        <v>194</v>
      </c>
      <c r="D65" s="349">
        <v>11</v>
      </c>
      <c r="E65" s="388">
        <v>43300624</v>
      </c>
      <c r="F65" s="388">
        <v>43300624</v>
      </c>
      <c r="G65" s="388">
        <v>10294692</v>
      </c>
      <c r="H65" s="388">
        <v>10294692</v>
      </c>
      <c r="I65" s="388">
        <v>821500</v>
      </c>
      <c r="J65" s="388">
        <v>821500</v>
      </c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50"/>
      <c r="W65" s="347" t="s">
        <v>497</v>
      </c>
      <c r="X65" s="348" t="s">
        <v>532</v>
      </c>
      <c r="Y65" s="388">
        <v>330000</v>
      </c>
      <c r="Z65" s="388">
        <f>'5.számú melléklet '!C41+'5.számú melléklet '!C46</f>
        <v>330000</v>
      </c>
      <c r="AA65" s="386"/>
      <c r="AB65" s="386"/>
      <c r="AC65" s="388"/>
      <c r="AD65" s="386"/>
      <c r="AE65" s="388"/>
      <c r="AF65" s="386"/>
      <c r="AG65" s="388"/>
      <c r="AH65" s="386"/>
      <c r="AI65" s="388"/>
      <c r="AJ65" s="386"/>
      <c r="AK65" s="388"/>
      <c r="AL65" s="386"/>
      <c r="AM65" s="388"/>
      <c r="AN65" s="386"/>
      <c r="AO65" s="388"/>
      <c r="AP65" s="386"/>
      <c r="AQ65" s="388"/>
      <c r="AR65" s="351">
        <f t="shared" si="0"/>
        <v>54746816</v>
      </c>
      <c r="AS65" s="351">
        <f t="shared" si="0"/>
        <v>54746816</v>
      </c>
    </row>
    <row r="66" spans="1:45" ht="15.75" x14ac:dyDescent="0.2">
      <c r="A66" s="347" t="s">
        <v>499</v>
      </c>
      <c r="B66" s="348" t="s">
        <v>533</v>
      </c>
      <c r="C66" s="348" t="s">
        <v>194</v>
      </c>
      <c r="D66" s="349">
        <v>3</v>
      </c>
      <c r="E66" s="382">
        <v>6445527</v>
      </c>
      <c r="F66" s="382">
        <v>6445527</v>
      </c>
      <c r="G66" s="382">
        <v>1538288</v>
      </c>
      <c r="H66" s="382">
        <v>1538288</v>
      </c>
      <c r="I66" s="382">
        <v>4209363</v>
      </c>
      <c r="J66" s="382">
        <v>4209363</v>
      </c>
      <c r="K66" s="382"/>
      <c r="L66" s="382"/>
      <c r="M66" s="382"/>
      <c r="N66" s="382"/>
      <c r="O66" s="350"/>
      <c r="P66" s="350"/>
      <c r="Q66" s="382"/>
      <c r="R66" s="350"/>
      <c r="S66" s="382"/>
      <c r="T66" s="350"/>
      <c r="U66" s="382"/>
      <c r="V66" s="350"/>
      <c r="W66" s="347" t="s">
        <v>499</v>
      </c>
      <c r="X66" s="348" t="s">
        <v>533</v>
      </c>
      <c r="Y66" s="388">
        <v>1320000</v>
      </c>
      <c r="Z66" s="388">
        <f>'5.számú melléklet '!C38+'5.számú melléklet '!C42+'5.számú melléklet '!C43+'5.számú melléklet '!C45</f>
        <v>1320000</v>
      </c>
      <c r="AA66" s="386"/>
      <c r="AB66" s="386"/>
      <c r="AC66" s="388"/>
      <c r="AD66" s="386"/>
      <c r="AE66" s="388"/>
      <c r="AF66" s="386"/>
      <c r="AG66" s="388"/>
      <c r="AH66" s="386"/>
      <c r="AI66" s="388"/>
      <c r="AJ66" s="386"/>
      <c r="AK66" s="388"/>
      <c r="AL66" s="386"/>
      <c r="AM66" s="388"/>
      <c r="AN66" s="386"/>
      <c r="AO66" s="388"/>
      <c r="AP66" s="386"/>
      <c r="AQ66" s="388"/>
      <c r="AR66" s="351">
        <f t="shared" si="0"/>
        <v>13513178</v>
      </c>
      <c r="AS66" s="351">
        <f t="shared" si="0"/>
        <v>13513178</v>
      </c>
    </row>
    <row r="67" spans="1:45" ht="32.25" customHeight="1" x14ac:dyDescent="0.2">
      <c r="A67" s="347" t="s">
        <v>500</v>
      </c>
      <c r="B67" s="348" t="s">
        <v>501</v>
      </c>
      <c r="C67" s="348" t="s">
        <v>194</v>
      </c>
      <c r="D67" s="349">
        <v>3</v>
      </c>
      <c r="E67" s="382">
        <v>6898433</v>
      </c>
      <c r="F67" s="382">
        <v>6898433</v>
      </c>
      <c r="G67" s="382">
        <v>1426206</v>
      </c>
      <c r="H67" s="382">
        <v>1426206</v>
      </c>
      <c r="I67" s="382">
        <v>16411122</v>
      </c>
      <c r="J67" s="382">
        <v>16411122</v>
      </c>
      <c r="K67" s="382"/>
      <c r="L67" s="382"/>
      <c r="M67" s="382"/>
      <c r="N67" s="382"/>
      <c r="O67" s="350"/>
      <c r="P67" s="350"/>
      <c r="Q67" s="382"/>
      <c r="R67" s="350"/>
      <c r="S67" s="382"/>
      <c r="T67" s="350"/>
      <c r="U67" s="382"/>
      <c r="V67" s="350"/>
      <c r="W67" s="347" t="s">
        <v>500</v>
      </c>
      <c r="X67" s="348" t="s">
        <v>501</v>
      </c>
      <c r="Y67" s="388"/>
      <c r="Z67" s="388"/>
      <c r="AA67" s="386"/>
      <c r="AB67" s="386"/>
      <c r="AC67" s="388"/>
      <c r="AD67" s="386"/>
      <c r="AE67" s="388"/>
      <c r="AF67" s="386"/>
      <c r="AG67" s="388"/>
      <c r="AH67" s="386"/>
      <c r="AI67" s="388"/>
      <c r="AJ67" s="386"/>
      <c r="AK67" s="388"/>
      <c r="AL67" s="386"/>
      <c r="AM67" s="388"/>
      <c r="AN67" s="386"/>
      <c r="AO67" s="388"/>
      <c r="AP67" s="386"/>
      <c r="AQ67" s="388"/>
      <c r="AR67" s="351">
        <f t="shared" si="0"/>
        <v>24735761</v>
      </c>
      <c r="AS67" s="351">
        <f t="shared" si="0"/>
        <v>24735761</v>
      </c>
    </row>
    <row r="68" spans="1:45" ht="28.5" customHeight="1" x14ac:dyDescent="0.2">
      <c r="A68" s="347" t="s">
        <v>534</v>
      </c>
      <c r="B68" s="348" t="s">
        <v>535</v>
      </c>
      <c r="C68" s="348" t="s">
        <v>194</v>
      </c>
      <c r="D68" s="349">
        <v>1</v>
      </c>
      <c r="E68" s="382">
        <v>2260557</v>
      </c>
      <c r="F68" s="382">
        <v>2260557</v>
      </c>
      <c r="G68" s="382">
        <v>467355</v>
      </c>
      <c r="H68" s="382">
        <v>467355</v>
      </c>
      <c r="I68" s="382">
        <v>3391831</v>
      </c>
      <c r="J68" s="382">
        <v>3391831</v>
      </c>
      <c r="K68" s="382"/>
      <c r="L68" s="382"/>
      <c r="M68" s="382"/>
      <c r="N68" s="382"/>
      <c r="O68" s="350"/>
      <c r="P68" s="350"/>
      <c r="Q68" s="382"/>
      <c r="R68" s="350"/>
      <c r="S68" s="382"/>
      <c r="T68" s="350"/>
      <c r="U68" s="382"/>
      <c r="V68" s="350"/>
      <c r="W68" s="347" t="s">
        <v>534</v>
      </c>
      <c r="X68" s="348" t="s">
        <v>535</v>
      </c>
      <c r="Y68" s="388"/>
      <c r="Z68" s="388"/>
      <c r="AA68" s="386"/>
      <c r="AB68" s="386"/>
      <c r="AC68" s="388"/>
      <c r="AD68" s="386"/>
      <c r="AE68" s="388"/>
      <c r="AF68" s="386"/>
      <c r="AG68" s="388"/>
      <c r="AH68" s="386"/>
      <c r="AI68" s="388"/>
      <c r="AJ68" s="386"/>
      <c r="AK68" s="388"/>
      <c r="AL68" s="386"/>
      <c r="AM68" s="388"/>
      <c r="AN68" s="386"/>
      <c r="AO68" s="388"/>
      <c r="AP68" s="386"/>
      <c r="AQ68" s="388"/>
      <c r="AR68" s="351">
        <f t="shared" si="0"/>
        <v>6119743</v>
      </c>
      <c r="AS68" s="351">
        <f t="shared" si="0"/>
        <v>6119743</v>
      </c>
    </row>
    <row r="69" spans="1:45" ht="15.75" x14ac:dyDescent="0.2">
      <c r="A69" s="347" t="s">
        <v>615</v>
      </c>
      <c r="B69" s="348" t="s">
        <v>505</v>
      </c>
      <c r="C69" s="348" t="s">
        <v>194</v>
      </c>
      <c r="D69" s="349">
        <v>6</v>
      </c>
      <c r="E69" s="382">
        <v>16338390</v>
      </c>
      <c r="F69" s="382">
        <f>16338390+48596+169688+140683</f>
        <v>16697357</v>
      </c>
      <c r="G69" s="382">
        <v>3207844</v>
      </c>
      <c r="H69" s="382">
        <f>3207844+69998</f>
        <v>3277842</v>
      </c>
      <c r="I69" s="382">
        <v>2456540</v>
      </c>
      <c r="J69" s="382">
        <v>2456540</v>
      </c>
      <c r="K69" s="382"/>
      <c r="L69" s="382"/>
      <c r="M69" s="382"/>
      <c r="N69" s="382"/>
      <c r="O69" s="350"/>
      <c r="P69" s="350"/>
      <c r="Q69" s="382"/>
      <c r="R69" s="350"/>
      <c r="S69" s="382"/>
      <c r="T69" s="350"/>
      <c r="U69" s="382"/>
      <c r="V69" s="350"/>
      <c r="W69" s="347" t="s">
        <v>615</v>
      </c>
      <c r="X69" s="348" t="s">
        <v>505</v>
      </c>
      <c r="Y69" s="388">
        <v>400000</v>
      </c>
      <c r="Z69" s="388">
        <f>'5.számú melléklet '!C39+'5.számú melléklet '!C40</f>
        <v>400000</v>
      </c>
      <c r="AA69" s="386"/>
      <c r="AB69" s="386"/>
      <c r="AC69" s="388"/>
      <c r="AD69" s="386"/>
      <c r="AE69" s="388"/>
      <c r="AF69" s="386"/>
      <c r="AG69" s="388"/>
      <c r="AH69" s="386"/>
      <c r="AI69" s="388"/>
      <c r="AJ69" s="386"/>
      <c r="AK69" s="388"/>
      <c r="AL69" s="386"/>
      <c r="AM69" s="388"/>
      <c r="AN69" s="386"/>
      <c r="AO69" s="388"/>
      <c r="AP69" s="386"/>
      <c r="AQ69" s="388"/>
      <c r="AR69" s="351">
        <f t="shared" si="0"/>
        <v>22402774</v>
      </c>
      <c r="AS69" s="351">
        <f t="shared" si="0"/>
        <v>22831739</v>
      </c>
    </row>
    <row r="70" spans="1:45" ht="15.75" x14ac:dyDescent="0.2">
      <c r="A70" s="347" t="s">
        <v>506</v>
      </c>
      <c r="B70" s="348" t="s">
        <v>507</v>
      </c>
      <c r="C70" s="348" t="s">
        <v>194</v>
      </c>
      <c r="D70" s="349"/>
      <c r="E70" s="382"/>
      <c r="F70" s="382"/>
      <c r="G70" s="382"/>
      <c r="H70" s="382"/>
      <c r="I70" s="382">
        <v>2377456</v>
      </c>
      <c r="J70" s="382">
        <v>2377456</v>
      </c>
      <c r="K70" s="382"/>
      <c r="L70" s="382"/>
      <c r="M70" s="382"/>
      <c r="N70" s="382"/>
      <c r="O70" s="350"/>
      <c r="P70" s="350"/>
      <c r="Q70" s="382"/>
      <c r="R70" s="350"/>
      <c r="S70" s="382"/>
      <c r="T70" s="350"/>
      <c r="U70" s="382"/>
      <c r="V70" s="350"/>
      <c r="W70" s="347" t="s">
        <v>506</v>
      </c>
      <c r="X70" s="348" t="s">
        <v>507</v>
      </c>
      <c r="Y70" s="388"/>
      <c r="Z70" s="388"/>
      <c r="AA70" s="386"/>
      <c r="AB70" s="386"/>
      <c r="AC70" s="388"/>
      <c r="AD70" s="386"/>
      <c r="AE70" s="388"/>
      <c r="AF70" s="386"/>
      <c r="AG70" s="388"/>
      <c r="AH70" s="386"/>
      <c r="AI70" s="388"/>
      <c r="AJ70" s="386"/>
      <c r="AK70" s="388"/>
      <c r="AL70" s="386"/>
      <c r="AM70" s="388"/>
      <c r="AN70" s="386"/>
      <c r="AO70" s="388"/>
      <c r="AP70" s="386"/>
      <c r="AQ70" s="388"/>
      <c r="AR70" s="351">
        <f t="shared" si="0"/>
        <v>2377456</v>
      </c>
      <c r="AS70" s="351">
        <f t="shared" si="0"/>
        <v>2377456</v>
      </c>
    </row>
    <row r="71" spans="1:45" ht="15.75" x14ac:dyDescent="0.2">
      <c r="A71" s="347" t="s">
        <v>536</v>
      </c>
      <c r="B71" s="348" t="s">
        <v>566</v>
      </c>
      <c r="C71" s="348" t="s">
        <v>194</v>
      </c>
      <c r="D71" s="349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50"/>
      <c r="P71" s="350"/>
      <c r="Q71" s="382"/>
      <c r="R71" s="350"/>
      <c r="S71" s="382"/>
      <c r="T71" s="350"/>
      <c r="U71" s="382"/>
      <c r="V71" s="350"/>
      <c r="W71" s="347" t="s">
        <v>536</v>
      </c>
      <c r="X71" s="348" t="s">
        <v>566</v>
      </c>
      <c r="Y71" s="388"/>
      <c r="Z71" s="388"/>
      <c r="AA71" s="386"/>
      <c r="AB71" s="386"/>
      <c r="AC71" s="388"/>
      <c r="AD71" s="386"/>
      <c r="AE71" s="388"/>
      <c r="AF71" s="386"/>
      <c r="AG71" s="388"/>
      <c r="AH71" s="386"/>
      <c r="AI71" s="388"/>
      <c r="AJ71" s="386"/>
      <c r="AK71" s="388"/>
      <c r="AL71" s="386"/>
      <c r="AM71" s="388"/>
      <c r="AN71" s="386"/>
      <c r="AO71" s="388"/>
      <c r="AP71" s="386"/>
      <c r="AQ71" s="388"/>
      <c r="AR71" s="351">
        <f t="shared" ref="AR71:AS81" si="107">SUM(E71+G71+I71+K71+M71+O71+Q71+S71+U71+Y71+AA71+AC71+AE71+AG71+AI71+AK71+AO71+AM71)</f>
        <v>0</v>
      </c>
      <c r="AS71" s="351">
        <f t="shared" si="107"/>
        <v>0</v>
      </c>
    </row>
    <row r="72" spans="1:45" ht="15.75" x14ac:dyDescent="0.2">
      <c r="A72" s="375" t="s">
        <v>518</v>
      </c>
      <c r="B72" s="356" t="s">
        <v>519</v>
      </c>
      <c r="C72" s="356" t="s">
        <v>194</v>
      </c>
      <c r="D72" s="357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75" t="s">
        <v>518</v>
      </c>
      <c r="X72" s="356" t="s">
        <v>519</v>
      </c>
      <c r="Y72" s="354"/>
      <c r="Z72" s="354"/>
      <c r="AA72" s="369"/>
      <c r="AB72" s="369"/>
      <c r="AC72" s="354"/>
      <c r="AD72" s="369"/>
      <c r="AE72" s="354"/>
      <c r="AF72" s="369"/>
      <c r="AG72" s="354"/>
      <c r="AH72" s="369"/>
      <c r="AI72" s="354"/>
      <c r="AJ72" s="369"/>
      <c r="AK72" s="354"/>
      <c r="AL72" s="369"/>
      <c r="AM72" s="354"/>
      <c r="AN72" s="369"/>
      <c r="AO72" s="354"/>
      <c r="AP72" s="369"/>
      <c r="AQ72" s="354"/>
      <c r="AR72" s="351">
        <f t="shared" si="107"/>
        <v>0</v>
      </c>
      <c r="AS72" s="351">
        <f t="shared" si="107"/>
        <v>0</v>
      </c>
    </row>
    <row r="73" spans="1:45" ht="15.75" customHeight="1" x14ac:dyDescent="0.2">
      <c r="A73" s="671" t="s">
        <v>590</v>
      </c>
      <c r="B73" s="671"/>
      <c r="C73" s="383"/>
      <c r="D73" s="384">
        <f t="shared" ref="D73:K73" si="108">SUM(D61:D72)</f>
        <v>27</v>
      </c>
      <c r="E73" s="377">
        <f t="shared" ref="E73" si="109">SUM(E61:E72)</f>
        <v>81653112</v>
      </c>
      <c r="F73" s="377">
        <f t="shared" si="108"/>
        <v>82012079</v>
      </c>
      <c r="G73" s="377">
        <f t="shared" ref="G73" si="110">SUM(G61:G72)</f>
        <v>18259523</v>
      </c>
      <c r="H73" s="377">
        <f t="shared" si="108"/>
        <v>18329521</v>
      </c>
      <c r="I73" s="377">
        <f t="shared" ref="I73" si="111">SUM(I61:I72)</f>
        <v>55826365</v>
      </c>
      <c r="J73" s="377">
        <f t="shared" si="108"/>
        <v>55826365</v>
      </c>
      <c r="K73" s="377">
        <f t="shared" si="108"/>
        <v>0</v>
      </c>
      <c r="L73" s="377">
        <f t="shared" ref="L73:V73" si="112">SUM(L61:L72)</f>
        <v>0</v>
      </c>
      <c r="M73" s="377">
        <f>SUM(M61:M72)</f>
        <v>0</v>
      </c>
      <c r="N73" s="377">
        <f t="shared" si="112"/>
        <v>2212562</v>
      </c>
      <c r="O73" s="377">
        <f t="shared" ref="O73" si="113">SUM(O61:O72)</f>
        <v>0</v>
      </c>
      <c r="P73" s="377">
        <f t="shared" si="112"/>
        <v>0</v>
      </c>
      <c r="Q73" s="377">
        <f>SUM(Q61:Q72)</f>
        <v>0</v>
      </c>
      <c r="R73" s="377">
        <f t="shared" si="112"/>
        <v>0</v>
      </c>
      <c r="S73" s="377">
        <f>SUM(S61:S72)</f>
        <v>0</v>
      </c>
      <c r="T73" s="377">
        <f t="shared" si="112"/>
        <v>0</v>
      </c>
      <c r="U73" s="377">
        <f>SUM(U61:U72)</f>
        <v>0</v>
      </c>
      <c r="V73" s="377">
        <f t="shared" si="112"/>
        <v>0</v>
      </c>
      <c r="W73" s="671" t="s">
        <v>590</v>
      </c>
      <c r="X73" s="671"/>
      <c r="Y73" s="377">
        <f t="shared" ref="Y73" si="114">SUM(Y61:Y72)</f>
        <v>2200000</v>
      </c>
      <c r="Z73" s="377">
        <f t="shared" ref="Z73:AP73" si="115">SUM(Z61:Z72)</f>
        <v>2200000</v>
      </c>
      <c r="AA73" s="377">
        <f t="shared" ref="AA73" si="116">SUM(AA61:AA72)</f>
        <v>0</v>
      </c>
      <c r="AB73" s="377">
        <f t="shared" si="115"/>
        <v>0</v>
      </c>
      <c r="AC73" s="377">
        <f>SUM(AC61:AC72)</f>
        <v>0</v>
      </c>
      <c r="AD73" s="377">
        <f t="shared" si="115"/>
        <v>0</v>
      </c>
      <c r="AE73" s="377">
        <f>SUM(AE61:AE72)</f>
        <v>0</v>
      </c>
      <c r="AF73" s="377">
        <f t="shared" si="115"/>
        <v>0</v>
      </c>
      <c r="AG73" s="377">
        <f>SUM(AG61:AG72)</f>
        <v>0</v>
      </c>
      <c r="AH73" s="377">
        <f t="shared" si="115"/>
        <v>0</v>
      </c>
      <c r="AI73" s="377">
        <f>SUM(AI61:AI72)</f>
        <v>0</v>
      </c>
      <c r="AJ73" s="377">
        <f t="shared" si="115"/>
        <v>0</v>
      </c>
      <c r="AK73" s="377">
        <f>SUM(AK61:AK72)</f>
        <v>0</v>
      </c>
      <c r="AL73" s="377">
        <f t="shared" si="115"/>
        <v>0</v>
      </c>
      <c r="AM73" s="377">
        <f>SUM(AM61:AM72)</f>
        <v>0</v>
      </c>
      <c r="AN73" s="377">
        <f t="shared" ref="AN73" si="117">SUM(AN61:AN72)</f>
        <v>0</v>
      </c>
      <c r="AO73" s="377">
        <f>SUM(AO61:AO72)</f>
        <v>0</v>
      </c>
      <c r="AP73" s="377">
        <f t="shared" si="115"/>
        <v>0</v>
      </c>
      <c r="AQ73" s="377">
        <f>SUM(AQ61:AQ72)</f>
        <v>0</v>
      </c>
      <c r="AR73" s="377">
        <f t="shared" si="107"/>
        <v>157939000</v>
      </c>
      <c r="AS73" s="377">
        <f t="shared" si="107"/>
        <v>160580527</v>
      </c>
    </row>
    <row r="74" spans="1:45" ht="15.75" x14ac:dyDescent="0.2">
      <c r="A74" s="375" t="s">
        <v>434</v>
      </c>
      <c r="B74" s="356" t="s">
        <v>435</v>
      </c>
      <c r="C74" s="356" t="s">
        <v>194</v>
      </c>
      <c r="D74" s="385"/>
      <c r="E74" s="386"/>
      <c r="F74" s="386"/>
      <c r="G74" s="386"/>
      <c r="H74" s="386"/>
      <c r="I74" s="388">
        <v>1720000</v>
      </c>
      <c r="J74" s="388">
        <v>2200000</v>
      </c>
      <c r="K74" s="388"/>
      <c r="L74" s="386"/>
      <c r="M74" s="388"/>
      <c r="N74" s="386"/>
      <c r="O74" s="386"/>
      <c r="P74" s="386"/>
      <c r="Q74" s="388"/>
      <c r="R74" s="386"/>
      <c r="S74" s="388"/>
      <c r="T74" s="386"/>
      <c r="U74" s="388"/>
      <c r="V74" s="386"/>
      <c r="W74" s="375" t="s">
        <v>434</v>
      </c>
      <c r="X74" s="356" t="s">
        <v>435</v>
      </c>
      <c r="Y74" s="388">
        <v>19963948</v>
      </c>
      <c r="Z74" s="388">
        <f>'5.számú melléklet '!C49+1796155</f>
        <v>21760103</v>
      </c>
      <c r="AA74" s="386"/>
      <c r="AB74" s="386"/>
      <c r="AC74" s="388"/>
      <c r="AD74" s="386"/>
      <c r="AE74" s="388"/>
      <c r="AF74" s="386"/>
      <c r="AG74" s="388"/>
      <c r="AH74" s="386"/>
      <c r="AI74" s="388"/>
      <c r="AJ74" s="386"/>
      <c r="AK74" s="388"/>
      <c r="AL74" s="386"/>
      <c r="AM74" s="388"/>
      <c r="AN74" s="386"/>
      <c r="AO74" s="388"/>
      <c r="AP74" s="386"/>
      <c r="AQ74" s="388"/>
      <c r="AR74" s="351">
        <f t="shared" si="107"/>
        <v>21683948</v>
      </c>
      <c r="AS74" s="351">
        <f t="shared" si="107"/>
        <v>23960103</v>
      </c>
    </row>
    <row r="75" spans="1:45" ht="15.75" x14ac:dyDescent="0.2">
      <c r="A75" s="347" t="s">
        <v>438</v>
      </c>
      <c r="B75" s="348" t="s">
        <v>439</v>
      </c>
      <c r="C75" s="356" t="s">
        <v>194</v>
      </c>
      <c r="D75" s="385"/>
      <c r="E75" s="386"/>
      <c r="F75" s="386"/>
      <c r="G75" s="386"/>
      <c r="H75" s="386"/>
      <c r="I75" s="386"/>
      <c r="J75" s="386"/>
      <c r="K75" s="386"/>
      <c r="L75" s="386"/>
      <c r="M75" s="386"/>
      <c r="N75" s="386">
        <v>2496860</v>
      </c>
      <c r="O75" s="386"/>
      <c r="P75" s="386"/>
      <c r="Q75" s="386"/>
      <c r="R75" s="386"/>
      <c r="S75" s="386"/>
      <c r="T75" s="386"/>
      <c r="U75" s="386"/>
      <c r="V75" s="386"/>
      <c r="W75" s="347" t="s">
        <v>438</v>
      </c>
      <c r="X75" s="348" t="s">
        <v>439</v>
      </c>
      <c r="Y75" s="388"/>
      <c r="Z75" s="388"/>
      <c r="AA75" s="386"/>
      <c r="AB75" s="386"/>
      <c r="AC75" s="386"/>
      <c r="AD75" s="386"/>
      <c r="AE75" s="386"/>
      <c r="AF75" s="386"/>
      <c r="AG75" s="386"/>
      <c r="AH75" s="386"/>
      <c r="AI75" s="386"/>
      <c r="AJ75" s="386"/>
      <c r="AK75" s="386"/>
      <c r="AL75" s="386"/>
      <c r="AM75" s="386"/>
      <c r="AN75" s="386"/>
      <c r="AO75" s="386"/>
      <c r="AP75" s="386"/>
      <c r="AQ75" s="386"/>
      <c r="AR75" s="351">
        <f t="shared" si="107"/>
        <v>0</v>
      </c>
      <c r="AS75" s="351">
        <f t="shared" si="107"/>
        <v>2496860</v>
      </c>
    </row>
    <row r="76" spans="1:45" ht="15.75" x14ac:dyDescent="0.2">
      <c r="A76" s="375" t="s">
        <v>486</v>
      </c>
      <c r="B76" s="356" t="s">
        <v>487</v>
      </c>
      <c r="C76" s="356" t="s">
        <v>194</v>
      </c>
      <c r="D76" s="387">
        <v>0.6</v>
      </c>
      <c r="E76" s="388">
        <v>1792205</v>
      </c>
      <c r="F76" s="388">
        <v>1792205</v>
      </c>
      <c r="G76" s="388">
        <v>317154</v>
      </c>
      <c r="H76" s="388">
        <v>317154</v>
      </c>
      <c r="I76" s="388">
        <v>2106600</v>
      </c>
      <c r="J76" s="388">
        <v>2106600</v>
      </c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6"/>
      <c r="W76" s="375" t="s">
        <v>486</v>
      </c>
      <c r="X76" s="356" t="s">
        <v>487</v>
      </c>
      <c r="Y76" s="388">
        <v>490000</v>
      </c>
      <c r="Z76" s="388">
        <f>'5.számú melléklet '!C56+'5.számú melléklet '!C54+'5.számú melléklet '!C53</f>
        <v>490000</v>
      </c>
      <c r="AA76" s="386"/>
      <c r="AB76" s="386"/>
      <c r="AC76" s="388"/>
      <c r="AD76" s="386"/>
      <c r="AE76" s="388"/>
      <c r="AF76" s="386"/>
      <c r="AG76" s="388"/>
      <c r="AH76" s="386"/>
      <c r="AI76" s="388"/>
      <c r="AJ76" s="386"/>
      <c r="AK76" s="388"/>
      <c r="AL76" s="386"/>
      <c r="AM76" s="388"/>
      <c r="AN76" s="386"/>
      <c r="AO76" s="388"/>
      <c r="AP76" s="386"/>
      <c r="AQ76" s="388"/>
      <c r="AR76" s="351">
        <f t="shared" si="107"/>
        <v>4705959</v>
      </c>
      <c r="AS76" s="351">
        <f t="shared" si="107"/>
        <v>4705959</v>
      </c>
    </row>
    <row r="77" spans="1:45" ht="15.75" x14ac:dyDescent="0.2">
      <c r="A77" s="375" t="s">
        <v>529</v>
      </c>
      <c r="B77" s="356" t="s">
        <v>539</v>
      </c>
      <c r="C77" s="356" t="s">
        <v>194</v>
      </c>
      <c r="D77" s="387">
        <v>4</v>
      </c>
      <c r="E77" s="388">
        <v>7436527</v>
      </c>
      <c r="F77" s="388">
        <f>7436527+271000+300409</f>
        <v>8007936</v>
      </c>
      <c r="G77" s="388">
        <v>1550873</v>
      </c>
      <c r="H77" s="388">
        <f>1550873+111425</f>
        <v>1662298</v>
      </c>
      <c r="I77" s="388">
        <v>11330873</v>
      </c>
      <c r="J77" s="388">
        <f>11330873-6270</f>
        <v>11324603</v>
      </c>
      <c r="K77" s="388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6"/>
      <c r="W77" s="375" t="s">
        <v>529</v>
      </c>
      <c r="X77" s="356" t="s">
        <v>539</v>
      </c>
      <c r="Y77" s="388">
        <v>510000</v>
      </c>
      <c r="Z77" s="388">
        <f>'5.számú melléklet '!C51+'5.számú melléklet '!C52+'5.számú melléklet '!C55</f>
        <v>510000</v>
      </c>
      <c r="AA77" s="386"/>
      <c r="AB77" s="386"/>
      <c r="AC77" s="388"/>
      <c r="AD77" s="386"/>
      <c r="AE77" s="388"/>
      <c r="AF77" s="386"/>
      <c r="AG77" s="388"/>
      <c r="AH77" s="386"/>
      <c r="AI77" s="388"/>
      <c r="AJ77" s="386"/>
      <c r="AK77" s="388"/>
      <c r="AL77" s="386"/>
      <c r="AM77" s="388"/>
      <c r="AN77" s="386"/>
      <c r="AO77" s="388"/>
      <c r="AP77" s="386"/>
      <c r="AQ77" s="388"/>
      <c r="AR77" s="351">
        <f t="shared" si="107"/>
        <v>20828273</v>
      </c>
      <c r="AS77" s="351">
        <f t="shared" si="107"/>
        <v>21504837</v>
      </c>
    </row>
    <row r="78" spans="1:45" ht="15.75" x14ac:dyDescent="0.2">
      <c r="A78" s="347" t="s">
        <v>490</v>
      </c>
      <c r="B78" s="352" t="s">
        <v>491</v>
      </c>
      <c r="C78" s="356"/>
      <c r="D78" s="387"/>
      <c r="E78" s="388"/>
      <c r="F78" s="388"/>
      <c r="G78" s="388"/>
      <c r="H78" s="388"/>
      <c r="I78" s="388"/>
      <c r="J78" s="388">
        <v>3047000</v>
      </c>
      <c r="K78" s="388"/>
      <c r="L78" s="388"/>
      <c r="M78" s="388"/>
      <c r="N78" s="388"/>
      <c r="O78" s="388"/>
      <c r="P78" s="388">
        <v>6270</v>
      </c>
      <c r="Q78" s="388"/>
      <c r="R78" s="388"/>
      <c r="S78" s="388"/>
      <c r="T78" s="388"/>
      <c r="U78" s="388"/>
      <c r="V78" s="386"/>
      <c r="W78" s="347" t="s">
        <v>490</v>
      </c>
      <c r="X78" s="352" t="s">
        <v>491</v>
      </c>
      <c r="Y78" s="388"/>
      <c r="Z78" s="388"/>
      <c r="AA78" s="386"/>
      <c r="AB78" s="386"/>
      <c r="AC78" s="388"/>
      <c r="AD78" s="386"/>
      <c r="AE78" s="388"/>
      <c r="AF78" s="386"/>
      <c r="AG78" s="388"/>
      <c r="AH78" s="386"/>
      <c r="AI78" s="388"/>
      <c r="AJ78" s="386"/>
      <c r="AK78" s="388"/>
      <c r="AL78" s="386"/>
      <c r="AM78" s="388"/>
      <c r="AN78" s="386"/>
      <c r="AO78" s="388"/>
      <c r="AP78" s="386"/>
      <c r="AQ78" s="388"/>
      <c r="AR78" s="351">
        <f t="shared" ref="AR78" si="118">SUM(E78+G78+I78+K78+M78+O78+Q78+S78+U78+Y78+AA78+AC78+AE78+AG78+AI78+AK78+AO78+AM78)</f>
        <v>0</v>
      </c>
      <c r="AS78" s="351">
        <f t="shared" ref="AS78" si="119">SUM(F78+H78+J78+L78+N78+P78+R78+T78+V78+Z78+AB78+AD78+AF78+AH78+AJ78+AL78+AP78+AN78)</f>
        <v>3053270</v>
      </c>
    </row>
    <row r="79" spans="1:45" ht="15.75" x14ac:dyDescent="0.2">
      <c r="A79" s="375" t="s">
        <v>492</v>
      </c>
      <c r="B79" s="356" t="s">
        <v>540</v>
      </c>
      <c r="C79" s="356" t="s">
        <v>194</v>
      </c>
      <c r="D79" s="387"/>
      <c r="E79" s="388">
        <v>1863499</v>
      </c>
      <c r="F79" s="388">
        <v>1863499</v>
      </c>
      <c r="G79" s="388">
        <v>426701</v>
      </c>
      <c r="H79" s="388">
        <v>426701</v>
      </c>
      <c r="I79" s="388">
        <v>3912620</v>
      </c>
      <c r="J79" s="388">
        <v>3912620</v>
      </c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6"/>
      <c r="W79" s="375" t="s">
        <v>492</v>
      </c>
      <c r="X79" s="356" t="s">
        <v>540</v>
      </c>
      <c r="Y79" s="388">
        <v>300000</v>
      </c>
      <c r="Z79" s="388">
        <f>'5.számú melléklet '!C50</f>
        <v>300000</v>
      </c>
      <c r="AA79" s="386"/>
      <c r="AB79" s="386"/>
      <c r="AC79" s="388"/>
      <c r="AD79" s="386"/>
      <c r="AE79" s="388"/>
      <c r="AF79" s="386"/>
      <c r="AG79" s="388"/>
      <c r="AH79" s="386"/>
      <c r="AI79" s="388"/>
      <c r="AJ79" s="386"/>
      <c r="AK79" s="388"/>
      <c r="AL79" s="386"/>
      <c r="AM79" s="388"/>
      <c r="AN79" s="386"/>
      <c r="AO79" s="388"/>
      <c r="AP79" s="386"/>
      <c r="AQ79" s="388"/>
      <c r="AR79" s="351">
        <f t="shared" si="107"/>
        <v>6502820</v>
      </c>
      <c r="AS79" s="351">
        <f t="shared" si="107"/>
        <v>6502820</v>
      </c>
    </row>
    <row r="80" spans="1:45" ht="15.75" customHeight="1" x14ac:dyDescent="0.2">
      <c r="A80" s="671" t="s">
        <v>591</v>
      </c>
      <c r="B80" s="671"/>
      <c r="C80" s="389"/>
      <c r="D80" s="384">
        <f t="shared" ref="D80:V80" si="120">SUM(D74:D79)</f>
        <v>4.5999999999999996</v>
      </c>
      <c r="E80" s="377">
        <f>SUM(E76:E79)</f>
        <v>11092231</v>
      </c>
      <c r="F80" s="377">
        <f>SUM(F76:F79)</f>
        <v>11663640</v>
      </c>
      <c r="G80" s="377">
        <f>SUM(G76:G79)</f>
        <v>2294728</v>
      </c>
      <c r="H80" s="377">
        <f>SUM(H76:H79)</f>
        <v>2406153</v>
      </c>
      <c r="I80" s="377">
        <f>SUM(I74:I79)</f>
        <v>19070093</v>
      </c>
      <c r="J80" s="377">
        <f>SUM(J74:J79)</f>
        <v>22590823</v>
      </c>
      <c r="K80" s="377">
        <f>SUM(K74:K79)</f>
        <v>0</v>
      </c>
      <c r="L80" s="377">
        <f t="shared" si="120"/>
        <v>0</v>
      </c>
      <c r="M80" s="377">
        <f>SUM(M74:M79)</f>
        <v>0</v>
      </c>
      <c r="N80" s="377">
        <f t="shared" si="120"/>
        <v>2496860</v>
      </c>
      <c r="O80" s="377">
        <f t="shared" ref="O80" si="121">SUM(O74:O79)</f>
        <v>0</v>
      </c>
      <c r="P80" s="377">
        <f t="shared" si="120"/>
        <v>6270</v>
      </c>
      <c r="Q80" s="377">
        <f>SUM(Q74:Q79)</f>
        <v>0</v>
      </c>
      <c r="R80" s="377">
        <f t="shared" si="120"/>
        <v>0</v>
      </c>
      <c r="S80" s="377">
        <f>SUM(S74:S79)</f>
        <v>0</v>
      </c>
      <c r="T80" s="377">
        <f t="shared" si="120"/>
        <v>0</v>
      </c>
      <c r="U80" s="377">
        <f>SUM(U74:U79)</f>
        <v>0</v>
      </c>
      <c r="V80" s="377">
        <f t="shared" si="120"/>
        <v>0</v>
      </c>
      <c r="W80" s="671" t="s">
        <v>591</v>
      </c>
      <c r="X80" s="671"/>
      <c r="Y80" s="377">
        <f>SUM(Y74:Y79)</f>
        <v>21263948</v>
      </c>
      <c r="Z80" s="377">
        <f>SUM(Z74:Z79)</f>
        <v>23060103</v>
      </c>
      <c r="AA80" s="377">
        <f t="shared" ref="AA80" si="122">SUM(AA74:AA79)</f>
        <v>0</v>
      </c>
      <c r="AB80" s="377">
        <f t="shared" ref="AB80:AP80" si="123">SUM(AB74:AB79)</f>
        <v>0</v>
      </c>
      <c r="AC80" s="377">
        <f>SUM(AC74:AC79)</f>
        <v>0</v>
      </c>
      <c r="AD80" s="377">
        <f t="shared" si="123"/>
        <v>0</v>
      </c>
      <c r="AE80" s="377">
        <f>SUM(AE74:AE79)</f>
        <v>0</v>
      </c>
      <c r="AF80" s="377">
        <f t="shared" si="123"/>
        <v>0</v>
      </c>
      <c r="AG80" s="377">
        <f>SUM(AG74:AG79)</f>
        <v>0</v>
      </c>
      <c r="AH80" s="377">
        <f t="shared" si="123"/>
        <v>0</v>
      </c>
      <c r="AI80" s="377">
        <f>SUM(AI74:AI79)</f>
        <v>0</v>
      </c>
      <c r="AJ80" s="377">
        <f t="shared" si="123"/>
        <v>0</v>
      </c>
      <c r="AK80" s="377">
        <f>SUM(AK74:AK79)</f>
        <v>0</v>
      </c>
      <c r="AL80" s="377">
        <f t="shared" si="123"/>
        <v>0</v>
      </c>
      <c r="AM80" s="377">
        <f>SUM(AM74:AM79)</f>
        <v>0</v>
      </c>
      <c r="AN80" s="377">
        <f t="shared" ref="AN80" si="124">SUM(AN74:AN79)</f>
        <v>0</v>
      </c>
      <c r="AO80" s="377">
        <f>SUM(AO74:AO79)</f>
        <v>0</v>
      </c>
      <c r="AP80" s="377">
        <f t="shared" si="123"/>
        <v>0</v>
      </c>
      <c r="AQ80" s="377">
        <f>SUM(AQ74:AQ79)</f>
        <v>0</v>
      </c>
      <c r="AR80" s="377">
        <f t="shared" si="107"/>
        <v>53721000</v>
      </c>
      <c r="AS80" s="377">
        <f t="shared" si="107"/>
        <v>62223849</v>
      </c>
    </row>
    <row r="81" spans="1:45" ht="15.75" customHeight="1" x14ac:dyDescent="0.2">
      <c r="A81" s="670" t="s">
        <v>567</v>
      </c>
      <c r="B81" s="670"/>
      <c r="C81" s="390"/>
      <c r="D81" s="391">
        <f t="shared" ref="D81:V81" si="125">SUM(D52,D59,D73,D80)</f>
        <v>98.6</v>
      </c>
      <c r="E81" s="392">
        <f t="shared" ref="E81" si="126">SUM(E52,E59,E73,E80)</f>
        <v>237591373</v>
      </c>
      <c r="F81" s="392">
        <f t="shared" si="125"/>
        <v>241328421</v>
      </c>
      <c r="G81" s="392">
        <f t="shared" ref="G81" si="127">SUM(G52,G59,G73,G80)</f>
        <v>49918348</v>
      </c>
      <c r="H81" s="392">
        <f t="shared" si="125"/>
        <v>50634473</v>
      </c>
      <c r="I81" s="392">
        <f t="shared" ref="I81" si="128">SUM(I52,I59,I73,I80)</f>
        <v>436600469</v>
      </c>
      <c r="J81" s="392">
        <f t="shared" si="125"/>
        <v>496031874</v>
      </c>
      <c r="K81" s="392">
        <f t="shared" si="125"/>
        <v>7500000</v>
      </c>
      <c r="L81" s="392">
        <f t="shared" si="125"/>
        <v>7500000</v>
      </c>
      <c r="M81" s="392">
        <f t="shared" si="125"/>
        <v>0</v>
      </c>
      <c r="N81" s="392">
        <f t="shared" si="125"/>
        <v>10627629</v>
      </c>
      <c r="O81" s="392">
        <f t="shared" ref="O81" si="129">SUM(O52,O59,O73,O80)</f>
        <v>52516408</v>
      </c>
      <c r="P81" s="392">
        <f t="shared" si="125"/>
        <v>57664534</v>
      </c>
      <c r="Q81" s="392">
        <f t="shared" si="125"/>
        <v>1000000</v>
      </c>
      <c r="R81" s="392">
        <f t="shared" si="125"/>
        <v>1000000</v>
      </c>
      <c r="S81" s="392">
        <f t="shared" si="125"/>
        <v>78000000</v>
      </c>
      <c r="T81" s="392">
        <f t="shared" si="125"/>
        <v>96083336</v>
      </c>
      <c r="U81" s="392">
        <f t="shared" si="125"/>
        <v>255712508</v>
      </c>
      <c r="V81" s="392">
        <f t="shared" si="125"/>
        <v>198860920</v>
      </c>
      <c r="W81" s="670" t="s">
        <v>567</v>
      </c>
      <c r="X81" s="670"/>
      <c r="Y81" s="392">
        <f t="shared" ref="Y81" si="130">SUM(Y52,Y59,Y73,Y80)</f>
        <v>751946293</v>
      </c>
      <c r="Z81" s="392">
        <f t="shared" ref="Z81:AQ81" si="131">SUM(Z52,Z59,Z73,Z80)</f>
        <v>743217765</v>
      </c>
      <c r="AA81" s="392">
        <f t="shared" ref="AA81" si="132">SUM(AA52,AA59,AA73,AA80)</f>
        <v>32843676</v>
      </c>
      <c r="AB81" s="392">
        <f t="shared" si="131"/>
        <v>35919591</v>
      </c>
      <c r="AC81" s="392">
        <f t="shared" si="131"/>
        <v>0</v>
      </c>
      <c r="AD81" s="392">
        <f t="shared" si="131"/>
        <v>0</v>
      </c>
      <c r="AE81" s="392">
        <f t="shared" si="131"/>
        <v>1000000</v>
      </c>
      <c r="AF81" s="392">
        <f t="shared" si="131"/>
        <v>1000000</v>
      </c>
      <c r="AG81" s="392">
        <f t="shared" si="131"/>
        <v>600000</v>
      </c>
      <c r="AH81" s="392">
        <f t="shared" si="131"/>
        <v>600000</v>
      </c>
      <c r="AI81" s="392">
        <f t="shared" si="131"/>
        <v>13820000</v>
      </c>
      <c r="AJ81" s="392">
        <f t="shared" si="131"/>
        <v>13820000</v>
      </c>
      <c r="AK81" s="392">
        <f t="shared" si="131"/>
        <v>10000000</v>
      </c>
      <c r="AL81" s="392">
        <f t="shared" si="131"/>
        <v>10000000</v>
      </c>
      <c r="AM81" s="392">
        <f t="shared" si="131"/>
        <v>100000000</v>
      </c>
      <c r="AN81" s="392">
        <f t="shared" si="131"/>
        <v>100000000</v>
      </c>
      <c r="AO81" s="392">
        <f t="shared" si="131"/>
        <v>14048925</v>
      </c>
      <c r="AP81" s="392">
        <f t="shared" si="131"/>
        <v>14048925</v>
      </c>
      <c r="AQ81" s="392">
        <f t="shared" si="131"/>
        <v>0</v>
      </c>
      <c r="AR81" s="392">
        <f t="shared" si="107"/>
        <v>2043098000</v>
      </c>
      <c r="AS81" s="392">
        <f t="shared" si="107"/>
        <v>2078337468</v>
      </c>
    </row>
  </sheetData>
  <mergeCells count="37">
    <mergeCell ref="Q2:R2"/>
    <mergeCell ref="S2:T2"/>
    <mergeCell ref="Y1:Z2"/>
    <mergeCell ref="AA1:AB2"/>
    <mergeCell ref="AK1:AP1"/>
    <mergeCell ref="AC1:AJ1"/>
    <mergeCell ref="AC2:AD2"/>
    <mergeCell ref="AE2:AF2"/>
    <mergeCell ref="AG2:AH2"/>
    <mergeCell ref="AI2:AJ2"/>
    <mergeCell ref="AK2:AL2"/>
    <mergeCell ref="AM2:AN2"/>
    <mergeCell ref="AO2:AP2"/>
    <mergeCell ref="A81:B81"/>
    <mergeCell ref="W81:X81"/>
    <mergeCell ref="A59:B59"/>
    <mergeCell ref="W59:X59"/>
    <mergeCell ref="A73:B73"/>
    <mergeCell ref="W73:X73"/>
    <mergeCell ref="A80:B80"/>
    <mergeCell ref="W80:X80"/>
    <mergeCell ref="AR1:AS2"/>
    <mergeCell ref="C2:C3"/>
    <mergeCell ref="A52:B52"/>
    <mergeCell ref="W52:X52"/>
    <mergeCell ref="W1:W3"/>
    <mergeCell ref="X1:X3"/>
    <mergeCell ref="A1:A3"/>
    <mergeCell ref="B1:B3"/>
    <mergeCell ref="D1:D2"/>
    <mergeCell ref="E1:F2"/>
    <mergeCell ref="G1:H2"/>
    <mergeCell ref="I1:J2"/>
    <mergeCell ref="K1:L2"/>
    <mergeCell ref="M1:V1"/>
    <mergeCell ref="M2:N2"/>
    <mergeCell ref="O2:P2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  <headerFooter>
    <oddHeader xml:space="preserve">&amp;C&amp;"Arial CE,Félkövér"
8/2018. ( VI.28. ) számú költségvetési rendelethez
ZALAKAROS VÁROS ÖNKORMÁNYZATA ÉS KÖLTSÉGVETÉSI SZERVEI 
2018. ÉVI KIADÁSI ELŐIRÁNYZATAI 
 &amp;R&amp;P.oldal
&amp;A
1000.-Ft-ban
</oddHeader>
  </headerFooter>
  <rowBreaks count="1" manualBreakCount="1">
    <brk id="52" max="16383" man="1"/>
  </rowBreaks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11"/>
  <sheetViews>
    <sheetView view="pageBreakPreview" topLeftCell="A79" zoomScaleNormal="100" zoomScaleSheetLayoutView="100" workbookViewId="0">
      <selection activeCell="E71" sqref="E71"/>
    </sheetView>
  </sheetViews>
  <sheetFormatPr defaultColWidth="11.42578125" defaultRowHeight="15" x14ac:dyDescent="0.2"/>
  <cols>
    <col min="1" max="1" width="7.28515625" style="3" customWidth="1"/>
    <col min="2" max="2" width="75" style="3" customWidth="1"/>
    <col min="3" max="3" width="16.28515625" style="3" customWidth="1"/>
    <col min="4" max="4" width="17.140625" style="3" customWidth="1"/>
    <col min="5" max="5" width="16.140625" style="3" customWidth="1"/>
    <col min="6" max="6" width="13.5703125" style="3" customWidth="1"/>
    <col min="7" max="7" width="13.140625" style="3" customWidth="1"/>
    <col min="8" max="8" width="11.42578125" style="3" customWidth="1"/>
    <col min="9" max="16384" width="11.42578125" style="3"/>
  </cols>
  <sheetData>
    <row r="1" spans="1:7" ht="36.75" customHeight="1" x14ac:dyDescent="0.2">
      <c r="A1" s="536" t="s">
        <v>851</v>
      </c>
      <c r="B1" s="536" t="s">
        <v>15</v>
      </c>
      <c r="C1" s="536" t="s">
        <v>277</v>
      </c>
      <c r="D1" s="536" t="s">
        <v>375</v>
      </c>
      <c r="E1" s="536" t="s">
        <v>783</v>
      </c>
      <c r="F1" s="536" t="s">
        <v>422</v>
      </c>
      <c r="G1" s="536" t="s">
        <v>687</v>
      </c>
    </row>
    <row r="2" spans="1:7" ht="20.100000000000001" customHeight="1" x14ac:dyDescent="0.2">
      <c r="A2" s="537"/>
      <c r="B2" s="538" t="s">
        <v>906</v>
      </c>
      <c r="C2" s="539"/>
      <c r="D2" s="540"/>
      <c r="E2" s="540"/>
      <c r="F2" s="540"/>
      <c r="G2" s="540"/>
    </row>
    <row r="3" spans="1:7" ht="20.100000000000001" customHeight="1" x14ac:dyDescent="0.2">
      <c r="A3" s="541" t="s">
        <v>89</v>
      </c>
      <c r="B3" s="542" t="s">
        <v>884</v>
      </c>
      <c r="C3" s="540"/>
      <c r="D3" s="543"/>
      <c r="E3" s="543"/>
      <c r="F3" s="543"/>
      <c r="G3" s="543"/>
    </row>
    <row r="4" spans="1:7" ht="20.100000000000001" customHeight="1" x14ac:dyDescent="0.2">
      <c r="A4" s="541" t="s">
        <v>2</v>
      </c>
      <c r="B4" s="542" t="s">
        <v>849</v>
      </c>
      <c r="C4" s="540"/>
      <c r="D4" s="543"/>
      <c r="E4" s="543"/>
      <c r="F4" s="543"/>
      <c r="G4" s="543"/>
    </row>
    <row r="5" spans="1:7" ht="20.100000000000001" customHeight="1" x14ac:dyDescent="0.2">
      <c r="A5" s="541"/>
      <c r="B5" s="544" t="s">
        <v>853</v>
      </c>
      <c r="C5" s="545">
        <v>55513780</v>
      </c>
      <c r="D5" s="543">
        <v>54375430</v>
      </c>
      <c r="E5" s="543">
        <v>55824154</v>
      </c>
      <c r="F5" s="543"/>
      <c r="G5" s="543"/>
    </row>
    <row r="6" spans="1:7" ht="20.100000000000001" customHeight="1" x14ac:dyDescent="0.2">
      <c r="A6" s="541"/>
      <c r="B6" s="544" t="s">
        <v>854</v>
      </c>
      <c r="C6" s="545">
        <v>12809692</v>
      </c>
      <c r="D6" s="543">
        <v>11365353</v>
      </c>
      <c r="E6" s="543">
        <v>11634716</v>
      </c>
      <c r="F6" s="543"/>
      <c r="G6" s="543"/>
    </row>
    <row r="7" spans="1:7" ht="20.100000000000001" customHeight="1" x14ac:dyDescent="0.2">
      <c r="A7" s="541"/>
      <c r="B7" s="544" t="s">
        <v>855</v>
      </c>
      <c r="C7" s="545">
        <v>318993811</v>
      </c>
      <c r="D7" s="543">
        <v>343851011</v>
      </c>
      <c r="E7" s="543">
        <v>399666521</v>
      </c>
      <c r="F7" s="543"/>
      <c r="G7" s="543"/>
    </row>
    <row r="8" spans="1:7" ht="20.100000000000001" customHeight="1" x14ac:dyDescent="0.2">
      <c r="A8" s="546"/>
      <c r="B8" s="547" t="s">
        <v>850</v>
      </c>
      <c r="C8" s="548">
        <f>SUM(C5:C7)</f>
        <v>387317283</v>
      </c>
      <c r="D8" s="548">
        <f>SUM(D5:D7)</f>
        <v>409591794</v>
      </c>
      <c r="E8" s="548">
        <f>SUM(E5:E7)</f>
        <v>467125391</v>
      </c>
      <c r="F8" s="548">
        <f>SUM(F5:F7)</f>
        <v>0</v>
      </c>
      <c r="G8" s="548">
        <f>SUM(G5:G7)</f>
        <v>0</v>
      </c>
    </row>
    <row r="9" spans="1:7" ht="20.100000000000001" customHeight="1" x14ac:dyDescent="0.2">
      <c r="A9" s="546" t="s">
        <v>4</v>
      </c>
      <c r="B9" s="547" t="s">
        <v>856</v>
      </c>
      <c r="C9" s="548">
        <v>8500000</v>
      </c>
      <c r="D9" s="548">
        <v>7500000</v>
      </c>
      <c r="E9" s="548">
        <v>7500000</v>
      </c>
      <c r="F9" s="548"/>
      <c r="G9" s="548"/>
    </row>
    <row r="10" spans="1:7" ht="20.100000000000001" customHeight="1" x14ac:dyDescent="0.2">
      <c r="A10" s="541" t="s">
        <v>5</v>
      </c>
      <c r="B10" s="542" t="s">
        <v>348</v>
      </c>
      <c r="C10" s="543"/>
      <c r="D10" s="543"/>
      <c r="E10" s="543"/>
      <c r="F10" s="543"/>
      <c r="G10" s="543"/>
    </row>
    <row r="11" spans="1:7" ht="20.100000000000001" customHeight="1" x14ac:dyDescent="0.2">
      <c r="A11" s="541"/>
      <c r="B11" s="549" t="s">
        <v>857</v>
      </c>
      <c r="C11" s="543">
        <v>10998000</v>
      </c>
      <c r="D11" s="543">
        <v>11129408</v>
      </c>
      <c r="E11" s="543">
        <v>11129408</v>
      </c>
      <c r="F11" s="543"/>
      <c r="G11" s="543"/>
    </row>
    <row r="12" spans="1:7" ht="20.100000000000001" customHeight="1" x14ac:dyDescent="0.2">
      <c r="A12" s="541"/>
      <c r="B12" s="549" t="s">
        <v>861</v>
      </c>
      <c r="C12" s="543">
        <f>'1.a számú melléklet '!D47</f>
        <v>15196000</v>
      </c>
      <c r="D12" s="543">
        <f>'1.a számú melléklet '!G47</f>
        <v>27482000</v>
      </c>
      <c r="E12" s="543">
        <f>'1.a számú melléklet '!J47</f>
        <v>27482000</v>
      </c>
      <c r="F12" s="543"/>
      <c r="G12" s="543"/>
    </row>
    <row r="13" spans="1:7" ht="20.100000000000001" customHeight="1" x14ac:dyDescent="0.2">
      <c r="A13" s="541"/>
      <c r="B13" s="549" t="s">
        <v>858</v>
      </c>
      <c r="C13" s="543">
        <v>450000</v>
      </c>
      <c r="D13" s="543">
        <v>300000</v>
      </c>
      <c r="E13" s="543">
        <v>300000</v>
      </c>
      <c r="F13" s="543">
        <v>300000</v>
      </c>
      <c r="G13" s="543">
        <v>300000</v>
      </c>
    </row>
    <row r="14" spans="1:7" ht="20.100000000000001" customHeight="1" x14ac:dyDescent="0.2">
      <c r="A14" s="541"/>
      <c r="B14" s="550" t="s">
        <v>859</v>
      </c>
      <c r="C14" s="543">
        <v>150000</v>
      </c>
      <c r="D14" s="543">
        <v>150000</v>
      </c>
      <c r="E14" s="543">
        <v>150000</v>
      </c>
      <c r="F14" s="543"/>
      <c r="G14" s="543"/>
    </row>
    <row r="15" spans="1:7" ht="20.100000000000001" customHeight="1" x14ac:dyDescent="0.2">
      <c r="A15" s="541"/>
      <c r="B15" s="551" t="s">
        <v>860</v>
      </c>
      <c r="C15" s="543"/>
      <c r="D15" s="543">
        <v>12255000</v>
      </c>
      <c r="E15" s="543">
        <v>12255000</v>
      </c>
      <c r="F15" s="543"/>
      <c r="G15" s="543"/>
    </row>
    <row r="16" spans="1:7" ht="20.100000000000001" customHeight="1" x14ac:dyDescent="0.2">
      <c r="A16" s="541"/>
      <c r="B16" s="551" t="s">
        <v>862</v>
      </c>
      <c r="C16" s="543"/>
      <c r="D16" s="543"/>
      <c r="E16" s="543">
        <v>1426639</v>
      </c>
      <c r="F16" s="543"/>
      <c r="G16" s="543"/>
    </row>
    <row r="17" spans="1:7" ht="20.100000000000001" customHeight="1" x14ac:dyDescent="0.2">
      <c r="A17" s="541"/>
      <c r="B17" s="551" t="s">
        <v>863</v>
      </c>
      <c r="C17" s="543"/>
      <c r="D17" s="543"/>
      <c r="E17" s="543">
        <v>668217</v>
      </c>
      <c r="F17" s="543"/>
      <c r="G17" s="543"/>
    </row>
    <row r="18" spans="1:7" ht="20.100000000000001" customHeight="1" x14ac:dyDescent="0.2">
      <c r="A18" s="541"/>
      <c r="B18" s="551" t="s">
        <v>864</v>
      </c>
      <c r="C18" s="543"/>
      <c r="D18" s="543"/>
      <c r="E18" s="543">
        <v>3047000</v>
      </c>
      <c r="F18" s="543"/>
      <c r="G18" s="543"/>
    </row>
    <row r="19" spans="1:7" ht="20.100000000000001" customHeight="1" x14ac:dyDescent="0.2">
      <c r="A19" s="552"/>
      <c r="B19" s="547" t="s">
        <v>347</v>
      </c>
      <c r="C19" s="553">
        <f>SUM(C11:C14)</f>
        <v>26794000</v>
      </c>
      <c r="D19" s="553">
        <f>SUM(D11:D15)</f>
        <v>51316408</v>
      </c>
      <c r="E19" s="553">
        <f>SUM(E11:E18)</f>
        <v>56458264</v>
      </c>
      <c r="F19" s="553">
        <f>SUM(F11:F14)</f>
        <v>300000</v>
      </c>
      <c r="G19" s="553">
        <f>SUM(G11:G14)</f>
        <v>300000</v>
      </c>
    </row>
    <row r="20" spans="1:7" ht="20.100000000000001" customHeight="1" x14ac:dyDescent="0.2">
      <c r="A20" s="554" t="s">
        <v>6</v>
      </c>
      <c r="B20" s="555" t="s">
        <v>882</v>
      </c>
      <c r="C20" s="556"/>
      <c r="D20" s="543"/>
      <c r="E20" s="543"/>
      <c r="F20" s="543"/>
      <c r="G20" s="543"/>
    </row>
    <row r="21" spans="1:7" ht="20.100000000000001" customHeight="1" x14ac:dyDescent="0.2">
      <c r="A21" s="557"/>
      <c r="B21" s="544" t="s">
        <v>865</v>
      </c>
      <c r="C21" s="543">
        <v>26000000</v>
      </c>
      <c r="D21" s="558">
        <v>21500000</v>
      </c>
      <c r="E21" s="558">
        <v>21500000</v>
      </c>
      <c r="F21" s="543"/>
      <c r="G21" s="543"/>
    </row>
    <row r="22" spans="1:7" ht="20.100000000000001" customHeight="1" x14ac:dyDescent="0.2">
      <c r="A22" s="557"/>
      <c r="B22" s="544" t="s">
        <v>866</v>
      </c>
      <c r="C22" s="543">
        <v>34000000</v>
      </c>
      <c r="D22" s="558">
        <v>51000000</v>
      </c>
      <c r="E22" s="558">
        <v>51000000</v>
      </c>
      <c r="F22" s="543"/>
      <c r="G22" s="543"/>
    </row>
    <row r="23" spans="1:7" ht="20.100000000000001" customHeight="1" x14ac:dyDescent="0.2">
      <c r="A23" s="557"/>
      <c r="B23" s="544" t="s">
        <v>867</v>
      </c>
      <c r="C23" s="543"/>
      <c r="D23" s="543">
        <v>3000000</v>
      </c>
      <c r="E23" s="543">
        <v>3000000</v>
      </c>
      <c r="F23" s="543"/>
      <c r="G23" s="543"/>
    </row>
    <row r="24" spans="1:7" ht="20.100000000000001" customHeight="1" x14ac:dyDescent="0.2">
      <c r="A24" s="557"/>
      <c r="B24" s="544" t="s">
        <v>868</v>
      </c>
      <c r="C24" s="543"/>
      <c r="D24" s="543">
        <v>2500000</v>
      </c>
      <c r="E24" s="543">
        <v>366100</v>
      </c>
      <c r="F24" s="543"/>
      <c r="G24" s="543"/>
    </row>
    <row r="25" spans="1:7" ht="20.100000000000001" customHeight="1" x14ac:dyDescent="0.2">
      <c r="A25" s="557"/>
      <c r="B25" s="544" t="s">
        <v>869</v>
      </c>
      <c r="C25" s="543"/>
      <c r="D25" s="543"/>
      <c r="E25" s="543">
        <v>4819000</v>
      </c>
      <c r="F25" s="543"/>
      <c r="G25" s="543"/>
    </row>
    <row r="26" spans="1:7" ht="20.100000000000001" customHeight="1" x14ac:dyDescent="0.2">
      <c r="A26" s="557"/>
      <c r="B26" s="544" t="s">
        <v>870</v>
      </c>
      <c r="C26" s="543"/>
      <c r="D26" s="543"/>
      <c r="E26" s="543">
        <v>2500000</v>
      </c>
      <c r="F26" s="543"/>
      <c r="G26" s="543"/>
    </row>
    <row r="27" spans="1:7" ht="20.100000000000001" customHeight="1" x14ac:dyDescent="0.2">
      <c r="A27" s="557"/>
      <c r="B27" s="544" t="s">
        <v>871</v>
      </c>
      <c r="C27" s="543"/>
      <c r="D27" s="543"/>
      <c r="E27" s="543">
        <v>5921807</v>
      </c>
      <c r="F27" s="543"/>
      <c r="G27" s="543"/>
    </row>
    <row r="28" spans="1:7" ht="20.100000000000001" customHeight="1" x14ac:dyDescent="0.2">
      <c r="A28" s="557"/>
      <c r="B28" s="544" t="s">
        <v>872</v>
      </c>
      <c r="C28" s="543"/>
      <c r="D28" s="543"/>
      <c r="E28" s="543">
        <v>300000</v>
      </c>
      <c r="F28" s="543"/>
      <c r="G28" s="543"/>
    </row>
    <row r="29" spans="1:7" ht="20.100000000000001" customHeight="1" x14ac:dyDescent="0.2">
      <c r="A29" s="557"/>
      <c r="B29" s="559" t="s">
        <v>873</v>
      </c>
      <c r="C29" s="543"/>
      <c r="D29" s="543"/>
      <c r="E29" s="543">
        <v>1800000</v>
      </c>
      <c r="F29" s="543"/>
      <c r="G29" s="543"/>
    </row>
    <row r="30" spans="1:7" ht="20.100000000000001" customHeight="1" x14ac:dyDescent="0.2">
      <c r="A30" s="557"/>
      <c r="B30" s="544" t="s">
        <v>874</v>
      </c>
      <c r="C30" s="543"/>
      <c r="D30" s="543"/>
      <c r="E30" s="543">
        <v>3116000</v>
      </c>
      <c r="F30" s="543"/>
      <c r="G30" s="543"/>
    </row>
    <row r="31" spans="1:7" ht="20.100000000000001" customHeight="1" x14ac:dyDescent="0.2">
      <c r="A31" s="557"/>
      <c r="B31" s="544" t="s">
        <v>875</v>
      </c>
      <c r="C31" s="543"/>
      <c r="D31" s="543"/>
      <c r="E31" s="543">
        <v>500000</v>
      </c>
      <c r="F31" s="543"/>
      <c r="G31" s="543"/>
    </row>
    <row r="32" spans="1:7" ht="20.100000000000001" customHeight="1" x14ac:dyDescent="0.2">
      <c r="A32" s="557"/>
      <c r="B32" s="544" t="s">
        <v>876</v>
      </c>
      <c r="C32" s="543"/>
      <c r="D32" s="543"/>
      <c r="E32" s="543">
        <v>300000</v>
      </c>
      <c r="F32" s="543"/>
      <c r="G32" s="543"/>
    </row>
    <row r="33" spans="1:7" ht="20.100000000000001" customHeight="1" x14ac:dyDescent="0.2">
      <c r="A33" s="557"/>
      <c r="B33" s="560" t="s">
        <v>877</v>
      </c>
      <c r="C33" s="543"/>
      <c r="D33" s="543"/>
      <c r="E33" s="543">
        <v>150000</v>
      </c>
      <c r="F33" s="543"/>
      <c r="G33" s="543"/>
    </row>
    <row r="34" spans="1:7" ht="20.100000000000001" customHeight="1" x14ac:dyDescent="0.2">
      <c r="A34" s="557"/>
      <c r="B34" s="544" t="s">
        <v>878</v>
      </c>
      <c r="C34" s="543"/>
      <c r="D34" s="543"/>
      <c r="E34" s="543">
        <v>400000</v>
      </c>
      <c r="F34" s="543"/>
      <c r="G34" s="543"/>
    </row>
    <row r="35" spans="1:7" ht="20.100000000000001" customHeight="1" x14ac:dyDescent="0.2">
      <c r="A35" s="557"/>
      <c r="B35" s="560" t="s">
        <v>879</v>
      </c>
      <c r="C35" s="543"/>
      <c r="D35" s="543"/>
      <c r="E35" s="543">
        <v>200000</v>
      </c>
      <c r="F35" s="543"/>
      <c r="G35" s="543"/>
    </row>
    <row r="36" spans="1:7" ht="20.100000000000001" customHeight="1" x14ac:dyDescent="0.2">
      <c r="A36" s="557"/>
      <c r="B36" s="544" t="s">
        <v>880</v>
      </c>
      <c r="C36" s="543"/>
      <c r="D36" s="543"/>
      <c r="E36" s="543">
        <v>200000</v>
      </c>
      <c r="F36" s="543"/>
      <c r="G36" s="543"/>
    </row>
    <row r="37" spans="1:7" ht="20.100000000000001" customHeight="1" x14ac:dyDescent="0.2">
      <c r="A37" s="561"/>
      <c r="B37" s="562" t="s">
        <v>881</v>
      </c>
      <c r="C37" s="553">
        <f>SUM(C21:C23)</f>
        <v>60000000</v>
      </c>
      <c r="D37" s="553">
        <f>SUM(D21:D24)</f>
        <v>78000000</v>
      </c>
      <c r="E37" s="553">
        <f>SUM(E21:E36)</f>
        <v>96072907</v>
      </c>
      <c r="F37" s="553">
        <f>SUM(F21:F23)</f>
        <v>0</v>
      </c>
      <c r="G37" s="553">
        <f>SUM(G21:G23)</f>
        <v>0</v>
      </c>
    </row>
    <row r="38" spans="1:7" ht="20.100000000000001" customHeight="1" x14ac:dyDescent="0.2">
      <c r="A38" s="563" t="s">
        <v>8</v>
      </c>
      <c r="B38" s="542" t="s">
        <v>278</v>
      </c>
      <c r="C38" s="556"/>
      <c r="D38" s="556"/>
      <c r="E38" s="556"/>
      <c r="F38" s="556"/>
      <c r="G38" s="556"/>
    </row>
    <row r="39" spans="1:7" ht="20.100000000000001" customHeight="1" x14ac:dyDescent="0.2">
      <c r="A39" s="561"/>
      <c r="B39" s="544" t="s">
        <v>885</v>
      </c>
      <c r="C39" s="564">
        <v>1000000</v>
      </c>
      <c r="D39" s="564">
        <v>1000000</v>
      </c>
      <c r="E39" s="564">
        <v>1000000</v>
      </c>
      <c r="F39" s="564">
        <v>1000000</v>
      </c>
      <c r="G39" s="564">
        <v>1000000</v>
      </c>
    </row>
    <row r="40" spans="1:7" ht="20.100000000000001" customHeight="1" x14ac:dyDescent="0.2">
      <c r="A40" s="561"/>
      <c r="B40" s="547" t="s">
        <v>883</v>
      </c>
      <c r="C40" s="553">
        <f t="shared" ref="C40:G40" si="0">SUM(C39:C39)</f>
        <v>1000000</v>
      </c>
      <c r="D40" s="553">
        <f t="shared" si="0"/>
        <v>1000000</v>
      </c>
      <c r="E40" s="553">
        <f t="shared" ref="E40" si="1">SUM(E39:E39)</f>
        <v>1000000</v>
      </c>
      <c r="F40" s="553">
        <f t="shared" ref="F40" si="2">SUM(F39:F39)</f>
        <v>1000000</v>
      </c>
      <c r="G40" s="553">
        <f t="shared" si="0"/>
        <v>1000000</v>
      </c>
    </row>
    <row r="41" spans="1:7" ht="20.100000000000001" customHeight="1" x14ac:dyDescent="0.2">
      <c r="A41" s="563" t="s">
        <v>22</v>
      </c>
      <c r="B41" s="547" t="s">
        <v>294</v>
      </c>
      <c r="C41" s="553"/>
      <c r="D41" s="553"/>
      <c r="E41" s="553"/>
      <c r="F41" s="553"/>
      <c r="G41" s="553"/>
    </row>
    <row r="42" spans="1:7" ht="20.100000000000001" customHeight="1" x14ac:dyDescent="0.2">
      <c r="A42" s="563" t="s">
        <v>17</v>
      </c>
      <c r="B42" s="547" t="s">
        <v>569</v>
      </c>
      <c r="C42" s="553">
        <v>204110000</v>
      </c>
      <c r="D42" s="553">
        <f>'7.számú melléklet '!D35</f>
        <v>255712508</v>
      </c>
      <c r="E42" s="553">
        <v>198860920</v>
      </c>
      <c r="F42" s="553"/>
      <c r="G42" s="553"/>
    </row>
    <row r="43" spans="1:7" ht="20.100000000000001" customHeight="1" x14ac:dyDescent="0.2">
      <c r="A43" s="561"/>
      <c r="B43" s="565" t="s">
        <v>886</v>
      </c>
      <c r="C43" s="566">
        <f>C8+C9+C19+C37+C40+C42</f>
        <v>687721283</v>
      </c>
      <c r="D43" s="566">
        <f>D8+D9+D19+D37+D40+D42</f>
        <v>803120710</v>
      </c>
      <c r="E43" s="566">
        <f>E8+E9+E19+E37+E40+E42</f>
        <v>827017482</v>
      </c>
      <c r="F43" s="566">
        <f>F8+F9+F19+F37+F40+F42</f>
        <v>1300000</v>
      </c>
      <c r="G43" s="566">
        <f>G8+G9+G19+G37+G40+G42</f>
        <v>1300000</v>
      </c>
    </row>
    <row r="44" spans="1:7" ht="24.95" customHeight="1" x14ac:dyDescent="0.2">
      <c r="A44" s="563" t="s">
        <v>90</v>
      </c>
      <c r="B44" s="542" t="s">
        <v>388</v>
      </c>
      <c r="C44" s="556"/>
      <c r="D44" s="556"/>
      <c r="E44" s="556"/>
      <c r="F44" s="556"/>
      <c r="G44" s="556"/>
    </row>
    <row r="45" spans="1:7" ht="24.95" customHeight="1" x14ac:dyDescent="0.2">
      <c r="A45" s="541" t="s">
        <v>2</v>
      </c>
      <c r="B45" s="542" t="s">
        <v>849</v>
      </c>
      <c r="C45" s="540"/>
      <c r="D45" s="543"/>
      <c r="E45" s="543"/>
      <c r="F45" s="543"/>
      <c r="G45" s="543"/>
    </row>
    <row r="46" spans="1:7" ht="24.95" customHeight="1" x14ac:dyDescent="0.2">
      <c r="A46" s="541"/>
      <c r="B46" s="544" t="s">
        <v>853</v>
      </c>
      <c r="C46" s="545">
        <v>81830500</v>
      </c>
      <c r="D46" s="543">
        <v>90470600</v>
      </c>
      <c r="E46" s="543">
        <f>D46+56151+167107+1134690</f>
        <v>91828548</v>
      </c>
      <c r="F46" s="543"/>
      <c r="G46" s="543"/>
    </row>
    <row r="47" spans="1:7" ht="24.95" customHeight="1" x14ac:dyDescent="0.2">
      <c r="A47" s="541"/>
      <c r="B47" s="544" t="s">
        <v>854</v>
      </c>
      <c r="C47" s="545">
        <v>19185116</v>
      </c>
      <c r="D47" s="543">
        <v>17998744</v>
      </c>
      <c r="E47" s="543">
        <f>D47+10949+32586+221804</f>
        <v>18264083</v>
      </c>
      <c r="F47" s="543"/>
      <c r="G47" s="543"/>
    </row>
    <row r="48" spans="1:7" ht="24.95" customHeight="1" x14ac:dyDescent="0.2">
      <c r="A48" s="541"/>
      <c r="B48" s="544" t="s">
        <v>855</v>
      </c>
      <c r="C48" s="545">
        <v>21131000</v>
      </c>
      <c r="D48" s="543">
        <v>17853000</v>
      </c>
      <c r="E48" s="543">
        <f>D48+95165</f>
        <v>17948165</v>
      </c>
      <c r="F48" s="543"/>
      <c r="G48" s="543"/>
    </row>
    <row r="49" spans="1:7" ht="24.95" customHeight="1" x14ac:dyDescent="0.2">
      <c r="A49" s="546"/>
      <c r="B49" s="547" t="s">
        <v>850</v>
      </c>
      <c r="C49" s="548">
        <f>SUM(C46:C48)</f>
        <v>122146616</v>
      </c>
      <c r="D49" s="548">
        <f>SUM(D46:D48)</f>
        <v>126322344</v>
      </c>
      <c r="E49" s="548">
        <f>SUM(E46:E48)</f>
        <v>128040796</v>
      </c>
      <c r="F49" s="548">
        <f>SUM(F46:F48)</f>
        <v>0</v>
      </c>
      <c r="G49" s="548">
        <f>SUM(G46:G48)</f>
        <v>0</v>
      </c>
    </row>
    <row r="50" spans="1:7" ht="24.95" customHeight="1" x14ac:dyDescent="0.2">
      <c r="A50" s="563" t="s">
        <v>4</v>
      </c>
      <c r="B50" s="542" t="s">
        <v>348</v>
      </c>
      <c r="C50" s="542"/>
      <c r="D50" s="542"/>
      <c r="E50" s="542"/>
      <c r="F50" s="542"/>
      <c r="G50" s="542"/>
    </row>
    <row r="51" spans="1:7" ht="24.95" customHeight="1" x14ac:dyDescent="0.2">
      <c r="A51" s="563"/>
      <c r="B51" s="567" t="s">
        <v>887</v>
      </c>
      <c r="C51" s="568">
        <v>1200000</v>
      </c>
      <c r="D51" s="568">
        <v>1200000</v>
      </c>
      <c r="E51" s="568">
        <v>1200000</v>
      </c>
      <c r="F51" s="568"/>
      <c r="G51" s="568"/>
    </row>
    <row r="52" spans="1:7" ht="24.95" customHeight="1" x14ac:dyDescent="0.2">
      <c r="A52" s="563"/>
      <c r="B52" s="547" t="s">
        <v>888</v>
      </c>
      <c r="C52" s="569">
        <f>C51</f>
        <v>1200000</v>
      </c>
      <c r="D52" s="569">
        <f>D51</f>
        <v>1200000</v>
      </c>
      <c r="E52" s="569">
        <f>E51</f>
        <v>1200000</v>
      </c>
      <c r="F52" s="569">
        <f>F51</f>
        <v>0</v>
      </c>
      <c r="G52" s="569">
        <f>G51</f>
        <v>0</v>
      </c>
    </row>
    <row r="53" spans="1:7" ht="24.95" customHeight="1" x14ac:dyDescent="0.2">
      <c r="A53" s="563" t="s">
        <v>5</v>
      </c>
      <c r="B53" s="555" t="s">
        <v>882</v>
      </c>
      <c r="C53" s="568"/>
      <c r="D53" s="568"/>
      <c r="E53" s="568"/>
      <c r="F53" s="568"/>
      <c r="G53" s="568"/>
    </row>
    <row r="54" spans="1:7" ht="24.95" customHeight="1" x14ac:dyDescent="0.2">
      <c r="A54" s="563"/>
      <c r="B54" s="567" t="s">
        <v>890</v>
      </c>
      <c r="C54" s="568"/>
      <c r="D54" s="568"/>
      <c r="E54" s="568">
        <v>10429</v>
      </c>
      <c r="F54" s="568"/>
      <c r="G54" s="568"/>
    </row>
    <row r="55" spans="1:7" ht="20.100000000000001" customHeight="1" x14ac:dyDescent="0.2">
      <c r="A55" s="570"/>
      <c r="B55" s="562" t="s">
        <v>889</v>
      </c>
      <c r="C55" s="553">
        <f>C54</f>
        <v>0</v>
      </c>
      <c r="D55" s="553">
        <f>D54</f>
        <v>0</v>
      </c>
      <c r="E55" s="553">
        <f>E54</f>
        <v>10429</v>
      </c>
      <c r="F55" s="553">
        <f>F54</f>
        <v>0</v>
      </c>
      <c r="G55" s="553">
        <f>G54</f>
        <v>0</v>
      </c>
    </row>
    <row r="56" spans="1:7" ht="20.100000000000001" customHeight="1" x14ac:dyDescent="0.2">
      <c r="A56" s="561" t="s">
        <v>6</v>
      </c>
      <c r="B56" s="547" t="s">
        <v>294</v>
      </c>
      <c r="C56" s="571"/>
      <c r="D56" s="571"/>
      <c r="E56" s="571">
        <v>5918207</v>
      </c>
      <c r="F56" s="571"/>
      <c r="G56" s="571"/>
    </row>
    <row r="57" spans="1:7" ht="24.95" customHeight="1" x14ac:dyDescent="0.2">
      <c r="A57" s="561"/>
      <c r="B57" s="565" t="s">
        <v>892</v>
      </c>
      <c r="C57" s="566">
        <f>C49+C52+C55+C56</f>
        <v>123346616</v>
      </c>
      <c r="D57" s="566">
        <f>D49+D52+D55+D56</f>
        <v>127522344</v>
      </c>
      <c r="E57" s="566">
        <f>E49+E52+E55+E56</f>
        <v>135169432</v>
      </c>
      <c r="F57" s="566">
        <f>F49+F52+F55+F56</f>
        <v>0</v>
      </c>
      <c r="G57" s="566">
        <f>G49+G52+G55+G56</f>
        <v>0</v>
      </c>
    </row>
    <row r="58" spans="1:7" ht="24.95" customHeight="1" x14ac:dyDescent="0.2">
      <c r="A58" s="563" t="s">
        <v>91</v>
      </c>
      <c r="B58" s="572" t="s">
        <v>376</v>
      </c>
      <c r="C58" s="556"/>
      <c r="D58" s="556"/>
      <c r="E58" s="556"/>
      <c r="F58" s="556"/>
      <c r="G58" s="556"/>
    </row>
    <row r="59" spans="1:7" ht="24.95" customHeight="1" x14ac:dyDescent="0.2">
      <c r="A59" s="563" t="s">
        <v>2</v>
      </c>
      <c r="B59" s="542" t="s">
        <v>849</v>
      </c>
      <c r="C59" s="540"/>
      <c r="D59" s="543"/>
      <c r="E59" s="543"/>
      <c r="F59" s="543"/>
      <c r="G59" s="543"/>
    </row>
    <row r="60" spans="1:7" ht="24.95" customHeight="1" x14ac:dyDescent="0.2">
      <c r="A60" s="563"/>
      <c r="B60" s="544" t="s">
        <v>853</v>
      </c>
      <c r="C60" s="545">
        <v>75431935</v>
      </c>
      <c r="D60" s="543">
        <v>81653112</v>
      </c>
      <c r="E60" s="543">
        <f>D60+48596+169688+140683</f>
        <v>82012079</v>
      </c>
      <c r="F60" s="543"/>
      <c r="G60" s="543"/>
    </row>
    <row r="61" spans="1:7" ht="24.95" customHeight="1" x14ac:dyDescent="0.2">
      <c r="A61" s="563"/>
      <c r="B61" s="544" t="s">
        <v>854</v>
      </c>
      <c r="C61" s="545">
        <v>18666768</v>
      </c>
      <c r="D61" s="543">
        <v>18259523</v>
      </c>
      <c r="E61" s="543">
        <f>D61+9476+33089+27433</f>
        <v>18329521</v>
      </c>
      <c r="F61" s="543"/>
      <c r="G61" s="543"/>
    </row>
    <row r="62" spans="1:7" ht="24.95" customHeight="1" x14ac:dyDescent="0.2">
      <c r="A62" s="563"/>
      <c r="B62" s="544" t="s">
        <v>855</v>
      </c>
      <c r="C62" s="545">
        <v>54236427</v>
      </c>
      <c r="D62" s="543">
        <v>55826365</v>
      </c>
      <c r="E62" s="543">
        <f>D62+0</f>
        <v>55826365</v>
      </c>
      <c r="F62" s="543"/>
      <c r="G62" s="543"/>
    </row>
    <row r="63" spans="1:7" ht="24.95" customHeight="1" x14ac:dyDescent="0.2">
      <c r="A63" s="563"/>
      <c r="B63" s="547" t="s">
        <v>850</v>
      </c>
      <c r="C63" s="548">
        <f>SUM(C60:C62)</f>
        <v>148335130</v>
      </c>
      <c r="D63" s="548">
        <f>SUM(D60:D62)</f>
        <v>155739000</v>
      </c>
      <c r="E63" s="548">
        <f>SUM(E60:E62)</f>
        <v>156167965</v>
      </c>
      <c r="F63" s="548">
        <f>SUM(F60:F62)</f>
        <v>0</v>
      </c>
      <c r="G63" s="548">
        <f>SUM(G60:G62)</f>
        <v>0</v>
      </c>
    </row>
    <row r="64" spans="1:7" ht="24.95" customHeight="1" x14ac:dyDescent="0.2">
      <c r="A64" s="563" t="s">
        <v>4</v>
      </c>
      <c r="B64" s="547" t="s">
        <v>294</v>
      </c>
      <c r="C64" s="548"/>
      <c r="D64" s="548"/>
      <c r="E64" s="548">
        <v>2212562</v>
      </c>
      <c r="F64" s="548"/>
      <c r="G64" s="548"/>
    </row>
    <row r="65" spans="1:7" ht="24.95" customHeight="1" x14ac:dyDescent="0.2">
      <c r="A65" s="561"/>
      <c r="B65" s="565" t="s">
        <v>893</v>
      </c>
      <c r="C65" s="566">
        <f>C63+C64</f>
        <v>148335130</v>
      </c>
      <c r="D65" s="566">
        <f>D63+D64</f>
        <v>155739000</v>
      </c>
      <c r="E65" s="566">
        <f>E63+E64</f>
        <v>158380527</v>
      </c>
      <c r="F65" s="566">
        <f>F63+F64</f>
        <v>0</v>
      </c>
      <c r="G65" s="566">
        <f>G63+G64</f>
        <v>0</v>
      </c>
    </row>
    <row r="66" spans="1:7" ht="24.95" customHeight="1" x14ac:dyDescent="0.2">
      <c r="A66" s="563" t="s">
        <v>377</v>
      </c>
      <c r="B66" s="572" t="s">
        <v>378</v>
      </c>
      <c r="C66" s="556"/>
      <c r="D66" s="556"/>
      <c r="E66" s="556"/>
      <c r="F66" s="556"/>
      <c r="G66" s="556"/>
    </row>
    <row r="67" spans="1:7" ht="24.95" customHeight="1" x14ac:dyDescent="0.2">
      <c r="A67" s="563" t="s">
        <v>2</v>
      </c>
      <c r="B67" s="542" t="s">
        <v>849</v>
      </c>
      <c r="C67" s="540"/>
      <c r="D67" s="543"/>
      <c r="E67" s="543"/>
      <c r="F67" s="543"/>
      <c r="G67" s="543"/>
    </row>
    <row r="68" spans="1:7" ht="24.95" customHeight="1" x14ac:dyDescent="0.2">
      <c r="A68" s="563"/>
      <c r="B68" s="544" t="s">
        <v>853</v>
      </c>
      <c r="C68" s="545">
        <v>9058706</v>
      </c>
      <c r="D68" s="543">
        <v>11092231</v>
      </c>
      <c r="E68" s="543">
        <f>D68+271000+300409</f>
        <v>11663640</v>
      </c>
      <c r="F68" s="543"/>
      <c r="G68" s="543"/>
    </row>
    <row r="69" spans="1:7" ht="24.95" customHeight="1" x14ac:dyDescent="0.2">
      <c r="A69" s="563"/>
      <c r="B69" s="544" t="s">
        <v>854</v>
      </c>
      <c r="C69" s="545">
        <v>2058470</v>
      </c>
      <c r="D69" s="543">
        <v>2294728</v>
      </c>
      <c r="E69" s="543">
        <v>2406153</v>
      </c>
      <c r="F69" s="543"/>
      <c r="G69" s="543"/>
    </row>
    <row r="70" spans="1:7" ht="24.95" customHeight="1" x14ac:dyDescent="0.2">
      <c r="A70" s="563"/>
      <c r="B70" s="544" t="s">
        <v>855</v>
      </c>
      <c r="C70" s="545">
        <v>17419292</v>
      </c>
      <c r="D70" s="543">
        <v>19070093</v>
      </c>
      <c r="E70" s="543">
        <v>22590823</v>
      </c>
      <c r="F70" s="543"/>
      <c r="G70" s="543"/>
    </row>
    <row r="71" spans="1:7" ht="24.95" customHeight="1" x14ac:dyDescent="0.2">
      <c r="A71" s="563"/>
      <c r="B71" s="547" t="s">
        <v>850</v>
      </c>
      <c r="C71" s="548">
        <f>SUM(C68:C70)</f>
        <v>28536468</v>
      </c>
      <c r="D71" s="548">
        <f>SUM(D68:D70)</f>
        <v>32457052</v>
      </c>
      <c r="E71" s="548">
        <f>SUM(E68:E70)</f>
        <v>36660616</v>
      </c>
      <c r="F71" s="548">
        <f>SUM(F68:F70)</f>
        <v>0</v>
      </c>
      <c r="G71" s="548">
        <f>SUM(G68:G70)</f>
        <v>0</v>
      </c>
    </row>
    <row r="72" spans="1:7" ht="24.95" customHeight="1" x14ac:dyDescent="0.2">
      <c r="A72" s="563" t="s">
        <v>4</v>
      </c>
      <c r="B72" s="542" t="s">
        <v>348</v>
      </c>
      <c r="C72" s="542"/>
      <c r="D72" s="542"/>
      <c r="E72" s="542"/>
      <c r="F72" s="542"/>
      <c r="G72" s="542"/>
    </row>
    <row r="73" spans="1:7" ht="24.95" customHeight="1" x14ac:dyDescent="0.2">
      <c r="A73" s="563"/>
      <c r="B73" s="567" t="s">
        <v>891</v>
      </c>
      <c r="C73" s="568"/>
      <c r="D73" s="568"/>
      <c r="E73" s="568">
        <v>6270</v>
      </c>
      <c r="F73" s="568"/>
      <c r="G73" s="568"/>
    </row>
    <row r="74" spans="1:7" ht="24.95" customHeight="1" x14ac:dyDescent="0.2">
      <c r="A74" s="563"/>
      <c r="B74" s="547" t="s">
        <v>888</v>
      </c>
      <c r="C74" s="569">
        <f>C73</f>
        <v>0</v>
      </c>
      <c r="D74" s="569">
        <f>D73</f>
        <v>0</v>
      </c>
      <c r="E74" s="569">
        <f>E73</f>
        <v>6270</v>
      </c>
      <c r="F74" s="569">
        <f>F73</f>
        <v>0</v>
      </c>
      <c r="G74" s="569">
        <f>G73</f>
        <v>0</v>
      </c>
    </row>
    <row r="75" spans="1:7" ht="24.95" customHeight="1" x14ac:dyDescent="0.2">
      <c r="A75" s="563" t="s">
        <v>5</v>
      </c>
      <c r="B75" s="547" t="s">
        <v>294</v>
      </c>
      <c r="C75" s="548"/>
      <c r="D75" s="548"/>
      <c r="E75" s="548">
        <v>2496860</v>
      </c>
      <c r="F75" s="548"/>
      <c r="G75" s="548"/>
    </row>
    <row r="76" spans="1:7" ht="24.95" customHeight="1" x14ac:dyDescent="0.2">
      <c r="A76" s="561"/>
      <c r="B76" s="565" t="s">
        <v>898</v>
      </c>
      <c r="C76" s="566">
        <f>C71+C74+C75</f>
        <v>28536468</v>
      </c>
      <c r="D76" s="566">
        <f>D71+D74+D75</f>
        <v>32457052</v>
      </c>
      <c r="E76" s="566">
        <f>E71+E74+E75</f>
        <v>39163746</v>
      </c>
      <c r="F76" s="566">
        <f>F71+F74+F75</f>
        <v>0</v>
      </c>
      <c r="G76" s="566">
        <f>G71+G74+G75</f>
        <v>0</v>
      </c>
    </row>
    <row r="77" spans="1:7" ht="24.95" customHeight="1" x14ac:dyDescent="0.2">
      <c r="A77" s="573"/>
      <c r="B77" s="565" t="s">
        <v>9</v>
      </c>
      <c r="C77" s="566">
        <f>C43+C57+C65+C76</f>
        <v>987939497</v>
      </c>
      <c r="D77" s="566">
        <f>D43+D57+D65+D76</f>
        <v>1118839106</v>
      </c>
      <c r="E77" s="566">
        <f>E43+E57+E65+E76</f>
        <v>1159731187</v>
      </c>
      <c r="F77" s="566">
        <f>F43+F57+F65+F76</f>
        <v>1300000</v>
      </c>
      <c r="G77" s="566">
        <f>G43+G57+G65+G76</f>
        <v>1300000</v>
      </c>
    </row>
    <row r="78" spans="1:7" ht="24.95" customHeight="1" x14ac:dyDescent="0.2">
      <c r="A78" s="563" t="s">
        <v>121</v>
      </c>
      <c r="B78" s="538" t="s">
        <v>907</v>
      </c>
      <c r="C78" s="556"/>
      <c r="D78" s="556"/>
      <c r="E78" s="556"/>
      <c r="F78" s="556"/>
      <c r="G78" s="556"/>
    </row>
    <row r="79" spans="1:7" ht="20.100000000000001" customHeight="1" x14ac:dyDescent="0.2">
      <c r="A79" s="563" t="s">
        <v>89</v>
      </c>
      <c r="B79" s="542" t="s">
        <v>884</v>
      </c>
      <c r="C79" s="556"/>
      <c r="D79" s="556"/>
      <c r="E79" s="556"/>
      <c r="F79" s="556"/>
      <c r="G79" s="556"/>
    </row>
    <row r="80" spans="1:7" ht="20.100000000000001" customHeight="1" x14ac:dyDescent="0.2">
      <c r="A80" s="563" t="s">
        <v>2</v>
      </c>
      <c r="B80" s="542" t="s">
        <v>900</v>
      </c>
      <c r="C80" s="556">
        <v>64337985</v>
      </c>
      <c r="D80" s="556">
        <f>'5.számú melléklet '!C31</f>
        <v>727482345</v>
      </c>
      <c r="E80" s="556">
        <f>'5.számú melléklet '!D31</f>
        <v>716957662</v>
      </c>
      <c r="F80" s="556"/>
      <c r="G80" s="556"/>
    </row>
    <row r="81" spans="1:7" ht="20.100000000000001" customHeight="1" x14ac:dyDescent="0.2">
      <c r="A81" s="563" t="s">
        <v>10</v>
      </c>
      <c r="B81" s="542" t="s">
        <v>901</v>
      </c>
      <c r="C81" s="556">
        <v>42494750</v>
      </c>
      <c r="D81" s="556">
        <f>'5.számú melléklet '!C67</f>
        <v>32843676</v>
      </c>
      <c r="E81" s="556">
        <f>'5.számú melléklet '!D67</f>
        <v>35919591</v>
      </c>
      <c r="F81" s="556"/>
      <c r="G81" s="556"/>
    </row>
    <row r="82" spans="1:7" ht="20.100000000000001" customHeight="1" x14ac:dyDescent="0.2">
      <c r="A82" s="563" t="s">
        <v>5</v>
      </c>
      <c r="B82" s="542" t="s">
        <v>639</v>
      </c>
      <c r="C82" s="556"/>
      <c r="D82" s="556"/>
      <c r="E82" s="556"/>
      <c r="F82" s="556"/>
      <c r="G82" s="556"/>
    </row>
    <row r="83" spans="1:7" ht="20.100000000000001" customHeight="1" x14ac:dyDescent="0.2">
      <c r="A83" s="563"/>
      <c r="B83" s="547" t="s">
        <v>640</v>
      </c>
      <c r="C83" s="553">
        <v>0</v>
      </c>
      <c r="D83" s="553">
        <v>0</v>
      </c>
      <c r="E83" s="553">
        <v>0</v>
      </c>
      <c r="F83" s="553">
        <v>0</v>
      </c>
      <c r="G83" s="553">
        <v>0</v>
      </c>
    </row>
    <row r="84" spans="1:7" ht="20.100000000000001" customHeight="1" x14ac:dyDescent="0.2">
      <c r="A84" s="563" t="s">
        <v>6</v>
      </c>
      <c r="B84" s="542" t="s">
        <v>122</v>
      </c>
      <c r="C84" s="556"/>
      <c r="D84" s="556"/>
      <c r="E84" s="556"/>
      <c r="F84" s="556"/>
      <c r="G84" s="556"/>
    </row>
    <row r="85" spans="1:7" ht="20.100000000000001" customHeight="1" x14ac:dyDescent="0.2">
      <c r="A85" s="563"/>
      <c r="B85" s="559" t="s">
        <v>894</v>
      </c>
      <c r="C85" s="543">
        <v>600000</v>
      </c>
      <c r="D85" s="543">
        <v>600000</v>
      </c>
      <c r="E85" s="543">
        <v>600000</v>
      </c>
      <c r="F85" s="543">
        <v>600000</v>
      </c>
      <c r="G85" s="543">
        <v>600000</v>
      </c>
    </row>
    <row r="86" spans="1:7" ht="20.100000000000001" customHeight="1" x14ac:dyDescent="0.2">
      <c r="A86" s="563"/>
      <c r="B86" s="547" t="s">
        <v>123</v>
      </c>
      <c r="C86" s="553">
        <f>C85</f>
        <v>600000</v>
      </c>
      <c r="D86" s="553">
        <f>SUM(D85)</f>
        <v>600000</v>
      </c>
      <c r="E86" s="553">
        <f>SUM(E85)</f>
        <v>600000</v>
      </c>
      <c r="F86" s="553">
        <f>SUM(F85)</f>
        <v>600000</v>
      </c>
      <c r="G86" s="553">
        <f>SUM(G85)</f>
        <v>600000</v>
      </c>
    </row>
    <row r="87" spans="1:7" ht="20.100000000000001" customHeight="1" x14ac:dyDescent="0.2">
      <c r="A87" s="563" t="s">
        <v>8</v>
      </c>
      <c r="B87" s="542" t="s">
        <v>279</v>
      </c>
      <c r="C87" s="556"/>
      <c r="D87" s="556"/>
      <c r="E87" s="556"/>
      <c r="F87" s="556"/>
      <c r="G87" s="556"/>
    </row>
    <row r="88" spans="1:7" ht="20.100000000000001" customHeight="1" x14ac:dyDescent="0.2">
      <c r="A88" s="563"/>
      <c r="B88" s="559" t="s">
        <v>895</v>
      </c>
      <c r="C88" s="543">
        <v>2305000</v>
      </c>
      <c r="D88" s="543">
        <v>3820000</v>
      </c>
      <c r="E88" s="543">
        <v>3820000</v>
      </c>
      <c r="F88" s="543"/>
      <c r="G88" s="543"/>
    </row>
    <row r="89" spans="1:7" ht="20.100000000000001" customHeight="1" x14ac:dyDescent="0.2">
      <c r="A89" s="563"/>
      <c r="B89" s="559" t="s">
        <v>896</v>
      </c>
      <c r="C89" s="543"/>
      <c r="D89" s="543">
        <v>10000000</v>
      </c>
      <c r="E89" s="543">
        <v>10000000</v>
      </c>
      <c r="F89" s="543"/>
      <c r="G89" s="543"/>
    </row>
    <row r="90" spans="1:7" ht="20.100000000000001" customHeight="1" x14ac:dyDescent="0.2">
      <c r="A90" s="561"/>
      <c r="B90" s="574" t="s">
        <v>124</v>
      </c>
      <c r="C90" s="553">
        <f>SUM(C88:C89)</f>
        <v>2305000</v>
      </c>
      <c r="D90" s="553">
        <f>SUM(D88:D89)</f>
        <v>13820000</v>
      </c>
      <c r="E90" s="553">
        <f>SUM(E88:E89)</f>
        <v>13820000</v>
      </c>
      <c r="F90" s="553">
        <f>SUM(F88:F89)</f>
        <v>0</v>
      </c>
      <c r="G90" s="553">
        <f>SUM(G88:G89)</f>
        <v>0</v>
      </c>
    </row>
    <row r="91" spans="1:7" ht="24.95" customHeight="1" x14ac:dyDescent="0.2">
      <c r="A91" s="563" t="s">
        <v>22</v>
      </c>
      <c r="B91" s="542" t="s">
        <v>354</v>
      </c>
      <c r="C91" s="556"/>
      <c r="D91" s="543"/>
      <c r="E91" s="543"/>
      <c r="F91" s="543"/>
      <c r="G91" s="543"/>
    </row>
    <row r="92" spans="1:7" ht="20.100000000000001" customHeight="1" x14ac:dyDescent="0.2">
      <c r="A92" s="563"/>
      <c r="B92" s="544" t="s">
        <v>419</v>
      </c>
      <c r="C92" s="543">
        <v>1000000</v>
      </c>
      <c r="D92" s="543">
        <v>1000000</v>
      </c>
      <c r="E92" s="543">
        <v>1000000</v>
      </c>
      <c r="F92" s="543">
        <v>1000000</v>
      </c>
      <c r="G92" s="543">
        <v>1000000</v>
      </c>
    </row>
    <row r="93" spans="1:7" s="81" customFormat="1" ht="20.100000000000001" customHeight="1" x14ac:dyDescent="0.2">
      <c r="A93" s="561"/>
      <c r="B93" s="562" t="s">
        <v>252</v>
      </c>
      <c r="C93" s="553">
        <f t="shared" ref="C93:G93" si="3">C92</f>
        <v>1000000</v>
      </c>
      <c r="D93" s="553">
        <f t="shared" si="3"/>
        <v>1000000</v>
      </c>
      <c r="E93" s="553">
        <f t="shared" ref="E93" si="4">E92</f>
        <v>1000000</v>
      </c>
      <c r="F93" s="553">
        <f t="shared" ref="F93" si="5">F92</f>
        <v>1000000</v>
      </c>
      <c r="G93" s="553">
        <f t="shared" si="3"/>
        <v>1000000</v>
      </c>
    </row>
    <row r="94" spans="1:7" s="81" customFormat="1" ht="23.1" customHeight="1" x14ac:dyDescent="0.2">
      <c r="A94" s="563"/>
      <c r="B94" s="575" t="s">
        <v>897</v>
      </c>
      <c r="C94" s="566">
        <f>C80+C81+C83+C86+C90+C93</f>
        <v>110737735</v>
      </c>
      <c r="D94" s="566">
        <f>D80+D81+D83+D86+D90+D93</f>
        <v>775746021</v>
      </c>
      <c r="E94" s="566">
        <f>E80+E81+E83+E86+E90+E93</f>
        <v>768297253</v>
      </c>
      <c r="F94" s="566">
        <f>F80+F81+F83+F86+F90+F93</f>
        <v>1600000</v>
      </c>
      <c r="G94" s="566">
        <f>G80+G81+G83+G86+G90+G93</f>
        <v>1600000</v>
      </c>
    </row>
    <row r="95" spans="1:7" s="81" customFormat="1" ht="27" customHeight="1" x14ac:dyDescent="0.2">
      <c r="A95" s="563" t="s">
        <v>90</v>
      </c>
      <c r="B95" s="555" t="s">
        <v>388</v>
      </c>
      <c r="C95" s="556"/>
      <c r="D95" s="556"/>
      <c r="E95" s="556"/>
      <c r="F95" s="556"/>
      <c r="G95" s="576"/>
    </row>
    <row r="96" spans="1:7" ht="18" customHeight="1" x14ac:dyDescent="0.2">
      <c r="A96" s="563" t="s">
        <v>2</v>
      </c>
      <c r="B96" s="542" t="s">
        <v>900</v>
      </c>
      <c r="C96" s="556">
        <v>1270000</v>
      </c>
      <c r="D96" s="556">
        <f>'5.számú melléklet '!C36</f>
        <v>1000000</v>
      </c>
      <c r="E96" s="556">
        <f>'5.számú melléklet '!D36</f>
        <v>1000000</v>
      </c>
      <c r="F96" s="556"/>
      <c r="G96" s="576"/>
    </row>
    <row r="97" spans="1:7" ht="24.95" customHeight="1" x14ac:dyDescent="0.2">
      <c r="A97" s="563"/>
      <c r="B97" s="575" t="s">
        <v>897</v>
      </c>
      <c r="C97" s="566">
        <f>C96</f>
        <v>1270000</v>
      </c>
      <c r="D97" s="566">
        <f>D96</f>
        <v>1000000</v>
      </c>
      <c r="E97" s="566">
        <f>E96</f>
        <v>1000000</v>
      </c>
      <c r="F97" s="566">
        <f>F96</f>
        <v>0</v>
      </c>
      <c r="G97" s="566">
        <f>G96</f>
        <v>0</v>
      </c>
    </row>
    <row r="98" spans="1:7" ht="15.75" x14ac:dyDescent="0.2">
      <c r="A98" s="563" t="s">
        <v>91</v>
      </c>
      <c r="B98" s="555" t="s">
        <v>899</v>
      </c>
      <c r="C98" s="556"/>
      <c r="D98" s="556"/>
      <c r="E98" s="556"/>
      <c r="F98" s="556"/>
      <c r="G98" s="576"/>
    </row>
    <row r="99" spans="1:7" ht="15.75" x14ac:dyDescent="0.2">
      <c r="A99" s="563" t="s">
        <v>2</v>
      </c>
      <c r="B99" s="542" t="s">
        <v>900</v>
      </c>
      <c r="C99" s="556">
        <v>5500000</v>
      </c>
      <c r="D99" s="556">
        <f>'5.számú melléklet '!C47</f>
        <v>2200000</v>
      </c>
      <c r="E99" s="556">
        <f>'5.számú melléklet '!D47</f>
        <v>2200000</v>
      </c>
      <c r="F99" s="556"/>
      <c r="G99" s="576"/>
    </row>
    <row r="100" spans="1:7" ht="15.75" x14ac:dyDescent="0.2">
      <c r="A100" s="563"/>
      <c r="B100" s="575" t="s">
        <v>897</v>
      </c>
      <c r="C100" s="566">
        <f>C99</f>
        <v>5500000</v>
      </c>
      <c r="D100" s="566">
        <f>D99</f>
        <v>2200000</v>
      </c>
      <c r="E100" s="566">
        <f>E99</f>
        <v>2200000</v>
      </c>
      <c r="F100" s="566">
        <f>F99</f>
        <v>0</v>
      </c>
      <c r="G100" s="566">
        <f>G99</f>
        <v>0</v>
      </c>
    </row>
    <row r="101" spans="1:7" ht="15.75" x14ac:dyDescent="0.2">
      <c r="A101" s="563" t="s">
        <v>377</v>
      </c>
      <c r="B101" s="555" t="s">
        <v>378</v>
      </c>
      <c r="C101" s="556"/>
      <c r="D101" s="556"/>
      <c r="E101" s="556"/>
      <c r="F101" s="556"/>
      <c r="G101" s="576"/>
    </row>
    <row r="102" spans="1:7" ht="15.75" x14ac:dyDescent="0.2">
      <c r="A102" s="563" t="s">
        <v>2</v>
      </c>
      <c r="B102" s="542" t="s">
        <v>900</v>
      </c>
      <c r="C102" s="556">
        <v>360000</v>
      </c>
      <c r="D102" s="556">
        <f>'5.számú melléklet '!C58</f>
        <v>21263948</v>
      </c>
      <c r="E102" s="556">
        <f>'5.számú melléklet '!D58</f>
        <v>23060103</v>
      </c>
      <c r="F102" s="556"/>
      <c r="G102" s="576"/>
    </row>
    <row r="103" spans="1:7" ht="21.75" customHeight="1" x14ac:dyDescent="0.2">
      <c r="A103" s="563"/>
      <c r="B103" s="575" t="s">
        <v>897</v>
      </c>
      <c r="C103" s="566">
        <f>C102</f>
        <v>360000</v>
      </c>
      <c r="D103" s="566">
        <f>D102</f>
        <v>21263948</v>
      </c>
      <c r="E103" s="566">
        <f>E102</f>
        <v>23060103</v>
      </c>
      <c r="F103" s="566">
        <f>F102</f>
        <v>0</v>
      </c>
      <c r="G103" s="566">
        <f>G102</f>
        <v>0</v>
      </c>
    </row>
    <row r="104" spans="1:7" ht="18" x14ac:dyDescent="0.2">
      <c r="A104" s="577"/>
      <c r="B104" s="578" t="s">
        <v>908</v>
      </c>
      <c r="C104" s="566">
        <f>C94+C97+C100+C103</f>
        <v>117867735</v>
      </c>
      <c r="D104" s="566">
        <f>D94+D97+D100+D103</f>
        <v>800209969</v>
      </c>
      <c r="E104" s="566">
        <f>E94+E97+E100+E103</f>
        <v>794557356</v>
      </c>
      <c r="F104" s="566">
        <f>F94+F97+F100+F103</f>
        <v>1600000</v>
      </c>
      <c r="G104" s="566">
        <f>G94+G97+G100+G103</f>
        <v>1600000</v>
      </c>
    </row>
    <row r="105" spans="1:7" ht="15.75" x14ac:dyDescent="0.2">
      <c r="A105" s="563" t="s">
        <v>830</v>
      </c>
      <c r="B105" s="555" t="s">
        <v>363</v>
      </c>
      <c r="C105" s="576"/>
      <c r="D105" s="576"/>
      <c r="E105" s="576"/>
      <c r="F105" s="576"/>
      <c r="G105" s="576"/>
    </row>
    <row r="106" spans="1:7" ht="15.75" x14ac:dyDescent="0.2">
      <c r="A106" s="563" t="s">
        <v>89</v>
      </c>
      <c r="B106" s="555" t="s">
        <v>884</v>
      </c>
      <c r="C106" s="576"/>
      <c r="D106" s="576"/>
      <c r="E106" s="576"/>
      <c r="F106" s="576"/>
      <c r="G106" s="576"/>
    </row>
    <row r="107" spans="1:7" x14ac:dyDescent="0.2">
      <c r="A107" s="579"/>
      <c r="B107" s="579" t="s">
        <v>902</v>
      </c>
      <c r="C107" s="576">
        <v>10000000</v>
      </c>
      <c r="D107" s="576">
        <v>10000000</v>
      </c>
      <c r="E107" s="576">
        <v>10000000</v>
      </c>
      <c r="F107" s="576">
        <v>10000000</v>
      </c>
      <c r="G107" s="576">
        <v>10000000</v>
      </c>
    </row>
    <row r="108" spans="1:7" x14ac:dyDescent="0.2">
      <c r="A108" s="579"/>
      <c r="B108" s="579" t="s">
        <v>903</v>
      </c>
      <c r="C108" s="576"/>
      <c r="D108" s="576">
        <v>100000000</v>
      </c>
      <c r="E108" s="576">
        <v>100000000</v>
      </c>
      <c r="F108" s="576"/>
      <c r="G108" s="576"/>
    </row>
    <row r="109" spans="1:7" x14ac:dyDescent="0.2">
      <c r="A109" s="579"/>
      <c r="B109" s="579" t="s">
        <v>904</v>
      </c>
      <c r="C109" s="576">
        <v>12597768</v>
      </c>
      <c r="D109" s="576">
        <v>14048925</v>
      </c>
      <c r="E109" s="576">
        <v>14048925</v>
      </c>
      <c r="F109" s="576"/>
      <c r="G109" s="576"/>
    </row>
    <row r="110" spans="1:7" ht="15.75" x14ac:dyDescent="0.2">
      <c r="A110" s="580"/>
      <c r="B110" s="575" t="s">
        <v>909</v>
      </c>
      <c r="C110" s="566">
        <f>SUM(C107:C109)</f>
        <v>22597768</v>
      </c>
      <c r="D110" s="566">
        <f>SUM(D107:D109)</f>
        <v>124048925</v>
      </c>
      <c r="E110" s="566">
        <f>SUM(E107:E109)</f>
        <v>124048925</v>
      </c>
      <c r="F110" s="566">
        <f>SUM(F107:F109)</f>
        <v>10000000</v>
      </c>
      <c r="G110" s="566">
        <f>SUM(G107:G109)</f>
        <v>10000000</v>
      </c>
    </row>
    <row r="111" spans="1:7" ht="15.75" x14ac:dyDescent="0.2">
      <c r="A111" s="575"/>
      <c r="B111" s="575" t="s">
        <v>905</v>
      </c>
      <c r="C111" s="566">
        <f>C77+C104+C110</f>
        <v>1128405000</v>
      </c>
      <c r="D111" s="566">
        <f>D77+D104+D110</f>
        <v>2043098000</v>
      </c>
      <c r="E111" s="566">
        <f>E77+E104+E110</f>
        <v>2078337468</v>
      </c>
      <c r="F111" s="566">
        <f>F77+F104+F110</f>
        <v>12900000</v>
      </c>
      <c r="G111" s="566">
        <f>G77+G104+G110</f>
        <v>12900000</v>
      </c>
    </row>
  </sheetData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4" fitToHeight="0" orientation="portrait" horizontalDpi="4294967294" r:id="rId1"/>
  <headerFooter alignWithMargins="0">
    <oddHeader xml:space="preserve">&amp;C&amp;"Garamond,Félkövér"&amp;12 8/2018. ( VI.28.  )   számú költségvetési rendelethez
ZALAKAROS VÁROS ÖNKORMÁNYZATA ÉS KÖLTSÉGVETÉSI SZERVEI  
2018. ÉVI  KIADÁSAI JOGCÍMENKÉNT
&amp;R&amp;A
&amp;P.oldal
forintban
</oddHeader>
  </headerFooter>
  <rowBreaks count="1" manualBreakCount="1"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7"/>
  <sheetViews>
    <sheetView view="pageBreakPreview" zoomScale="60" zoomScaleNormal="85" workbookViewId="0">
      <selection activeCell="E5" sqref="E5"/>
    </sheetView>
  </sheetViews>
  <sheetFormatPr defaultRowHeight="12.75" x14ac:dyDescent="0.2"/>
  <cols>
    <col min="1" max="1" width="7.140625" style="14" customWidth="1"/>
    <col min="2" max="2" width="65" style="14" customWidth="1"/>
    <col min="3" max="3" width="12.5703125" style="14" customWidth="1"/>
    <col min="4" max="4" width="15.42578125" style="14" customWidth="1"/>
    <col min="5" max="5" width="14.5703125" style="14" customWidth="1"/>
    <col min="6" max="16384" width="9.140625" style="14"/>
  </cols>
  <sheetData>
    <row r="1" spans="1:5" ht="15" customHeight="1" x14ac:dyDescent="0.2">
      <c r="A1" s="679" t="s">
        <v>61</v>
      </c>
      <c r="B1" s="677" t="s">
        <v>15</v>
      </c>
      <c r="C1" s="676" t="s">
        <v>678</v>
      </c>
      <c r="D1" s="676" t="s">
        <v>375</v>
      </c>
      <c r="E1" s="676" t="s">
        <v>784</v>
      </c>
    </row>
    <row r="2" spans="1:5" ht="15" customHeight="1" x14ac:dyDescent="0.2">
      <c r="A2" s="679"/>
      <c r="B2" s="677"/>
      <c r="C2" s="676"/>
      <c r="D2" s="676"/>
      <c r="E2" s="676"/>
    </row>
    <row r="3" spans="1:5" ht="15" customHeight="1" x14ac:dyDescent="0.2">
      <c r="A3" s="679"/>
      <c r="B3" s="677"/>
      <c r="C3" s="676"/>
      <c r="D3" s="676"/>
      <c r="E3" s="676"/>
    </row>
    <row r="4" spans="1:5" ht="15" customHeight="1" x14ac:dyDescent="0.2">
      <c r="A4" s="679"/>
      <c r="B4" s="677"/>
      <c r="C4" s="676"/>
      <c r="D4" s="676"/>
      <c r="E4" s="676"/>
    </row>
    <row r="5" spans="1:5" ht="28.35" customHeight="1" x14ac:dyDescent="0.2">
      <c r="A5" s="678" t="s">
        <v>140</v>
      </c>
      <c r="B5" s="678"/>
      <c r="C5" s="678"/>
      <c r="D5" s="275"/>
      <c r="E5" s="275"/>
    </row>
    <row r="6" spans="1:5" ht="28.35" customHeight="1" x14ac:dyDescent="0.2">
      <c r="A6" s="165" t="s">
        <v>2</v>
      </c>
      <c r="B6" s="166" t="s">
        <v>370</v>
      </c>
      <c r="C6" s="330"/>
      <c r="D6" s="330"/>
      <c r="E6" s="330"/>
    </row>
    <row r="7" spans="1:5" ht="28.35" customHeight="1" x14ac:dyDescent="0.2">
      <c r="A7" s="167"/>
      <c r="B7" s="168" t="s">
        <v>371</v>
      </c>
      <c r="C7" s="331"/>
      <c r="D7" s="334"/>
      <c r="E7" s="334"/>
    </row>
    <row r="8" spans="1:5" ht="28.35" customHeight="1" x14ac:dyDescent="0.2">
      <c r="A8" s="164" t="s">
        <v>4</v>
      </c>
      <c r="B8" s="218" t="s">
        <v>373</v>
      </c>
      <c r="C8" s="332"/>
      <c r="D8" s="332">
        <f>D7</f>
        <v>0</v>
      </c>
      <c r="E8" s="332">
        <f>E7</f>
        <v>0</v>
      </c>
    </row>
    <row r="9" spans="1:5" ht="28.35" customHeight="1" x14ac:dyDescent="0.2">
      <c r="A9" s="134"/>
      <c r="B9" s="76" t="s">
        <v>95</v>
      </c>
      <c r="C9" s="333"/>
      <c r="D9" s="333"/>
      <c r="E9" s="333"/>
    </row>
    <row r="10" spans="1:5" ht="28.35" customHeight="1" x14ac:dyDescent="0.2">
      <c r="A10" s="134"/>
      <c r="B10" s="73" t="s">
        <v>131</v>
      </c>
      <c r="C10" s="323"/>
      <c r="D10" s="323"/>
      <c r="E10" s="323"/>
    </row>
    <row r="11" spans="1:5" ht="28.35" customHeight="1" x14ac:dyDescent="0.2">
      <c r="A11" s="134"/>
      <c r="B11" s="219" t="s">
        <v>372</v>
      </c>
      <c r="C11" s="324">
        <f>SUM(C9:C10)</f>
        <v>0</v>
      </c>
      <c r="D11" s="324">
        <f>SUM(D9:D10)</f>
        <v>0</v>
      </c>
      <c r="E11" s="324">
        <f>SUM(E9:E10)</f>
        <v>0</v>
      </c>
    </row>
    <row r="12" spans="1:5" ht="28.35" customHeight="1" x14ac:dyDescent="0.2">
      <c r="A12" s="164" t="s">
        <v>5</v>
      </c>
      <c r="B12" s="74" t="s">
        <v>133</v>
      </c>
      <c r="C12" s="323"/>
      <c r="D12" s="323"/>
      <c r="E12" s="323"/>
    </row>
    <row r="13" spans="1:5" ht="28.35" customHeight="1" x14ac:dyDescent="0.2">
      <c r="A13" s="134"/>
      <c r="B13" s="73" t="s">
        <v>132</v>
      </c>
      <c r="C13" s="323"/>
      <c r="D13" s="323"/>
      <c r="E13" s="323"/>
    </row>
    <row r="14" spans="1:5" ht="28.35" customHeight="1" x14ac:dyDescent="0.2">
      <c r="A14" s="134"/>
      <c r="B14" s="219" t="s">
        <v>134</v>
      </c>
      <c r="C14" s="325">
        <f>SUM(C13)</f>
        <v>0</v>
      </c>
      <c r="D14" s="325">
        <f>SUM(D13)</f>
        <v>0</v>
      </c>
      <c r="E14" s="325">
        <f>SUM(E13)</f>
        <v>0</v>
      </c>
    </row>
    <row r="15" spans="1:5" ht="28.35" customHeight="1" x14ac:dyDescent="0.2">
      <c r="A15" s="164" t="s">
        <v>6</v>
      </c>
      <c r="B15" s="74" t="s">
        <v>135</v>
      </c>
      <c r="C15" s="326"/>
      <c r="D15" s="326"/>
      <c r="E15" s="326"/>
    </row>
    <row r="16" spans="1:5" ht="28.35" customHeight="1" x14ac:dyDescent="0.2">
      <c r="A16" s="134"/>
      <c r="B16" s="73" t="s">
        <v>136</v>
      </c>
      <c r="C16" s="327"/>
      <c r="D16" s="327"/>
      <c r="E16" s="327"/>
    </row>
    <row r="17" spans="1:5" ht="28.35" customHeight="1" x14ac:dyDescent="0.2">
      <c r="A17" s="134"/>
      <c r="B17" s="73" t="s">
        <v>137</v>
      </c>
      <c r="C17" s="327">
        <v>0</v>
      </c>
      <c r="D17" s="327">
        <v>0</v>
      </c>
      <c r="E17" s="327">
        <v>0</v>
      </c>
    </row>
    <row r="18" spans="1:5" ht="28.35" customHeight="1" x14ac:dyDescent="0.2">
      <c r="A18" s="135"/>
      <c r="B18" s="219" t="s">
        <v>135</v>
      </c>
      <c r="C18" s="324">
        <f>SUM(C16:C17)</f>
        <v>0</v>
      </c>
      <c r="D18" s="324">
        <f>SUM(D16:D17)</f>
        <v>0</v>
      </c>
      <c r="E18" s="324">
        <f>SUM(E16:E17)</f>
        <v>0</v>
      </c>
    </row>
    <row r="19" spans="1:5" ht="28.35" customHeight="1" x14ac:dyDescent="0.2">
      <c r="A19" s="164" t="s">
        <v>8</v>
      </c>
      <c r="B19" s="74" t="s">
        <v>138</v>
      </c>
      <c r="C19" s="327"/>
      <c r="D19" s="327"/>
      <c r="E19" s="327"/>
    </row>
    <row r="20" spans="1:5" ht="28.35" customHeight="1" x14ac:dyDescent="0.2">
      <c r="A20" s="164"/>
      <c r="B20" s="74" t="s">
        <v>570</v>
      </c>
      <c r="C20" s="327">
        <v>4730000</v>
      </c>
      <c r="D20" s="327">
        <v>3730000</v>
      </c>
      <c r="E20" s="327">
        <v>3730000</v>
      </c>
    </row>
    <row r="21" spans="1:5" ht="28.35" customHeight="1" x14ac:dyDescent="0.2">
      <c r="A21" s="135"/>
      <c r="B21" s="74" t="s">
        <v>571</v>
      </c>
      <c r="C21" s="327">
        <v>3770000</v>
      </c>
      <c r="D21" s="327">
        <v>3770000</v>
      </c>
      <c r="E21" s="327">
        <v>3770000</v>
      </c>
    </row>
    <row r="22" spans="1:5" ht="28.35" customHeight="1" x14ac:dyDescent="0.2">
      <c r="A22" s="135"/>
      <c r="B22" s="219" t="s">
        <v>139</v>
      </c>
      <c r="C22" s="328">
        <f>C21+C20</f>
        <v>8500000</v>
      </c>
      <c r="D22" s="328">
        <f>D21+D20</f>
        <v>7500000</v>
      </c>
      <c r="E22" s="328">
        <f>E21+E20</f>
        <v>7500000</v>
      </c>
    </row>
    <row r="23" spans="1:5" ht="28.35" customHeight="1" x14ac:dyDescent="0.2">
      <c r="A23" s="72"/>
      <c r="B23" s="75" t="s">
        <v>141</v>
      </c>
      <c r="C23" s="329">
        <f>C11+C14+C18+C22</f>
        <v>8500000</v>
      </c>
      <c r="D23" s="329">
        <f>D11+D14+D18+D22</f>
        <v>7500000</v>
      </c>
      <c r="E23" s="329">
        <f>E11+E14+E18+E22</f>
        <v>7500000</v>
      </c>
    </row>
    <row r="26" spans="1:5" x14ac:dyDescent="0.2">
      <c r="B26" s="91"/>
    </row>
    <row r="27" spans="1:5" x14ac:dyDescent="0.2">
      <c r="B27" s="91"/>
    </row>
  </sheetData>
  <mergeCells count="6">
    <mergeCell ref="E1:E4"/>
    <mergeCell ref="D1:D4"/>
    <mergeCell ref="C1:C4"/>
    <mergeCell ref="B1:B4"/>
    <mergeCell ref="A5:C5"/>
    <mergeCell ref="A1:A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8/2018. ( VI.28.  )  számú költségvetési rendelethez
Z&amp;12ALAKAROS VÁROS ÖNKORMÁNYZATA ÁLTAL FOLYÓSÍTOTT 
ELLÁTÁSOK (SZOCIÁLIS) RÉSZLETEZÉSE  2018.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1"/>
  <sheetViews>
    <sheetView view="pageBreakPreview" zoomScale="60" zoomScaleNormal="100" workbookViewId="0">
      <selection activeCell="E19" sqref="E19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259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83" t="s">
        <v>600</v>
      </c>
      <c r="C1" s="683"/>
      <c r="D1" s="683"/>
      <c r="E1" s="683"/>
      <c r="F1" s="683"/>
      <c r="G1" s="683"/>
      <c r="H1" s="683"/>
    </row>
    <row r="2" spans="1:8" x14ac:dyDescent="0.2">
      <c r="B2" s="276"/>
      <c r="C2" s="276"/>
      <c r="D2" s="276"/>
      <c r="E2" s="276"/>
      <c r="F2" s="276"/>
      <c r="G2" s="276"/>
      <c r="H2" s="276"/>
    </row>
    <row r="3" spans="1:8" ht="42" customHeight="1" x14ac:dyDescent="0.2">
      <c r="A3" s="686" t="s">
        <v>605</v>
      </c>
      <c r="B3" s="685" t="s">
        <v>604</v>
      </c>
      <c r="C3" s="684" t="s">
        <v>601</v>
      </c>
      <c r="D3" s="684"/>
      <c r="E3" s="684" t="s">
        <v>602</v>
      </c>
      <c r="F3" s="684"/>
      <c r="G3" s="684" t="s">
        <v>13</v>
      </c>
      <c r="H3" s="684"/>
    </row>
    <row r="4" spans="1:8" ht="14.25" x14ac:dyDescent="0.2">
      <c r="A4" s="687"/>
      <c r="B4" s="685"/>
      <c r="C4" s="277" t="s">
        <v>691</v>
      </c>
      <c r="D4" s="277" t="s">
        <v>698</v>
      </c>
      <c r="E4" s="277" t="s">
        <v>691</v>
      </c>
      <c r="F4" s="277" t="s">
        <v>698</v>
      </c>
      <c r="G4" s="277" t="s">
        <v>691</v>
      </c>
      <c r="H4" s="277" t="s">
        <v>698</v>
      </c>
    </row>
    <row r="5" spans="1:8" ht="15" customHeight="1" x14ac:dyDescent="0.25">
      <c r="A5" s="680" t="s">
        <v>2</v>
      </c>
      <c r="B5" s="278" t="s">
        <v>603</v>
      </c>
      <c r="C5" s="279"/>
      <c r="D5" s="279"/>
      <c r="E5" s="279"/>
      <c r="F5" s="279"/>
      <c r="G5" s="280"/>
      <c r="H5" s="280"/>
    </row>
    <row r="6" spans="1:8" ht="15" customHeight="1" x14ac:dyDescent="0.2">
      <c r="A6" s="681"/>
      <c r="B6" s="281" t="s">
        <v>577</v>
      </c>
      <c r="C6" s="279">
        <v>56320000</v>
      </c>
      <c r="D6" s="279">
        <v>66203000</v>
      </c>
      <c r="E6" s="279">
        <v>10585000</v>
      </c>
      <c r="F6" s="279">
        <v>10585000</v>
      </c>
      <c r="G6" s="280">
        <f t="shared" ref="G6:H11" si="0">C6+E6</f>
        <v>66905000</v>
      </c>
      <c r="H6" s="280">
        <f t="shared" si="0"/>
        <v>76788000</v>
      </c>
    </row>
    <row r="7" spans="1:8" ht="15" customHeight="1" x14ac:dyDescent="0.2">
      <c r="A7" s="681"/>
      <c r="B7" s="281" t="s">
        <v>578</v>
      </c>
      <c r="C7" s="279">
        <v>35847000</v>
      </c>
      <c r="D7" s="279">
        <v>40207000</v>
      </c>
      <c r="E7" s="279">
        <v>2818000</v>
      </c>
      <c r="F7" s="279">
        <v>2818000</v>
      </c>
      <c r="G7" s="280">
        <f t="shared" si="0"/>
        <v>38665000</v>
      </c>
      <c r="H7" s="280">
        <f t="shared" si="0"/>
        <v>43025000</v>
      </c>
    </row>
    <row r="8" spans="1:8" ht="15" customHeight="1" x14ac:dyDescent="0.2">
      <c r="A8" s="681"/>
      <c r="B8" s="281" t="s">
        <v>579</v>
      </c>
      <c r="C8" s="279">
        <v>3967000</v>
      </c>
      <c r="D8" s="279">
        <v>5001000</v>
      </c>
      <c r="E8" s="279">
        <v>2899000</v>
      </c>
      <c r="F8" s="279">
        <v>2899000</v>
      </c>
      <c r="G8" s="280">
        <f t="shared" si="0"/>
        <v>6866000</v>
      </c>
      <c r="H8" s="280">
        <f t="shared" si="0"/>
        <v>7900000</v>
      </c>
    </row>
    <row r="9" spans="1:8" ht="15" customHeight="1" x14ac:dyDescent="0.2">
      <c r="A9" s="681"/>
      <c r="B9" s="281" t="s">
        <v>580</v>
      </c>
      <c r="C9" s="279">
        <v>3845000</v>
      </c>
      <c r="D9" s="279">
        <v>4420000</v>
      </c>
      <c r="E9" s="279"/>
      <c r="F9" s="279"/>
      <c r="G9" s="280">
        <f t="shared" si="0"/>
        <v>3845000</v>
      </c>
      <c r="H9" s="280">
        <f t="shared" si="0"/>
        <v>4420000</v>
      </c>
    </row>
    <row r="10" spans="1:8" ht="15" customHeight="1" x14ac:dyDescent="0.2">
      <c r="A10" s="681"/>
      <c r="B10" s="281" t="s">
        <v>581</v>
      </c>
      <c r="C10" s="279">
        <v>992000</v>
      </c>
      <c r="D10" s="279">
        <v>1140000</v>
      </c>
      <c r="E10" s="279"/>
      <c r="F10" s="279"/>
      <c r="G10" s="280">
        <f t="shared" si="0"/>
        <v>992000</v>
      </c>
      <c r="H10" s="280">
        <f t="shared" si="0"/>
        <v>1140000</v>
      </c>
    </row>
    <row r="11" spans="1:8" ht="15" customHeight="1" x14ac:dyDescent="0.2">
      <c r="A11" s="681"/>
      <c r="B11" s="281" t="s">
        <v>582</v>
      </c>
      <c r="C11" s="279">
        <v>8158000</v>
      </c>
      <c r="D11" s="279">
        <v>4158000</v>
      </c>
      <c r="E11" s="279"/>
      <c r="F11" s="279"/>
      <c r="G11" s="280">
        <f t="shared" si="0"/>
        <v>8158000</v>
      </c>
      <c r="H11" s="280">
        <f t="shared" si="0"/>
        <v>4158000</v>
      </c>
    </row>
    <row r="12" spans="1:8" ht="15" customHeight="1" x14ac:dyDescent="0.25">
      <c r="A12" s="682"/>
      <c r="B12" s="282" t="s">
        <v>583</v>
      </c>
      <c r="C12" s="283">
        <f t="shared" ref="C12" si="1">SUM(C5:C11)</f>
        <v>109129000</v>
      </c>
      <c r="D12" s="283">
        <f t="shared" ref="D12:H12" si="2">SUM(D5:D11)</f>
        <v>121129000</v>
      </c>
      <c r="E12" s="283">
        <f t="shared" ref="E12" si="3">SUM(E5:E11)</f>
        <v>16302000</v>
      </c>
      <c r="F12" s="283">
        <f t="shared" si="2"/>
        <v>16302000</v>
      </c>
      <c r="G12" s="284">
        <f t="shared" ref="G12" si="4">SUM(G5:G11)</f>
        <v>125431000</v>
      </c>
      <c r="H12" s="284">
        <f t="shared" si="2"/>
        <v>137431000</v>
      </c>
    </row>
    <row r="13" spans="1:8" ht="14.25" x14ac:dyDescent="0.2">
      <c r="A13" s="281"/>
      <c r="B13" s="281"/>
      <c r="C13" s="279"/>
      <c r="D13" s="279"/>
      <c r="E13" s="279"/>
      <c r="F13" s="279"/>
      <c r="G13" s="280"/>
      <c r="H13" s="280"/>
    </row>
    <row r="14" spans="1:8" ht="15" x14ac:dyDescent="0.25">
      <c r="A14" s="286" t="s">
        <v>4</v>
      </c>
      <c r="B14" s="278" t="s">
        <v>584</v>
      </c>
      <c r="C14" s="279"/>
      <c r="D14" s="279"/>
      <c r="E14" s="279"/>
      <c r="F14" s="279"/>
      <c r="G14" s="280"/>
      <c r="H14" s="280"/>
    </row>
    <row r="15" spans="1:8" ht="14.25" x14ac:dyDescent="0.2">
      <c r="A15" s="281"/>
      <c r="B15" s="281" t="s">
        <v>606</v>
      </c>
      <c r="C15" s="279"/>
      <c r="D15" s="279"/>
      <c r="E15" s="279">
        <v>3189251</v>
      </c>
      <c r="F15" s="279">
        <v>2713939</v>
      </c>
      <c r="G15" s="280">
        <f>C15+E15</f>
        <v>3189251</v>
      </c>
      <c r="H15" s="280">
        <f>D15+F15</f>
        <v>2713939</v>
      </c>
    </row>
    <row r="16" spans="1:8" ht="14.25" x14ac:dyDescent="0.2">
      <c r="A16" s="281"/>
      <c r="B16" s="281" t="s">
        <v>646</v>
      </c>
      <c r="C16" s="279"/>
      <c r="D16" s="279"/>
      <c r="E16" s="279">
        <v>2868712</v>
      </c>
      <c r="F16" s="279">
        <v>4571910</v>
      </c>
      <c r="G16" s="280">
        <f>C16+E16</f>
        <v>2868712</v>
      </c>
      <c r="H16" s="280">
        <f>D16+F16</f>
        <v>4571910</v>
      </c>
    </row>
    <row r="17" spans="1:8" ht="15" x14ac:dyDescent="0.25">
      <c r="A17" s="281"/>
      <c r="B17" s="282" t="s">
        <v>81</v>
      </c>
      <c r="C17" s="283">
        <f>C15</f>
        <v>0</v>
      </c>
      <c r="D17" s="283">
        <f>D15</f>
        <v>0</v>
      </c>
      <c r="E17" s="283">
        <f>SUM(E15:E16)</f>
        <v>6057963</v>
      </c>
      <c r="F17" s="283">
        <f>SUM(F15:F16)</f>
        <v>7285849</v>
      </c>
      <c r="G17" s="283">
        <f>SUM(G15:G16)</f>
        <v>6057963</v>
      </c>
      <c r="H17" s="283">
        <f>SUM(H15:H16)</f>
        <v>7285849</v>
      </c>
    </row>
    <row r="18" spans="1:8" ht="15" x14ac:dyDescent="0.25">
      <c r="A18" s="281"/>
      <c r="B18" s="285" t="s">
        <v>607</v>
      </c>
      <c r="C18" s="283">
        <f t="shared" ref="C18" si="5">C17+C12</f>
        <v>109129000</v>
      </c>
      <c r="D18" s="283">
        <f t="shared" ref="D18:H18" si="6">D17+D12</f>
        <v>121129000</v>
      </c>
      <c r="E18" s="283">
        <f t="shared" ref="E18" si="7">E17+E12</f>
        <v>22359963</v>
      </c>
      <c r="F18" s="283">
        <f t="shared" si="6"/>
        <v>23587849</v>
      </c>
      <c r="G18" s="283">
        <f t="shared" ref="G18" si="8">G17+G12</f>
        <v>131488963</v>
      </c>
      <c r="H18" s="283">
        <f t="shared" si="6"/>
        <v>144716849</v>
      </c>
    </row>
    <row r="19" spans="1:8" x14ac:dyDescent="0.2">
      <c r="E19" s="260"/>
    </row>
    <row r="21" spans="1:8" x14ac:dyDescent="0.2">
      <c r="B21" t="s">
        <v>585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0866141732283472" right="0.70866141732283472" top="1.1811023622047245" bottom="0.74803149606299213" header="0.31496062992125984" footer="0.31496062992125984"/>
  <pageSetup paperSize="9" scale="64" orientation="portrait" r:id="rId1"/>
  <headerFooter>
    <oddHeader>&amp;C&amp;"Arial CE,Félkövér"8/2018. ( VI.28.  )  számú költségvetési rendelethez
ZALAKAROS VÁROS ÖNKORMÁNYZAT többségi tulajdonában lévő
 gazdasági társaságokkal kötött szerződésekben foglalt
 feladat megoszlása 2018.évben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4.a.számú melléklet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Eszter dr. Szentgyörgyvölgyi</cp:lastModifiedBy>
  <cp:lastPrinted>2018-06-15T08:15:40Z</cp:lastPrinted>
  <dcterms:created xsi:type="dcterms:W3CDTF">2001-01-10T12:44:25Z</dcterms:created>
  <dcterms:modified xsi:type="dcterms:W3CDTF">2018-07-17T07:20:02Z</dcterms:modified>
</cp:coreProperties>
</file>